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nemati\Desktop\Standard Folders\matlab SNR yield model\"/>
    </mc:Choice>
  </mc:AlternateContent>
  <bookViews>
    <workbookView xWindow="-15" yWindow="225" windowWidth="21240" windowHeight="11025" activeTab="1"/>
  </bookViews>
  <sheets>
    <sheet name="Log" sheetId="6" r:id="rId1"/>
    <sheet name="SNR Main" sheetId="1" r:id="rId2"/>
    <sheet name="Coronagraphs" sheetId="7" r:id="rId3"/>
    <sheet name="RVp4_vis_stars_only" sheetId="9" r:id="rId4"/>
    <sheet name="Constants" sheetId="4" r:id="rId5"/>
  </sheets>
  <externalReferences>
    <externalReference r:id="rId6"/>
  </externalReferences>
  <definedNames>
    <definedName name="arcsec">Constants!$L$16</definedName>
    <definedName name="AU">Constants!$L$11</definedName>
    <definedName name="c_light">Constants!$L$5</definedName>
    <definedName name="CGcontColumns">Coronagraphs!$R$3:$U$4</definedName>
    <definedName name="CIC">'SNR Main'!$C$42</definedName>
    <definedName name="ColArea">'SNR Main'!$C$24</definedName>
    <definedName name="CoronagraphList">'SNR Main'!$P$20:$R$20</definedName>
    <definedName name="CoronagraphSpecs">'SNR Main'!$P$20:$R$24</definedName>
    <definedName name="deg">Constants!$L$17</definedName>
    <definedName name="DetectorOptions">'SNR Main'!$P$14:$R$14</definedName>
    <definedName name="DetectorTable">'SNR Main'!$P$14:$R$18</definedName>
    <definedName name="ENF">'SNR Main'!$C$39</definedName>
    <definedName name="erg">Constants!$L$21</definedName>
    <definedName name="f_pp">'SNR Main'!$I$42</definedName>
    <definedName name="f_SR">'SNR Main'!$C$10</definedName>
    <definedName name="fluxTable">Constants!$C$5:$I$18</definedName>
    <definedName name="FocalPlanes">'SNR Main'!$O$10:$O$11</definedName>
    <definedName name="FocalPlaneTable">'SNR Main'!$O$10:$V$11</definedName>
    <definedName name="FOV_area">[1]Main!$N$30</definedName>
    <definedName name="frameRate">'SNR Main'!$C$40</definedName>
    <definedName name="FWHMsky">'SNR Main'!$C$22</definedName>
    <definedName name="h_planck">Constants!$L$4</definedName>
    <definedName name="HLCtable2">Coronagraphs!$A$2:$K$29</definedName>
    <definedName name="hrs">Constants!$L$18</definedName>
    <definedName name="integTime">'SNR Main'!#REF!</definedName>
    <definedName name="JitterCases">Coronagraphs!$R$3:$U$3</definedName>
    <definedName name="Jy">[1]Main!#REF!</definedName>
    <definedName name="min">Constants!$L$19</definedName>
    <definedName name="mpix">'SNR Main'!$C$9</definedName>
    <definedName name="pc">Constants!$L$12</definedName>
    <definedName name="PIAAtable2">Coronagraphs!$A$30:$K$68</definedName>
    <definedName name="QE">'SNR Main'!$C$43</definedName>
    <definedName name="R_dlam_ovr_lam">[1]Main!#REF!</definedName>
    <definedName name="R_Earth">Constants!$L$10</definedName>
    <definedName name="R_M0Flux">[1]Main!#REF!</definedName>
    <definedName name="R_stars_flux_table">'[1]Stellar Densities'!$C$8:$K$19</definedName>
    <definedName name="RVp4List">RVp4_vis_stars_only!$A$2:$P$465</definedName>
    <definedName name="SNR">'SNR Main'!$C$8</definedName>
    <definedName name="SPCtable">Coronagraphs!$A$69:$K$131</definedName>
    <definedName name="SPtable">#REF!</definedName>
    <definedName name="Tint">'SNR Main'!$C$13</definedName>
    <definedName name="TotThruput">'SNR Main'!$C$28</definedName>
    <definedName name="uas">Constants!$L$20</definedName>
    <definedName name="V_dlam_ovr_lam">[1]Main!#REF!</definedName>
    <definedName name="V_M0Flux">[1]Main!#REF!</definedName>
    <definedName name="VVCtable">#REF!</definedName>
  </definedNames>
  <calcPr calcId="152511"/>
</workbook>
</file>

<file path=xl/calcChain.xml><?xml version="1.0" encoding="utf-8"?>
<calcChain xmlns="http://schemas.openxmlformats.org/spreadsheetml/2006/main">
  <c r="D12" i="1" l="1"/>
  <c r="S16" i="1" l="1"/>
  <c r="R18" i="1" l="1"/>
  <c r="Q18" i="1"/>
  <c r="P18" i="1"/>
  <c r="C25" i="1" l="1"/>
  <c r="H5" i="4" l="1"/>
  <c r="H6" i="4"/>
  <c r="H8" i="4"/>
  <c r="H9" i="4"/>
  <c r="H10" i="4"/>
  <c r="H11" i="4"/>
  <c r="H12" i="4"/>
  <c r="H13" i="4"/>
  <c r="H14" i="4"/>
  <c r="H15" i="4"/>
  <c r="H16" i="4"/>
  <c r="H17" i="4"/>
  <c r="H18" i="4"/>
  <c r="H7" i="4"/>
  <c r="I18" i="1"/>
  <c r="I20" i="1" s="1"/>
  <c r="U10" i="1" l="1"/>
  <c r="T6" i="1"/>
  <c r="Q10" i="1" s="1"/>
  <c r="V10" i="1" l="1"/>
  <c r="I19" i="1"/>
  <c r="C8" i="1" l="1"/>
  <c r="Q17" i="1" l="1"/>
  <c r="C22" i="1" l="1"/>
  <c r="P10" i="1" l="1"/>
  <c r="P11" i="1"/>
  <c r="U11" i="1" s="1"/>
  <c r="V11" i="1" s="1"/>
  <c r="I27" i="1"/>
  <c r="I25" i="1"/>
  <c r="I29" i="1"/>
  <c r="I28" i="1"/>
  <c r="I26" i="1"/>
  <c r="I17" i="1"/>
  <c r="I16" i="1"/>
  <c r="I23" i="1" l="1"/>
  <c r="C40" i="1"/>
  <c r="C9" i="1" l="1"/>
  <c r="C10" i="1"/>
  <c r="C38" i="1"/>
  <c r="C37" i="1"/>
  <c r="C39" i="1"/>
  <c r="P6" i="1" l="1"/>
  <c r="E37" i="1" l="1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5" i="4"/>
  <c r="L20" i="4"/>
  <c r="L17" i="4"/>
  <c r="L16" i="4"/>
  <c r="L12" i="4" s="1"/>
  <c r="L13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16" i="4" l="1"/>
  <c r="I30" i="1"/>
  <c r="P2" i="9"/>
  <c r="I24" i="1"/>
  <c r="D27" i="4"/>
  <c r="I36" i="1"/>
  <c r="G12" i="4"/>
  <c r="G8" i="4"/>
  <c r="G5" i="4"/>
  <c r="G9" i="4"/>
  <c r="G13" i="4"/>
  <c r="G17" i="4"/>
  <c r="G6" i="4"/>
  <c r="G10" i="4"/>
  <c r="G14" i="4"/>
  <c r="G18" i="4"/>
  <c r="G7" i="4"/>
  <c r="G11" i="4"/>
  <c r="G15" i="4"/>
  <c r="C24" i="1"/>
  <c r="P442" i="9" l="1"/>
  <c r="P156" i="9"/>
  <c r="P261" i="9"/>
  <c r="P340" i="9"/>
  <c r="P279" i="9"/>
  <c r="P16" i="9"/>
  <c r="P323" i="9"/>
  <c r="P94" i="9"/>
  <c r="P346" i="9"/>
  <c r="P142" i="9"/>
  <c r="P280" i="9"/>
  <c r="P389" i="9"/>
  <c r="P83" i="9"/>
  <c r="P316" i="9"/>
  <c r="P180" i="9"/>
  <c r="P383" i="9"/>
  <c r="P64" i="9"/>
  <c r="P394" i="9"/>
  <c r="P59" i="9"/>
  <c r="P23" i="9"/>
  <c r="P360" i="9"/>
  <c r="P136" i="9"/>
  <c r="P42" i="9"/>
  <c r="P214" i="9"/>
  <c r="P123" i="9"/>
  <c r="P71" i="9"/>
  <c r="P106" i="9"/>
  <c r="P154" i="9"/>
  <c r="P233" i="9"/>
  <c r="P230" i="9"/>
  <c r="P240" i="9"/>
  <c r="P428" i="9"/>
  <c r="P204" i="9"/>
  <c r="P254" i="9"/>
  <c r="P431" i="9"/>
  <c r="P270" i="9"/>
  <c r="P388" i="9"/>
  <c r="P451" i="9"/>
  <c r="P463" i="9"/>
  <c r="P303" i="9"/>
  <c r="P14" i="9"/>
  <c r="P209" i="9"/>
  <c r="P368" i="9"/>
  <c r="P342" i="9"/>
  <c r="P312" i="9"/>
  <c r="P11" i="9"/>
  <c r="P98" i="9"/>
  <c r="P357" i="9"/>
  <c r="P350" i="9"/>
  <c r="P370" i="9"/>
  <c r="P35" i="9"/>
  <c r="P359" i="9"/>
  <c r="P70" i="9"/>
  <c r="P75" i="9"/>
  <c r="P102" i="9"/>
  <c r="P120" i="9"/>
  <c r="P412" i="9"/>
  <c r="P218" i="9"/>
  <c r="P400" i="9"/>
  <c r="P101" i="9"/>
  <c r="P67" i="9"/>
  <c r="P427" i="9"/>
  <c r="P275" i="9"/>
  <c r="P313" i="9"/>
  <c r="P172" i="9"/>
  <c r="P108" i="9"/>
  <c r="P138" i="9"/>
  <c r="P283" i="9"/>
  <c r="P288" i="9"/>
  <c r="P227" i="9"/>
  <c r="P314" i="9"/>
  <c r="P379" i="9"/>
  <c r="P452" i="9"/>
  <c r="P66" i="9"/>
  <c r="P47" i="9"/>
  <c r="P193" i="9"/>
  <c r="P376" i="9"/>
  <c r="P392" i="9"/>
  <c r="P322" i="9"/>
  <c r="P118" i="9"/>
  <c r="P341" i="9"/>
  <c r="P199" i="9"/>
  <c r="P361" i="9"/>
  <c r="P206" i="9"/>
  <c r="P246" i="9"/>
  <c r="P407" i="9"/>
  <c r="P141" i="9"/>
  <c r="P259" i="9"/>
  <c r="P336" i="9"/>
  <c r="P464" i="9"/>
  <c r="P72" i="9"/>
  <c r="P287" i="9"/>
  <c r="P243" i="9"/>
  <c r="P311" i="9"/>
  <c r="P5" i="9"/>
  <c r="P117" i="9"/>
  <c r="P21" i="9"/>
  <c r="P9" i="9"/>
  <c r="P34" i="9"/>
  <c r="P27" i="9"/>
  <c r="P330" i="9"/>
  <c r="P109" i="9"/>
  <c r="P396" i="9"/>
  <c r="P331" i="9"/>
  <c r="P125" i="9"/>
  <c r="P17" i="9"/>
  <c r="P68" i="9"/>
  <c r="P81" i="9"/>
  <c r="P207" i="9"/>
  <c r="P211" i="9"/>
  <c r="P85" i="9"/>
  <c r="P152" i="9"/>
  <c r="P162" i="9"/>
  <c r="P332" i="9"/>
  <c r="P435" i="9"/>
  <c r="P99" i="9"/>
  <c r="P321" i="9"/>
  <c r="P6" i="9"/>
  <c r="P22" i="9"/>
  <c r="P77" i="9"/>
  <c r="P128" i="9"/>
  <c r="P192" i="9"/>
  <c r="P276" i="9"/>
  <c r="P7" i="9"/>
  <c r="P367" i="9"/>
  <c r="P165" i="9"/>
  <c r="P40" i="9"/>
  <c r="P89" i="9"/>
  <c r="P87" i="9"/>
  <c r="P41" i="9"/>
  <c r="P20" i="9"/>
  <c r="P366" i="9"/>
  <c r="P56" i="9"/>
  <c r="P402" i="9"/>
  <c r="P39" i="9"/>
  <c r="P304" i="9"/>
  <c r="P139" i="9"/>
  <c r="P183" i="9"/>
  <c r="P252" i="9"/>
  <c r="P149" i="9"/>
  <c r="P264" i="9"/>
  <c r="P371" i="9"/>
  <c r="P378" i="9"/>
  <c r="P339" i="9"/>
  <c r="P228" i="9"/>
  <c r="P25" i="9"/>
  <c r="P229" i="9"/>
  <c r="P363" i="9"/>
  <c r="P74" i="9"/>
  <c r="P80" i="9"/>
  <c r="P88" i="9"/>
  <c r="P380" i="9"/>
  <c r="P409" i="9"/>
  <c r="P146" i="9"/>
  <c r="P82" i="9"/>
  <c r="P375" i="9"/>
  <c r="P105" i="9"/>
  <c r="P302" i="9"/>
  <c r="P10" i="9"/>
  <c r="P24" i="9"/>
  <c r="P401" i="9"/>
  <c r="P62" i="9"/>
  <c r="P79" i="9"/>
  <c r="P158" i="9"/>
  <c r="P418" i="9"/>
  <c r="P319" i="9"/>
  <c r="P96" i="9"/>
  <c r="P203" i="9"/>
  <c r="P36" i="9"/>
  <c r="P364" i="9"/>
  <c r="P201" i="9"/>
  <c r="P160" i="9"/>
  <c r="P185" i="9"/>
  <c r="P307" i="9"/>
  <c r="P179" i="9"/>
  <c r="P387" i="9"/>
  <c r="P434" i="9"/>
  <c r="P250" i="9"/>
  <c r="P297" i="9"/>
  <c r="P306" i="9"/>
  <c r="P448" i="9"/>
  <c r="P462" i="9"/>
  <c r="P465" i="9"/>
  <c r="P3" i="9"/>
  <c r="P137" i="9"/>
  <c r="P362" i="9"/>
  <c r="P248" i="9"/>
  <c r="P113" i="9"/>
  <c r="P305" i="9"/>
  <c r="P239" i="9"/>
  <c r="P78" i="9"/>
  <c r="P93" i="9"/>
  <c r="P437" i="9"/>
  <c r="P391" i="9"/>
  <c r="P150" i="9"/>
  <c r="P372" i="9"/>
  <c r="P443" i="9"/>
  <c r="P19" i="9"/>
  <c r="P31" i="9"/>
  <c r="P155" i="9"/>
  <c r="P257" i="9"/>
  <c r="P310" i="9"/>
  <c r="P458" i="9"/>
  <c r="P29" i="9"/>
  <c r="P58" i="9"/>
  <c r="P140" i="9"/>
  <c r="P232" i="9"/>
  <c r="P167" i="9"/>
  <c r="P267" i="9"/>
  <c r="P196" i="9"/>
  <c r="P115" i="9"/>
  <c r="P49" i="9"/>
  <c r="P18" i="9"/>
  <c r="P91" i="9"/>
  <c r="P386" i="9"/>
  <c r="P398" i="9"/>
  <c r="P51" i="9"/>
  <c r="P284" i="9"/>
  <c r="P76" i="9"/>
  <c r="P301" i="9"/>
  <c r="P410" i="9"/>
  <c r="P413" i="9"/>
  <c r="P46" i="9"/>
  <c r="P103" i="9"/>
  <c r="P289" i="9"/>
  <c r="P212" i="9"/>
  <c r="P424" i="9"/>
  <c r="P159" i="9"/>
  <c r="P147" i="9"/>
  <c r="P188" i="9"/>
  <c r="P324" i="9"/>
  <c r="P286" i="9"/>
  <c r="P348" i="9"/>
  <c r="P449" i="9"/>
  <c r="P450" i="9"/>
  <c r="P352" i="9"/>
  <c r="P320" i="9"/>
  <c r="P327" i="9"/>
  <c r="P369" i="9"/>
  <c r="P164" i="9"/>
  <c r="P337" i="9"/>
  <c r="P226" i="9"/>
  <c r="P45" i="9"/>
  <c r="P335" i="9"/>
  <c r="P132" i="9"/>
  <c r="P457" i="9"/>
  <c r="P349" i="9"/>
  <c r="P269" i="9"/>
  <c r="P54" i="9"/>
  <c r="P377" i="9"/>
  <c r="P236" i="9"/>
  <c r="P459" i="9"/>
  <c r="P271" i="9"/>
  <c r="P73" i="9"/>
  <c r="P429" i="9"/>
  <c r="P231" i="9"/>
  <c r="P447" i="9"/>
  <c r="P344" i="9"/>
  <c r="P255" i="9"/>
  <c r="P95" i="9"/>
  <c r="P318" i="9"/>
  <c r="P174" i="9"/>
  <c r="P53" i="9"/>
  <c r="P63" i="9"/>
  <c r="P325" i="9"/>
  <c r="P33" i="9"/>
  <c r="P421" i="9"/>
  <c r="P55" i="9"/>
  <c r="P129" i="9"/>
  <c r="P237" i="9"/>
  <c r="P249" i="9"/>
  <c r="P208" i="9"/>
  <c r="P414" i="9"/>
  <c r="P143" i="9"/>
  <c r="P426" i="9"/>
  <c r="P177" i="9"/>
  <c r="P433" i="9"/>
  <c r="P277" i="9"/>
  <c r="P432" i="9"/>
  <c r="P299" i="9"/>
  <c r="P333" i="9"/>
  <c r="P278" i="9"/>
  <c r="P315" i="9"/>
  <c r="P397" i="9"/>
  <c r="P157" i="9"/>
  <c r="P272" i="9"/>
  <c r="P168" i="9"/>
  <c r="P111" i="9"/>
  <c r="P86" i="9"/>
  <c r="P61" i="9"/>
  <c r="P430" i="9"/>
  <c r="P456" i="9"/>
  <c r="P425" i="9"/>
  <c r="P258" i="9"/>
  <c r="P171" i="9"/>
  <c r="P134" i="9"/>
  <c r="P268" i="9"/>
  <c r="P181" i="9"/>
  <c r="P124" i="9"/>
  <c r="P436" i="9"/>
  <c r="P114" i="9"/>
  <c r="P446" i="9"/>
  <c r="P251" i="9"/>
  <c r="P8" i="9"/>
  <c r="P334" i="9"/>
  <c r="P345" i="9"/>
  <c r="P50" i="9"/>
  <c r="P247" i="9"/>
  <c r="P135" i="9"/>
  <c r="P390" i="9"/>
  <c r="P38" i="9"/>
  <c r="P295" i="9"/>
  <c r="P356" i="9"/>
  <c r="P213" i="9"/>
  <c r="P347" i="9"/>
  <c r="P104" i="9"/>
  <c r="P145" i="9"/>
  <c r="P48" i="9"/>
  <c r="P423" i="9"/>
  <c r="P293" i="9"/>
  <c r="P453" i="9"/>
  <c r="P112" i="9"/>
  <c r="P235" i="9"/>
  <c r="P107" i="9"/>
  <c r="P131" i="9"/>
  <c r="P166" i="9"/>
  <c r="P37" i="9"/>
  <c r="P127" i="9"/>
  <c r="P309" i="9"/>
  <c r="P256" i="9"/>
  <c r="P358" i="9"/>
  <c r="P328" i="9"/>
  <c r="P44" i="9"/>
  <c r="P381" i="9"/>
  <c r="P12" i="9"/>
  <c r="P384" i="9"/>
  <c r="P187" i="9"/>
  <c r="P266" i="9"/>
  <c r="P97" i="9"/>
  <c r="P355" i="9"/>
  <c r="P57" i="9"/>
  <c r="P92" i="9"/>
  <c r="P176" i="9"/>
  <c r="P234" i="9"/>
  <c r="P43" i="9"/>
  <c r="P351" i="9"/>
  <c r="P415" i="9"/>
  <c r="P420" i="9"/>
  <c r="P245" i="9"/>
  <c r="P190" i="9"/>
  <c r="P151" i="9"/>
  <c r="P265" i="9"/>
  <c r="P354" i="9"/>
  <c r="P262" i="9"/>
  <c r="P385" i="9"/>
  <c r="P454" i="9"/>
  <c r="P144" i="9"/>
  <c r="P399" i="9"/>
  <c r="P455" i="9"/>
  <c r="P4" i="9"/>
  <c r="P148" i="9"/>
  <c r="P274" i="9"/>
  <c r="P219" i="9"/>
  <c r="P393" i="9"/>
  <c r="P116" i="9"/>
  <c r="P84" i="9"/>
  <c r="P263" i="9"/>
  <c r="P28" i="9"/>
  <c r="P161" i="9"/>
  <c r="P184" i="9"/>
  <c r="P408" i="9"/>
  <c r="P403" i="9"/>
  <c r="P52" i="9"/>
  <c r="P238" i="9"/>
  <c r="P422" i="9"/>
  <c r="P194" i="9"/>
  <c r="P100" i="9"/>
  <c r="P198" i="9"/>
  <c r="P210" i="9"/>
  <c r="P189" i="9"/>
  <c r="P395" i="9"/>
  <c r="P308" i="9"/>
  <c r="P30" i="9"/>
  <c r="P294" i="9"/>
  <c r="P382" i="9"/>
  <c r="P374" i="9"/>
  <c r="P13" i="9"/>
  <c r="P404" i="9"/>
  <c r="P122" i="9"/>
  <c r="P200" i="9"/>
  <c r="P186" i="9"/>
  <c r="P241" i="9"/>
  <c r="P416" i="9"/>
  <c r="P419" i="9"/>
  <c r="P282" i="9"/>
  <c r="P195" i="9"/>
  <c r="P121" i="9"/>
  <c r="P215" i="9"/>
  <c r="P365" i="9"/>
  <c r="P373" i="9"/>
  <c r="P170" i="9"/>
  <c r="P223" i="9"/>
  <c r="P298" i="9"/>
  <c r="P285" i="9"/>
  <c r="P15" i="9"/>
  <c r="P205" i="9"/>
  <c r="P220" i="9"/>
  <c r="P65" i="9"/>
  <c r="P221" i="9"/>
  <c r="P296" i="9"/>
  <c r="P292" i="9"/>
  <c r="P273" i="9"/>
  <c r="P110" i="9"/>
  <c r="P326" i="9"/>
  <c r="P244" i="9"/>
  <c r="P163" i="9"/>
  <c r="P178" i="9"/>
  <c r="P242" i="9"/>
  <c r="P343" i="9"/>
  <c r="P216" i="9"/>
  <c r="P173" i="9"/>
  <c r="P290" i="9"/>
  <c r="P32" i="9"/>
  <c r="P353" i="9"/>
  <c r="P461" i="9"/>
  <c r="P126" i="9"/>
  <c r="P225" i="9"/>
  <c r="P153" i="9"/>
  <c r="P445" i="9"/>
  <c r="P444" i="9"/>
  <c r="P69" i="9"/>
  <c r="P119" i="9"/>
  <c r="P175" i="9"/>
  <c r="P417" i="9"/>
  <c r="P411" i="9"/>
  <c r="P405" i="9"/>
  <c r="P169" i="9"/>
  <c r="P253" i="9"/>
  <c r="P329" i="9"/>
  <c r="P217" i="9"/>
  <c r="P222" i="9"/>
  <c r="P260" i="9"/>
  <c r="P191" i="9"/>
  <c r="P291" i="9"/>
  <c r="P202" i="9"/>
  <c r="P26" i="9"/>
  <c r="P281" i="9"/>
  <c r="P60" i="9"/>
  <c r="P406" i="9"/>
  <c r="P300" i="9"/>
  <c r="P224" i="9"/>
  <c r="P460" i="9"/>
  <c r="P197" i="9"/>
  <c r="P182" i="9"/>
  <c r="P338" i="9"/>
  <c r="P90" i="9"/>
  <c r="P133" i="9"/>
  <c r="P130" i="9"/>
  <c r="P317" i="9"/>
  <c r="P5" i="1"/>
  <c r="R22" i="1" l="1"/>
  <c r="R24" i="1"/>
  <c r="R23" i="1"/>
  <c r="R21" i="1"/>
  <c r="Q21" i="1"/>
  <c r="Q27" i="1" s="1"/>
  <c r="P21" i="1"/>
  <c r="P27" i="1" s="1"/>
  <c r="Q24" i="1"/>
  <c r="Q23" i="1"/>
  <c r="Q22" i="1"/>
  <c r="P24" i="1"/>
  <c r="P23" i="1"/>
  <c r="P22" i="1"/>
  <c r="C34" i="1" l="1"/>
  <c r="C33" i="1"/>
  <c r="C32" i="1"/>
  <c r="I40" i="1" s="1"/>
  <c r="C28" i="1" l="1"/>
  <c r="I31" i="1" s="1"/>
  <c r="I41" i="1"/>
  <c r="I37" i="1"/>
  <c r="I43" i="1" l="1"/>
  <c r="B46" i="1"/>
  <c r="C13" i="1" s="1"/>
  <c r="I13" i="1" l="1"/>
  <c r="E13" i="1"/>
  <c r="I12" i="1"/>
  <c r="I8" i="1"/>
  <c r="I9" i="1"/>
  <c r="I5" i="1"/>
  <c r="I10" i="1"/>
  <c r="C14" i="1"/>
  <c r="C15" i="1" s="1"/>
  <c r="I11" i="1"/>
  <c r="I7" i="1"/>
  <c r="E15" i="1" l="1"/>
  <c r="I6" i="1"/>
  <c r="I4" i="1" s="1"/>
</calcChain>
</file>

<file path=xl/comments1.xml><?xml version="1.0" encoding="utf-8"?>
<comments xmlns="http://schemas.openxmlformats.org/spreadsheetml/2006/main">
  <authors>
    <author>Nemati, Bijan (383B)</author>
  </authors>
  <commentList>
    <comment ref="C42" authorId="0" shapeId="0">
      <text>
        <r>
          <rPr>
            <b/>
            <sz val="9"/>
            <color indexed="81"/>
            <rFont val="Tahoma"/>
            <family val="2"/>
          </rPr>
          <t>Nemati, Bijan (383B):</t>
        </r>
        <r>
          <rPr>
            <sz val="9"/>
            <color indexed="81"/>
            <rFont val="Tahoma"/>
            <family val="2"/>
          </rPr>
          <t xml:space="preserve">
This may be way too large
Is it consistent with charge transfer eff?</t>
        </r>
      </text>
    </comment>
  </commentList>
</comments>
</file>

<file path=xl/sharedStrings.xml><?xml version="1.0" encoding="utf-8"?>
<sst xmlns="http://schemas.openxmlformats.org/spreadsheetml/2006/main" count="1323" uniqueCount="768">
  <si>
    <r>
      <t>l (m</t>
    </r>
    <r>
      <rPr>
        <sz val="10"/>
        <rFont val="Arial"/>
        <family val="2"/>
      </rPr>
      <t>m</t>
    </r>
    <r>
      <rPr>
        <sz val="10"/>
        <rFont val="Symbol"/>
        <family val="1"/>
        <charset val="2"/>
      </rPr>
      <t>)</t>
    </r>
  </si>
  <si>
    <r>
      <t>Dl (m</t>
    </r>
    <r>
      <rPr>
        <sz val="10"/>
        <rFont val="Arial"/>
        <family val="2"/>
      </rPr>
      <t>m)</t>
    </r>
  </si>
  <si>
    <t>U</t>
  </si>
  <si>
    <t>B</t>
  </si>
  <si>
    <t>V</t>
  </si>
  <si>
    <t>R</t>
  </si>
  <si>
    <t>VIS</t>
  </si>
  <si>
    <t>I</t>
  </si>
  <si>
    <t>Y</t>
  </si>
  <si>
    <t>J</t>
  </si>
  <si>
    <t>H</t>
  </si>
  <si>
    <t>K</t>
  </si>
  <si>
    <t>L</t>
  </si>
  <si>
    <t>M</t>
  </si>
  <si>
    <t>N</t>
  </si>
  <si>
    <t>Q</t>
  </si>
  <si>
    <t>Vmag</t>
  </si>
  <si>
    <t>Col Diam</t>
  </si>
  <si>
    <t>m</t>
  </si>
  <si>
    <t>rad</t>
  </si>
  <si>
    <t>Diffraction Limit</t>
  </si>
  <si>
    <t>Spec Resolution</t>
  </si>
  <si>
    <t>Col. Area</t>
  </si>
  <si>
    <t>of diam</t>
  </si>
  <si>
    <t>Sec. Obsc. frac.</t>
  </si>
  <si>
    <t>m^2</t>
  </si>
  <si>
    <t>mag</t>
  </si>
  <si>
    <t>Photon Flux</t>
  </si>
  <si>
    <t>Band</t>
  </si>
  <si>
    <t>0 mag Photon Rates per spectral band (P. Lena and Joint Astronomy Centre Website)</t>
  </si>
  <si>
    <r>
      <t xml:space="preserve">Phot sec-1 m-2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m-1</t>
    </r>
  </si>
  <si>
    <t>Phot sec-1 cm-2 nm-1</t>
  </si>
  <si>
    <t>Photons 
sec-1 m-2</t>
  </si>
  <si>
    <t>Zodiacal Light brightness (Astrophysical Quantities 4th ed. p. 329)</t>
  </si>
  <si>
    <t>zodi (anti sun ecliptic)</t>
  </si>
  <si>
    <t>#10mag stars/deg^2</t>
  </si>
  <si>
    <t>zodi(90deg ecliptic)</t>
  </si>
  <si>
    <t>zodi (anti-sun, 75 deg lat)</t>
  </si>
  <si>
    <t>Choose 'typical' Zodi</t>
  </si>
  <si>
    <t>"Observational Astrophysics", P. Lena, pp. 91</t>
  </si>
  <si>
    <t>http://www.jach.hawaii.edu/UKIRT/astronomy/calib/phot_cal/conver.html</t>
  </si>
  <si>
    <t>h</t>
  </si>
  <si>
    <t>J-s</t>
  </si>
  <si>
    <t>Plank constant</t>
  </si>
  <si>
    <t>c</t>
  </si>
  <si>
    <t>m/s</t>
  </si>
  <si>
    <t>speed of light</t>
  </si>
  <si>
    <t>q</t>
  </si>
  <si>
    <t>C</t>
  </si>
  <si>
    <t>electron charge</t>
  </si>
  <si>
    <t>k</t>
  </si>
  <si>
    <t>J/K</t>
  </si>
  <si>
    <t>Boltzmann constant</t>
  </si>
  <si>
    <t>w_azim</t>
  </si>
  <si>
    <t>rad/sec</t>
  </si>
  <si>
    <t>azimuthal angular velocity at geosync</t>
  </si>
  <si>
    <t>arcsec</t>
  </si>
  <si>
    <t>deg</t>
  </si>
  <si>
    <t>hr</t>
  </si>
  <si>
    <t>sec</t>
  </si>
  <si>
    <t>min</t>
  </si>
  <si>
    <t>uas</t>
  </si>
  <si>
    <t>erg</t>
  </si>
  <si>
    <r>
      <t xml:space="preserve">a
</t>
    </r>
    <r>
      <rPr>
        <sz val="8"/>
        <color theme="1"/>
        <rFont val="Calibri"/>
        <family val="2"/>
        <scheme val="minor"/>
      </rPr>
      <t>=log10(E0)</t>
    </r>
  </si>
  <si>
    <r>
      <t xml:space="preserve">E0 
</t>
    </r>
    <r>
      <rPr>
        <sz val="8"/>
        <color theme="1"/>
        <rFont val="Calibri"/>
        <family val="2"/>
        <scheme val="minor"/>
      </rPr>
      <t xml:space="preserve">W m-2 </t>
    </r>
    <r>
      <rPr>
        <sz val="8"/>
        <rFont val="Symbol"/>
        <family val="1"/>
        <charset val="2"/>
      </rPr>
      <t>m</t>
    </r>
    <r>
      <rPr>
        <sz val="8"/>
        <color theme="1"/>
        <rFont val="Calibri"/>
        <family val="2"/>
        <scheme val="minor"/>
      </rPr>
      <t>m-1</t>
    </r>
  </si>
  <si>
    <t>Contrast</t>
  </si>
  <si>
    <t>ph/(s*m2)</t>
  </si>
  <si>
    <t>mag/as^2</t>
  </si>
  <si>
    <t>exo+local factor</t>
  </si>
  <si>
    <t>units</t>
  </si>
  <si>
    <t>value</t>
  </si>
  <si>
    <t>read noise</t>
  </si>
  <si>
    <t>e</t>
  </si>
  <si>
    <t>EM gain</t>
  </si>
  <si>
    <t>X</t>
  </si>
  <si>
    <t>e/pix/s</t>
  </si>
  <si>
    <t>ENF</t>
  </si>
  <si>
    <t xml:space="preserve">Excess Noise Fac. </t>
  </si>
  <si>
    <t>Frame Rate</t>
  </si>
  <si>
    <t>Hz</t>
  </si>
  <si>
    <t>s</t>
  </si>
  <si>
    <t>mpix</t>
  </si>
  <si>
    <t>QE</t>
  </si>
  <si>
    <t>Tel. transmission</t>
  </si>
  <si>
    <t>Quantum Eff.</t>
  </si>
  <si>
    <t>e/pix/fr</t>
  </si>
  <si>
    <t>Signal</t>
  </si>
  <si>
    <t>e/s</t>
  </si>
  <si>
    <t>Comments</t>
  </si>
  <si>
    <t xml:space="preserve">Local Zodi </t>
  </si>
  <si>
    <t>brightness density</t>
  </si>
  <si>
    <t>ph/s/m2/rad2</t>
  </si>
  <si>
    <t>CIC: ni=1e-4 im=3e-6</t>
  </si>
  <si>
    <t>Flux per solid ang.</t>
  </si>
  <si>
    <t>inc. exo zodi</t>
  </si>
  <si>
    <t>(loc+exo) / loc</t>
  </si>
  <si>
    <t>Tot. Throughput</t>
  </si>
  <si>
    <t>Zodi Noise</t>
  </si>
  <si>
    <t>shotNoise</t>
  </si>
  <si>
    <t>darkCurrNoise</t>
  </si>
  <si>
    <t>CICnoise</t>
  </si>
  <si>
    <t>readNoise</t>
  </si>
  <si>
    <t>Required Integ Time</t>
  </si>
  <si>
    <t>zodi</t>
  </si>
  <si>
    <t>Planet elec rate</t>
  </si>
  <si>
    <t>Zodi elec rate</t>
  </si>
  <si>
    <t>SNR Target</t>
  </si>
  <si>
    <t>photometric SNR</t>
  </si>
  <si>
    <t>Robbins 2003, w/ N=200</t>
  </si>
  <si>
    <t>r(lam/D)</t>
  </si>
  <si>
    <t>r(arcsec)</t>
  </si>
  <si>
    <t>contrast1.6</t>
  </si>
  <si>
    <t>core_thruput</t>
  </si>
  <si>
    <t>PSF_peak</t>
  </si>
  <si>
    <t>area(sq_arcsec)</t>
  </si>
  <si>
    <t>occ_trans</t>
  </si>
  <si>
    <t>HLC</t>
  </si>
  <si>
    <t>PIAA</t>
  </si>
  <si>
    <t>Core Throughput</t>
  </si>
  <si>
    <t>PSF Core Size (as^2)</t>
  </si>
  <si>
    <t xml:space="preserve">Working Angle </t>
  </si>
  <si>
    <t>Signal and Noise</t>
  </si>
  <si>
    <t>Planet photon flux</t>
  </si>
  <si>
    <t>Telescope</t>
  </si>
  <si>
    <t>Single Scenario SNR calculation</t>
  </si>
  <si>
    <t>R_E</t>
  </si>
  <si>
    <t>Radius</t>
  </si>
  <si>
    <t>R_Earth</t>
  </si>
  <si>
    <t>Semimajor Axis</t>
  </si>
  <si>
    <t>AU</t>
  </si>
  <si>
    <t>Albedo</t>
  </si>
  <si>
    <t>radius of the Earth</t>
  </si>
  <si>
    <t>Astronomical Unit</t>
  </si>
  <si>
    <t>Planet Contrast</t>
  </si>
  <si>
    <t>Distance</t>
  </si>
  <si>
    <t>pc</t>
  </si>
  <si>
    <r>
      <rPr>
        <i/>
        <sz val="11"/>
        <color theme="3"/>
        <rFont val="Symbol"/>
        <family val="1"/>
        <charset val="2"/>
      </rPr>
      <t>l</t>
    </r>
    <r>
      <rPr>
        <i/>
        <sz val="11"/>
        <color theme="3"/>
        <rFont val="Calibri"/>
        <family val="2"/>
        <scheme val="minor"/>
      </rPr>
      <t>/D</t>
    </r>
  </si>
  <si>
    <r>
      <t>FWHM on sky (</t>
    </r>
    <r>
      <rPr>
        <i/>
        <sz val="11"/>
        <color theme="6" tint="-0.249977111117893"/>
        <rFont val="Symbol"/>
        <family val="1"/>
        <charset val="2"/>
      </rPr>
      <t>l</t>
    </r>
    <r>
      <rPr>
        <i/>
        <sz val="11"/>
        <color theme="6" tint="-0.249977111117893"/>
        <rFont val="Calibri"/>
        <family val="2"/>
        <scheme val="minor"/>
      </rPr>
      <t>/D)</t>
    </r>
  </si>
  <si>
    <t>as^2</t>
  </si>
  <si>
    <t>PSF Core Size</t>
  </si>
  <si>
    <t>from planet characteristics</t>
  </si>
  <si>
    <t>15 surfaces @ 97%</t>
  </si>
  <si>
    <t>Performance Characteristics of the Various Coronagraph Architectures</t>
  </si>
  <si>
    <r>
      <rPr>
        <sz val="11"/>
        <color theme="7" tint="-0.249977111117893"/>
        <rFont val="Symbol"/>
        <family val="1"/>
        <charset val="2"/>
      </rPr>
      <t>l</t>
    </r>
    <r>
      <rPr>
        <sz val="11"/>
        <color theme="7" tint="-0.249977111117893"/>
        <rFont val="Calibri"/>
        <family val="2"/>
        <scheme val="minor"/>
      </rPr>
      <t>/D</t>
    </r>
  </si>
  <si>
    <t>Speckle</t>
  </si>
  <si>
    <t>f_pp</t>
  </si>
  <si>
    <t>supp. in post-proc.</t>
  </si>
  <si>
    <t>speckleNoise</t>
  </si>
  <si>
    <t xml:space="preserve">zodi shot </t>
  </si>
  <si>
    <t>Speckle Structure</t>
  </si>
  <si>
    <t>SNR Check</t>
  </si>
  <si>
    <t>SNR</t>
  </si>
  <si>
    <t>Struct. suppression</t>
  </si>
  <si>
    <t xml:space="preserve">Noise </t>
  </si>
  <si>
    <t>signal shot noise</t>
  </si>
  <si>
    <t>&lt;sp&gt; shot noise</t>
  </si>
  <si>
    <t>all but Speck.struc.</t>
  </si>
  <si>
    <t>Noise rate n_tot</t>
  </si>
  <si>
    <t xml:space="preserve">vesrion </t>
  </si>
  <si>
    <t>who</t>
  </si>
  <si>
    <t>Comment</t>
  </si>
  <si>
    <t>BN</t>
  </si>
  <si>
    <t>took out f_psf since core_throughput includes it already</t>
  </si>
  <si>
    <t>mean rate</t>
  </si>
  <si>
    <t>contrast0.8</t>
  </si>
  <si>
    <t>contrast0.2</t>
  </si>
  <si>
    <t>contrast0.4</t>
  </si>
  <si>
    <t>Uses new performance tables with lower jitter numbers from John Krist</t>
  </si>
  <si>
    <t>Pointing Jitter</t>
  </si>
  <si>
    <t>Jitter (mas)</t>
  </si>
  <si>
    <t>mas</t>
  </si>
  <si>
    <t>Loopkup table used on main page</t>
  </si>
  <si>
    <t xml:space="preserve">Contrast col </t>
  </si>
  <si>
    <t>Wes used 300s</t>
  </si>
  <si>
    <t>CCD</t>
  </si>
  <si>
    <t>EMCCD</t>
  </si>
  <si>
    <t>PC EMCCD</t>
  </si>
  <si>
    <t>Option</t>
  </si>
  <si>
    <t>EM Gain</t>
  </si>
  <si>
    <t>Read Noise (e-)</t>
  </si>
  <si>
    <t>Dark current</t>
  </si>
  <si>
    <t>drop-down</t>
  </si>
  <si>
    <t>Type</t>
  </si>
  <si>
    <t>Coronagraph Options</t>
  </si>
  <si>
    <t>Frame Rate (fps)</t>
  </si>
  <si>
    <t>calculate</t>
  </si>
  <si>
    <t>Constants and Tables</t>
  </si>
  <si>
    <t>Physical Constants</t>
  </si>
  <si>
    <t>Astronomical Constants</t>
  </si>
  <si>
    <t>Units of Spectial Interest</t>
  </si>
  <si>
    <t>Detector Tables for Imaging Camera including photon counting EMCCD</t>
  </si>
  <si>
    <t xml:space="preserve">Coronagraph </t>
  </si>
  <si>
    <t>VMAG</t>
  </si>
  <si>
    <t xml:space="preserve">DIST  </t>
  </si>
  <si>
    <t xml:space="preserve">RADEG </t>
  </si>
  <si>
    <t>DECDEG</t>
  </si>
  <si>
    <t>NAME</t>
  </si>
  <si>
    <t xml:space="preserve">  MASS</t>
  </si>
  <si>
    <t>RADIUS</t>
  </si>
  <si>
    <t>ALBEDO</t>
  </si>
  <si>
    <t>PERIOD</t>
  </si>
  <si>
    <t>SMA</t>
  </si>
  <si>
    <t>ECC</t>
  </si>
  <si>
    <t>smax</t>
  </si>
  <si>
    <t>SPEC</t>
  </si>
  <si>
    <t>HD62509</t>
  </si>
  <si>
    <t>K0IIIb</t>
  </si>
  <si>
    <t>HD12929</t>
  </si>
  <si>
    <t>K2III</t>
  </si>
  <si>
    <t>HR4057</t>
  </si>
  <si>
    <t>K1IIIb</t>
  </si>
  <si>
    <t>HR8974</t>
  </si>
  <si>
    <t>K1IV</t>
  </si>
  <si>
    <t>HD163917</t>
  </si>
  <si>
    <t>G9III</t>
  </si>
  <si>
    <t>HIP75458</t>
  </si>
  <si>
    <t>HD28305</t>
  </si>
  <si>
    <t>K0III</t>
  </si>
  <si>
    <t>HD22049</t>
  </si>
  <si>
    <t>K2Vk:</t>
  </si>
  <si>
    <t>7CMa</t>
  </si>
  <si>
    <t>K1III</t>
  </si>
  <si>
    <t>HD9826</t>
  </si>
  <si>
    <t>F9V</t>
  </si>
  <si>
    <t>HD143107</t>
  </si>
  <si>
    <t>HD20794</t>
  </si>
  <si>
    <t>G8V</t>
  </si>
  <si>
    <t>HD60532</t>
  </si>
  <si>
    <t>F6IV-V</t>
  </si>
  <si>
    <t>HD27442</t>
  </si>
  <si>
    <t>HD120136</t>
  </si>
  <si>
    <t>F6IV+M2</t>
  </si>
  <si>
    <t>4Uma</t>
  </si>
  <si>
    <t>HD110014</t>
  </si>
  <si>
    <t>HD11977</t>
  </si>
  <si>
    <t>G8.5III</t>
  </si>
  <si>
    <t>HD188310</t>
  </si>
  <si>
    <t>G9IIIb</t>
  </si>
  <si>
    <t>11Com</t>
  </si>
  <si>
    <t>G8II-III</t>
  </si>
  <si>
    <t>61Vir</t>
  </si>
  <si>
    <t>G7V</t>
  </si>
  <si>
    <t>HD142091</t>
  </si>
  <si>
    <t>K1IVa</t>
  </si>
  <si>
    <t>42Dra</t>
  </si>
  <si>
    <t>K1.5III</t>
  </si>
  <si>
    <t>HD102365</t>
  </si>
  <si>
    <t>G2V</t>
  </si>
  <si>
    <t>70Vir</t>
  </si>
  <si>
    <t>G4V</t>
  </si>
  <si>
    <t>11UMi</t>
  </si>
  <si>
    <t>K4III</t>
  </si>
  <si>
    <t>47Uma</t>
  </si>
  <si>
    <t>G1V</t>
  </si>
  <si>
    <t>HD19994</t>
  </si>
  <si>
    <t>F8V</t>
  </si>
  <si>
    <t>HD33564</t>
  </si>
  <si>
    <t>F6V</t>
  </si>
  <si>
    <t>HD160691</t>
  </si>
  <si>
    <t>G3IV-V</t>
  </si>
  <si>
    <t>14And</t>
  </si>
  <si>
    <t>G8III</t>
  </si>
  <si>
    <t>HD176051</t>
  </si>
  <si>
    <t>G0V+k1V</t>
  </si>
  <si>
    <t>HD47536</t>
  </si>
  <si>
    <t>HD147513</t>
  </si>
  <si>
    <t>G5V</t>
  </si>
  <si>
    <t>HR810</t>
  </si>
  <si>
    <t>HD81688</t>
  </si>
  <si>
    <t>K0III-IV</t>
  </si>
  <si>
    <t>51Peg</t>
  </si>
  <si>
    <t>G2.5IVa</t>
  </si>
  <si>
    <t>HD122430</t>
  </si>
  <si>
    <t>K3III</t>
  </si>
  <si>
    <t>HD136512</t>
  </si>
  <si>
    <t>HD10647</t>
  </si>
  <si>
    <t>18Del</t>
  </si>
  <si>
    <t>G6III:</t>
  </si>
  <si>
    <t>HD136352</t>
  </si>
  <si>
    <t>81Cet</t>
  </si>
  <si>
    <t>G5III:</t>
  </si>
  <si>
    <t>HD39091</t>
  </si>
  <si>
    <t>G0V</t>
  </si>
  <si>
    <t>HD142</t>
  </si>
  <si>
    <t>F7V</t>
  </si>
  <si>
    <t>HD190360</t>
  </si>
  <si>
    <t>G7IV-V</t>
  </si>
  <si>
    <t>Gl785</t>
  </si>
  <si>
    <t>K2+V</t>
  </si>
  <si>
    <t>HD192310</t>
  </si>
  <si>
    <t>HD89744</t>
  </si>
  <si>
    <t>HD30562</t>
  </si>
  <si>
    <t>HD16417</t>
  </si>
  <si>
    <t>HD104985</t>
  </si>
  <si>
    <t>6Lyn</t>
  </si>
  <si>
    <t>HD3651</t>
  </si>
  <si>
    <t>K0V</t>
  </si>
  <si>
    <t>HD169830</t>
  </si>
  <si>
    <t>HD38529</t>
  </si>
  <si>
    <t>HD210702</t>
  </si>
  <si>
    <t>55Cnc</t>
  </si>
  <si>
    <t>HD167042</t>
  </si>
  <si>
    <t>HD69830</t>
  </si>
  <si>
    <t>G8+V</t>
  </si>
  <si>
    <t>HD38858</t>
  </si>
  <si>
    <t>HD139357</t>
  </si>
  <si>
    <t>K4III:</t>
  </si>
  <si>
    <t>HD216435</t>
  </si>
  <si>
    <t>HD173416</t>
  </si>
  <si>
    <t>G8</t>
  </si>
  <si>
    <t>HD216437</t>
  </si>
  <si>
    <t>G1VFe+0.3</t>
  </si>
  <si>
    <t>HD189567</t>
  </si>
  <si>
    <t>Gl86</t>
  </si>
  <si>
    <t>G9V</t>
  </si>
  <si>
    <t>HD217107</t>
  </si>
  <si>
    <t>G8IV</t>
  </si>
  <si>
    <t>HD179949</t>
  </si>
  <si>
    <t>HD134060</t>
  </si>
  <si>
    <t>G0VFe+0.4</t>
  </si>
  <si>
    <t>HD10697</t>
  </si>
  <si>
    <t>G5IV</t>
  </si>
  <si>
    <t>HD52265</t>
  </si>
  <si>
    <t>HD8673</t>
  </si>
  <si>
    <t>HD75289</t>
  </si>
  <si>
    <t>F9VFe+0.3</t>
  </si>
  <si>
    <t>HD45184</t>
  </si>
  <si>
    <t>G1.5V</t>
  </si>
  <si>
    <t>HD196885</t>
  </si>
  <si>
    <t>F8IV:</t>
  </si>
  <si>
    <t>HD20367</t>
  </si>
  <si>
    <t>G0</t>
  </si>
  <si>
    <t>HD11964</t>
  </si>
  <si>
    <t>G9VCN+1</t>
  </si>
  <si>
    <t>HD32518</t>
  </si>
  <si>
    <t>HD100655</t>
  </si>
  <si>
    <t>24Sex</t>
  </si>
  <si>
    <t>G5</t>
  </si>
  <si>
    <t>HD192699</t>
  </si>
  <si>
    <t>HD134987</t>
  </si>
  <si>
    <t>G6IV-V</t>
  </si>
  <si>
    <t>HD1461</t>
  </si>
  <si>
    <t>HD200964</t>
  </si>
  <si>
    <t>K0</t>
  </si>
  <si>
    <t>HD96700</t>
  </si>
  <si>
    <t>HD82943</t>
  </si>
  <si>
    <t>F9VFe+0.5</t>
  </si>
  <si>
    <t>HD4308</t>
  </si>
  <si>
    <t>G6VFe-0.9</t>
  </si>
  <si>
    <t>HD145457</t>
  </si>
  <si>
    <t>GJ3021</t>
  </si>
  <si>
    <t>HD154088</t>
  </si>
  <si>
    <t>K0IV-V</t>
  </si>
  <si>
    <t>HD180314</t>
  </si>
  <si>
    <t>HD210277</t>
  </si>
  <si>
    <t>HD215456</t>
  </si>
  <si>
    <t>G0.5V</t>
  </si>
  <si>
    <t>14Her</t>
  </si>
  <si>
    <t>HD156411</t>
  </si>
  <si>
    <t>G1Vw...</t>
  </si>
  <si>
    <t>HD185269</t>
  </si>
  <si>
    <t>G0IV</t>
  </si>
  <si>
    <t>HD114729</t>
  </si>
  <si>
    <t>HD38283</t>
  </si>
  <si>
    <t>F9.5V</t>
  </si>
  <si>
    <t>HD40979</t>
  </si>
  <si>
    <t>F8</t>
  </si>
  <si>
    <t>HD154345</t>
  </si>
  <si>
    <t>HD178911</t>
  </si>
  <si>
    <t>HD16141</t>
  </si>
  <si>
    <t>HD213240</t>
  </si>
  <si>
    <t>G0/G1V</t>
  </si>
  <si>
    <t>HD197037</t>
  </si>
  <si>
    <t>HD50554</t>
  </si>
  <si>
    <t>HD134606</t>
  </si>
  <si>
    <t>G6IV</t>
  </si>
  <si>
    <t>BD-10316</t>
  </si>
  <si>
    <t>HD195019</t>
  </si>
  <si>
    <t>HD148427</t>
  </si>
  <si>
    <t>K0III/IV</t>
  </si>
  <si>
    <t>HD168443</t>
  </si>
  <si>
    <t>G6V</t>
  </si>
  <si>
    <t>HD90156</t>
  </si>
  <si>
    <t>HD164922</t>
  </si>
  <si>
    <t>HD108147</t>
  </si>
  <si>
    <t>F8/G0V</t>
  </si>
  <si>
    <t>HD150706</t>
  </si>
  <si>
    <t>G3V</t>
  </si>
  <si>
    <t>HD89307</t>
  </si>
  <si>
    <t>HD220773</t>
  </si>
  <si>
    <t>HD23079</t>
  </si>
  <si>
    <t>HD8574</t>
  </si>
  <si>
    <t>HD222155</t>
  </si>
  <si>
    <t>HD31253</t>
  </si>
  <si>
    <t>HD40307</t>
  </si>
  <si>
    <t>K2.5V</t>
  </si>
  <si>
    <t>HD117618</t>
  </si>
  <si>
    <t>HD177830</t>
  </si>
  <si>
    <t>K0+M3.5V</t>
  </si>
  <si>
    <t>HD70642</t>
  </si>
  <si>
    <t>G6VCN+0.5</t>
  </si>
  <si>
    <t>HD7924</t>
  </si>
  <si>
    <t>HD50499</t>
  </si>
  <si>
    <t>HD187085</t>
  </si>
  <si>
    <t>HD150433</t>
  </si>
  <si>
    <t>HD154857</t>
  </si>
  <si>
    <t>HD159868</t>
  </si>
  <si>
    <t>HD23596</t>
  </si>
  <si>
    <t>HD117207</t>
  </si>
  <si>
    <t>HD141937</t>
  </si>
  <si>
    <t>HD155358</t>
  </si>
  <si>
    <t>HD16175</t>
  </si>
  <si>
    <t>HD114762</t>
  </si>
  <si>
    <t>HD92788</t>
  </si>
  <si>
    <t>HD10180</t>
  </si>
  <si>
    <t>HD34445</t>
  </si>
  <si>
    <t>HD142415</t>
  </si>
  <si>
    <t>HD106515</t>
  </si>
  <si>
    <t>HD106252</t>
  </si>
  <si>
    <t>HD153950</t>
  </si>
  <si>
    <t>HD20782</t>
  </si>
  <si>
    <t>NaN</t>
  </si>
  <si>
    <t>NGC4349</t>
  </si>
  <si>
    <t>~</t>
  </si>
  <si>
    <t>HD96127</t>
  </si>
  <si>
    <t>K2</t>
  </si>
  <si>
    <t>HD86264</t>
  </si>
  <si>
    <t>HD12661</t>
  </si>
  <si>
    <t>HD128311</t>
  </si>
  <si>
    <t>K3V</t>
  </si>
  <si>
    <t>HD102117</t>
  </si>
  <si>
    <t>HD142245</t>
  </si>
  <si>
    <t>HD158038</t>
  </si>
  <si>
    <t>K2II</t>
  </si>
  <si>
    <t>HD208487</t>
  </si>
  <si>
    <t>G2V:</t>
  </si>
  <si>
    <t>HD72659</t>
  </si>
  <si>
    <t>HD7449</t>
  </si>
  <si>
    <t>HD31527</t>
  </si>
  <si>
    <t>HD93385</t>
  </si>
  <si>
    <t>G2/G3V</t>
  </si>
  <si>
    <t>HD196050</t>
  </si>
  <si>
    <t>HD11506</t>
  </si>
  <si>
    <t>HD121504</t>
  </si>
  <si>
    <t>HD24040</t>
  </si>
  <si>
    <t>HD99492</t>
  </si>
  <si>
    <t>K2V</t>
  </si>
  <si>
    <t>HD114783</t>
  </si>
  <si>
    <t>K1V</t>
  </si>
  <si>
    <t>HD181342</t>
  </si>
  <si>
    <t>HD87883</t>
  </si>
  <si>
    <t>HD13189</t>
  </si>
  <si>
    <t>K1II-III</t>
  </si>
  <si>
    <t>HD106270</t>
  </si>
  <si>
    <t>HD13931</t>
  </si>
  <si>
    <t>HD212771</t>
  </si>
  <si>
    <t>HD111232</t>
  </si>
  <si>
    <t>G8VFe-1.0</t>
  </si>
  <si>
    <t>HD74156</t>
  </si>
  <si>
    <t>HD47186</t>
  </si>
  <si>
    <t>HD82886</t>
  </si>
  <si>
    <t>HD99706</t>
  </si>
  <si>
    <t>HD85512</t>
  </si>
  <si>
    <t>K6Vk:</t>
  </si>
  <si>
    <t>HD28254</t>
  </si>
  <si>
    <t>HD37124</t>
  </si>
  <si>
    <t>G4IV-V</t>
  </si>
  <si>
    <t>HD142022</t>
  </si>
  <si>
    <t>G9IV-V</t>
  </si>
  <si>
    <t>HD148156</t>
  </si>
  <si>
    <t>HD222582</t>
  </si>
  <si>
    <t>HD8535</t>
  </si>
  <si>
    <t>HD44219</t>
  </si>
  <si>
    <t>HD108863</t>
  </si>
  <si>
    <t>HD6434</t>
  </si>
  <si>
    <t>G2/3V</t>
  </si>
  <si>
    <t>HD17092</t>
  </si>
  <si>
    <t>HD81040</t>
  </si>
  <si>
    <t>HD212301</t>
  </si>
  <si>
    <t>HD192263</t>
  </si>
  <si>
    <t>HD217786</t>
  </si>
  <si>
    <t>HD180902</t>
  </si>
  <si>
    <t>HD190647</t>
  </si>
  <si>
    <t>HD25171</t>
  </si>
  <si>
    <t>HD4208</t>
  </si>
  <si>
    <t>G7VFe-1CH-0.5</t>
  </si>
  <si>
    <t>HD131496</t>
  </si>
  <si>
    <t>HD18742</t>
  </si>
  <si>
    <t>G9IV</t>
  </si>
  <si>
    <t>HD221287</t>
  </si>
  <si>
    <t>HD28185</t>
  </si>
  <si>
    <t>G6.5IV-V</t>
  </si>
  <si>
    <t>HD4313</t>
  </si>
  <si>
    <t>HD187123</t>
  </si>
  <si>
    <t>HD46375</t>
  </si>
  <si>
    <t>HD126525</t>
  </si>
  <si>
    <t>HD102956</t>
  </si>
  <si>
    <t>HD157172</t>
  </si>
  <si>
    <t>G8.5V</t>
  </si>
  <si>
    <t>HD181720</t>
  </si>
  <si>
    <t>HD183263</t>
  </si>
  <si>
    <t>G2IV</t>
  </si>
  <si>
    <t>HD136418</t>
  </si>
  <si>
    <t>HD4113</t>
  </si>
  <si>
    <t>HD45350</t>
  </si>
  <si>
    <t>HD102329</t>
  </si>
  <si>
    <t>HD116029</t>
  </si>
  <si>
    <t>HD149143</t>
  </si>
  <si>
    <t>HD30856</t>
  </si>
  <si>
    <t>HD104067</t>
  </si>
  <si>
    <t>K3Vk:</t>
  </si>
  <si>
    <t>HD86226</t>
  </si>
  <si>
    <t>HD21693</t>
  </si>
  <si>
    <t>HD168746</t>
  </si>
  <si>
    <t>HD95089</t>
  </si>
  <si>
    <t>HD179079</t>
  </si>
  <si>
    <t>HD33142</t>
  </si>
  <si>
    <t>HD65216</t>
  </si>
  <si>
    <t>G5V+M7-8+L2-3</t>
  </si>
  <si>
    <t>HD163607</t>
  </si>
  <si>
    <t>HD175167</t>
  </si>
  <si>
    <t>G5IV/V</t>
  </si>
  <si>
    <t>HD175541</t>
  </si>
  <si>
    <t>HD219828</t>
  </si>
  <si>
    <t>HD107148</t>
  </si>
  <si>
    <t>HD204313</t>
  </si>
  <si>
    <t>HD43691</t>
  </si>
  <si>
    <t>HD79498</t>
  </si>
  <si>
    <t>HD48265</t>
  </si>
  <si>
    <t>HD7199</t>
  </si>
  <si>
    <t>HD75898</t>
  </si>
  <si>
    <t>HD98219</t>
  </si>
  <si>
    <t>HD130322</t>
  </si>
  <si>
    <t>HD33283</t>
  </si>
  <si>
    <t>HD5319</t>
  </si>
  <si>
    <t>HD102195</t>
  </si>
  <si>
    <t>HD118203</t>
  </si>
  <si>
    <t>HD45364</t>
  </si>
  <si>
    <t>HD73256</t>
  </si>
  <si>
    <t>G8IV-VFe+0.5</t>
  </si>
  <si>
    <t>HD88133</t>
  </si>
  <si>
    <t>HD202206</t>
  </si>
  <si>
    <t>HD39194</t>
  </si>
  <si>
    <t>HD109749</t>
  </si>
  <si>
    <t>HD156279</t>
  </si>
  <si>
    <t>HD96167</t>
  </si>
  <si>
    <t>HD145377</t>
  </si>
  <si>
    <t>HD216770</t>
  </si>
  <si>
    <t>HD49674</t>
  </si>
  <si>
    <t>HD63765</t>
  </si>
  <si>
    <t>HD164509</t>
  </si>
  <si>
    <t>HD5891</t>
  </si>
  <si>
    <t>HD45652</t>
  </si>
  <si>
    <t>K5</t>
  </si>
  <si>
    <t>HD215152</t>
  </si>
  <si>
    <t>HD76700</t>
  </si>
  <si>
    <t>HD240237</t>
  </si>
  <si>
    <t>HD51608</t>
  </si>
  <si>
    <t>HD170469</t>
  </si>
  <si>
    <t>HD68988</t>
  </si>
  <si>
    <t>HD154672</t>
  </si>
  <si>
    <t>G3IV</t>
  </si>
  <si>
    <t>HD101930</t>
  </si>
  <si>
    <t>K2V+</t>
  </si>
  <si>
    <t>HD224693</t>
  </si>
  <si>
    <t>HD188015</t>
  </si>
  <si>
    <t>HD73534</t>
  </si>
  <si>
    <t>HD83443</t>
  </si>
  <si>
    <t>HD96063</t>
  </si>
  <si>
    <t>HD66428</t>
  </si>
  <si>
    <t>HD240210</t>
  </si>
  <si>
    <t>K7</t>
  </si>
  <si>
    <t>HD38801</t>
  </si>
  <si>
    <t>HD171028</t>
  </si>
  <si>
    <t>HD147018</t>
  </si>
  <si>
    <t>HD125612</t>
  </si>
  <si>
    <t>HD93083</t>
  </si>
  <si>
    <t>K2IV-V</t>
  </si>
  <si>
    <t>HD1502</t>
  </si>
  <si>
    <t>HD152581</t>
  </si>
  <si>
    <t>HD206610</t>
  </si>
  <si>
    <t>HD9446</t>
  </si>
  <si>
    <t>HD20003</t>
  </si>
  <si>
    <t>HD30177</t>
  </si>
  <si>
    <t>HD13808</t>
  </si>
  <si>
    <t>HD181433</t>
  </si>
  <si>
    <t>K3III-IV</t>
  </si>
  <si>
    <t>HD132563</t>
  </si>
  <si>
    <t>F8III</t>
  </si>
  <si>
    <t>HD100777</t>
  </si>
  <si>
    <t>HD156668</t>
  </si>
  <si>
    <t>HD20781</t>
  </si>
  <si>
    <t>G9.5V</t>
  </si>
  <si>
    <t>HD28678</t>
  </si>
  <si>
    <t>HD132406</t>
  </si>
  <si>
    <t>HD6718</t>
  </si>
  <si>
    <t>HD204941</t>
  </si>
  <si>
    <t>HIP14810</t>
  </si>
  <si>
    <t>HD205739</t>
  </si>
  <si>
    <t>HD23127</t>
  </si>
  <si>
    <t>HD85390</t>
  </si>
  <si>
    <t>K1.5V</t>
  </si>
  <si>
    <t>HD41004A</t>
  </si>
  <si>
    <t>HD218566</t>
  </si>
  <si>
    <t>HD171238</t>
  </si>
  <si>
    <t>HD70573</t>
  </si>
  <si>
    <t>G1/2V</t>
  </si>
  <si>
    <t>GJ832</t>
  </si>
  <si>
    <t>M1.5</t>
  </si>
  <si>
    <t>HD4203</t>
  </si>
  <si>
    <t>HD37605</t>
  </si>
  <si>
    <t>HD137388</t>
  </si>
  <si>
    <t>K2IV</t>
  </si>
  <si>
    <t>HD86081</t>
  </si>
  <si>
    <t>HD102272</t>
  </si>
  <si>
    <t>HD114386</t>
  </si>
  <si>
    <t>HD190984</t>
  </si>
  <si>
    <t>HD108874</t>
  </si>
  <si>
    <t>HD109246</t>
  </si>
  <si>
    <t>HD22781</t>
  </si>
  <si>
    <t>HD126614</t>
  </si>
  <si>
    <t>K0V+MV</t>
  </si>
  <si>
    <t>HD129445</t>
  </si>
  <si>
    <t>HD73267</t>
  </si>
  <si>
    <t>HD290327</t>
  </si>
  <si>
    <t>HD215497</t>
  </si>
  <si>
    <t>HD43197</t>
  </si>
  <si>
    <t>G9IV/V</t>
  </si>
  <si>
    <t>HIP57274</t>
  </si>
  <si>
    <t>K8</t>
  </si>
  <si>
    <t>HD231701</t>
  </si>
  <si>
    <t>HD2039</t>
  </si>
  <si>
    <t>G2/G3IV/V</t>
  </si>
  <si>
    <t>HD73526</t>
  </si>
  <si>
    <t>HD125595</t>
  </si>
  <si>
    <t>K4Vk:</t>
  </si>
  <si>
    <t>HD113538</t>
  </si>
  <si>
    <t>K9Vk:</t>
  </si>
  <si>
    <t>HD99109</t>
  </si>
  <si>
    <t>HD162020</t>
  </si>
  <si>
    <t>BD+48738</t>
  </si>
  <si>
    <t>HD143361</t>
  </si>
  <si>
    <t>HD152079</t>
  </si>
  <si>
    <t>HD1690</t>
  </si>
  <si>
    <t>HD330075</t>
  </si>
  <si>
    <t>HD63454</t>
  </si>
  <si>
    <t>HD2638</t>
  </si>
  <si>
    <t>HD103197</t>
  </si>
  <si>
    <t>K1Vp...</t>
  </si>
  <si>
    <t>GJ674</t>
  </si>
  <si>
    <t>M3V</t>
  </si>
  <si>
    <t>HD27894</t>
  </si>
  <si>
    <t>BD-1763</t>
  </si>
  <si>
    <t>Gl649</t>
  </si>
  <si>
    <t>M2.0V</t>
  </si>
  <si>
    <t>BD+144559</t>
  </si>
  <si>
    <t>BD+202457</t>
  </si>
  <si>
    <t>GJ433</t>
  </si>
  <si>
    <t>HD164604</t>
  </si>
  <si>
    <t>K3.5Vk:</t>
  </si>
  <si>
    <t>HIP11952</t>
  </si>
  <si>
    <t>F0V</t>
  </si>
  <si>
    <t>HD20868</t>
  </si>
  <si>
    <t>K3/K4IV</t>
  </si>
  <si>
    <t>GJ176</t>
  </si>
  <si>
    <t>M2</t>
  </si>
  <si>
    <t>HIP13044</t>
  </si>
  <si>
    <t>F2</t>
  </si>
  <si>
    <t>NGC24233</t>
  </si>
  <si>
    <t>GIV/V</t>
  </si>
  <si>
    <t>Gliese87</t>
  </si>
  <si>
    <t>M2.5V</t>
  </si>
  <si>
    <t>HIP5158</t>
  </si>
  <si>
    <t>GJ667C</t>
  </si>
  <si>
    <t>M1.5V</t>
  </si>
  <si>
    <t>HIP12961</t>
  </si>
  <si>
    <t>M0</t>
  </si>
  <si>
    <t>Gj849</t>
  </si>
  <si>
    <t>M3.5V</t>
  </si>
  <si>
    <t>HIP70849</t>
  </si>
  <si>
    <t>K7Vk</t>
  </si>
  <si>
    <t>HAT-P-17</t>
  </si>
  <si>
    <t>HAT-P-13</t>
  </si>
  <si>
    <t>G4</t>
  </si>
  <si>
    <t>BD-08282</t>
  </si>
  <si>
    <t>Gl581</t>
  </si>
  <si>
    <t>M5.0V</t>
  </si>
  <si>
    <t>HIP79431</t>
  </si>
  <si>
    <t>CoRoT-7</t>
  </si>
  <si>
    <t>HIP57050</t>
  </si>
  <si>
    <t>M4</t>
  </si>
  <si>
    <t>GJ3634</t>
  </si>
  <si>
    <t>M2.5</t>
  </si>
  <si>
    <t>GJ317</t>
  </si>
  <si>
    <t>M3.5</t>
  </si>
  <si>
    <t>Gl179</t>
  </si>
  <si>
    <t>HD41004B</t>
  </si>
  <si>
    <t>16CygB</t>
  </si>
  <si>
    <t>Imaging Detector Options</t>
  </si>
  <si>
    <t>Host Star</t>
  </si>
  <si>
    <t>Spec Type</t>
  </si>
  <si>
    <t>Mass</t>
  </si>
  <si>
    <t>M_Jup</t>
  </si>
  <si>
    <t>Eccentricity</t>
  </si>
  <si>
    <t>From RV list</t>
  </si>
  <si>
    <t xml:space="preserve">a </t>
  </si>
  <si>
    <t>Working Angle</t>
  </si>
  <si>
    <t>Excluded</t>
  </si>
  <si>
    <t>Planet Properties</t>
  </si>
  <si>
    <t>Planet Candidate</t>
  </si>
  <si>
    <t>Pl. working ang.</t>
  </si>
  <si>
    <t>pl. separation</t>
  </si>
  <si>
    <t>Focal Plane</t>
  </si>
  <si>
    <t>Imaging</t>
  </si>
  <si>
    <t>IFS</t>
  </si>
  <si>
    <t>Width</t>
  </si>
  <si>
    <t>Height</t>
  </si>
  <si>
    <t>shape</t>
  </si>
  <si>
    <t>circle</t>
  </si>
  <si>
    <t>streak</t>
  </si>
  <si>
    <t>Area (pix)</t>
  </si>
  <si>
    <t>Detector Focal Plane</t>
  </si>
  <si>
    <t>RV start list added, as well as the choice of focal plane</t>
  </si>
  <si>
    <t xml:space="preserve">SNR and Required Integration Times for AFTA Coronagraph Cameras </t>
  </si>
  <si>
    <t>e,  s.dev</t>
  </si>
  <si>
    <t>e   (rss)</t>
  </si>
  <si>
    <t>9,14</t>
  </si>
  <si>
    <t>Detector Architecture</t>
  </si>
  <si>
    <t>10% bandwidth;  IFS req SNR =10 in one res element!</t>
  </si>
  <si>
    <t>SNR pixels</t>
  </si>
  <si>
    <t>Science Instrument</t>
  </si>
  <si>
    <t>lambda</t>
  </si>
  <si>
    <t>E(mag)</t>
  </si>
  <si>
    <t>E0 = 10^a    and    E(mag) = 10^(a - 0.4*mag) in W/m2/um</t>
  </si>
  <si>
    <r>
      <t xml:space="preserve">*Note:   flux paramter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allows smooth interpolation of flux for arbitrary bands: </t>
    </r>
  </si>
  <si>
    <r>
      <t xml:space="preserve">Center </t>
    </r>
    <r>
      <rPr>
        <sz val="11"/>
        <color theme="1"/>
        <rFont val="Symbol"/>
        <family val="1"/>
        <charset val="2"/>
      </rPr>
      <t>l</t>
    </r>
  </si>
  <si>
    <t>V-band ctr.</t>
  </si>
  <si>
    <t>Bandwidth</t>
  </si>
  <si>
    <t>V-band is 16.18%</t>
  </si>
  <si>
    <t>Light fract.</t>
  </si>
  <si>
    <t>Occulter Transm.</t>
  </si>
  <si>
    <t>in SNR ROI</t>
  </si>
  <si>
    <t>f_SR</t>
  </si>
  <si>
    <t>pixels</t>
  </si>
  <si>
    <t>SNR ROI area</t>
  </si>
  <si>
    <t>ROI Light Fraction</t>
  </si>
  <si>
    <t>Speckle elec rate</t>
  </si>
  <si>
    <t>residual Speckle</t>
  </si>
  <si>
    <t>days</t>
  </si>
  <si>
    <t>Clock Ind. Charge</t>
  </si>
  <si>
    <t>ShapedPupil</t>
  </si>
  <si>
    <t>SPC</t>
  </si>
  <si>
    <t>No.</t>
  </si>
  <si>
    <t>ph/s</t>
  </si>
  <si>
    <t>Nspec</t>
  </si>
  <si>
    <t>IFS_samp</t>
  </si>
  <si>
    <t>lenslets/(lam/D)</t>
  </si>
  <si>
    <t>spectral elements</t>
  </si>
  <si>
    <t>in NIMO at min Temp</t>
  </si>
  <si>
    <t>Frames</t>
  </si>
  <si>
    <t>signal e/pix/fr</t>
  </si>
  <si>
    <t>Speckle ph rate</t>
  </si>
  <si>
    <t>15+</t>
  </si>
  <si>
    <t>dropped version number (previous was 15) since in svn. Modified throughput calculations</t>
  </si>
  <si>
    <t xml:space="preserve">polarizer trans. </t>
  </si>
  <si>
    <t>Filter trans.</t>
  </si>
  <si>
    <t>Frame time analog mode</t>
  </si>
  <si>
    <t>Frame time PC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</si>
</sst>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"/>
    <numFmt numFmtId="165" formatCode="0.000E+00"/>
    <numFmt numFmtId="166" formatCode="0.0%"/>
    <numFmt numFmtId="167" formatCode="0.0E+00"/>
    <numFmt numFmtId="168" formatCode="0.00000"/>
    <numFmt numFmtId="169" formatCode="0.0000"/>
    <numFmt numFmtId="170" formatCode="0.0"/>
    <numFmt numFmtId="171" formatCode="0.0000E+00"/>
    <numFmt numFmtId="172" formatCode="_(* #,##0.0000_);_(* \(#,##0.0000\);_(* &quot;-&quot;??_);_(@_)"/>
  </numFmts>
  <fonts count="62" x14ac:knownFonts="1">
    <font>
      <sz val="11"/>
      <color theme="1"/>
      <name val="Calibri"/>
      <family val="2"/>
      <scheme val="minor"/>
    </font>
    <font>
      <sz val="10"/>
      <name val="Symbol"/>
      <family val="1"/>
      <charset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Symbol"/>
      <family val="1"/>
      <charset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0"/>
      <color theme="9" tint="-0.249977111117893"/>
      <name val="Arial"/>
      <family val="2"/>
    </font>
    <font>
      <sz val="11"/>
      <color theme="2" tint="-0.749992370372631"/>
      <name val="Calibr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i/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i/>
      <sz val="14"/>
      <color theme="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theme="3"/>
      <name val="Symbol"/>
      <family val="1"/>
      <charset val="2"/>
    </font>
    <font>
      <i/>
      <sz val="11"/>
      <color theme="6" tint="-0.249977111117893"/>
      <name val="Symbol"/>
      <family val="1"/>
      <charset val="2"/>
    </font>
    <font>
      <i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theme="7" tint="-0.249977111117893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4" fillId="6" borderId="0" applyNumberFormat="0" applyBorder="0" applyAlignment="0" applyProtection="0"/>
    <xf numFmtId="0" fontId="50" fillId="8" borderId="10" applyNumberFormat="0" applyAlignment="0" applyProtection="0"/>
    <xf numFmtId="0" fontId="6" fillId="9" borderId="11" applyNumberFormat="0" applyFont="0" applyAlignment="0" applyProtection="0"/>
  </cellStyleXfs>
  <cellXfs count="224">
    <xf numFmtId="0" fontId="0" fillId="0" borderId="0" xfId="0"/>
    <xf numFmtId="0" fontId="0" fillId="0" borderId="0" xfId="0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9" fontId="0" fillId="0" borderId="0" xfId="1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5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wrapText="1"/>
    </xf>
    <xf numFmtId="164" fontId="1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164" fontId="17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2" fontId="0" fillId="0" borderId="0" xfId="0" applyNumberFormat="1"/>
    <xf numFmtId="0" fontId="19" fillId="0" borderId="0" xfId="0" applyFont="1"/>
    <xf numFmtId="166" fontId="0" fillId="0" borderId="0" xfId="1" applyNumberFormat="1" applyFont="1"/>
    <xf numFmtId="0" fontId="20" fillId="0" borderId="0" xfId="0" applyFont="1"/>
    <xf numFmtId="0" fontId="8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 indent="1"/>
    </xf>
    <xf numFmtId="167" fontId="0" fillId="0" borderId="0" xfId="0" applyNumberFormat="1"/>
    <xf numFmtId="0" fontId="25" fillId="0" borderId="0" xfId="0" applyFont="1"/>
    <xf numFmtId="0" fontId="27" fillId="0" borderId="0" xfId="0" applyFont="1"/>
    <xf numFmtId="0" fontId="29" fillId="0" borderId="0" xfId="0" applyFont="1"/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30" fillId="0" borderId="0" xfId="0" applyFont="1"/>
    <xf numFmtId="0" fontId="22" fillId="5" borderId="0" xfId="0" applyFont="1" applyFill="1"/>
    <xf numFmtId="0" fontId="20" fillId="5" borderId="0" xfId="0" applyFont="1" applyFill="1"/>
    <xf numFmtId="0" fontId="28" fillId="5" borderId="0" xfId="0" applyFont="1" applyFill="1"/>
    <xf numFmtId="0" fontId="22" fillId="0" borderId="0" xfId="0" applyFont="1" applyFill="1"/>
    <xf numFmtId="0" fontId="20" fillId="0" borderId="0" xfId="0" applyFont="1" applyFill="1"/>
    <xf numFmtId="0" fontId="28" fillId="0" borderId="0" xfId="0" applyFont="1" applyFill="1"/>
    <xf numFmtId="0" fontId="34" fillId="0" borderId="0" xfId="0" applyFont="1"/>
    <xf numFmtId="164" fontId="0" fillId="0" borderId="0" xfId="0" applyNumberFormat="1" applyAlignment="1">
      <alignment horizontal="center" vertical="center"/>
    </xf>
    <xf numFmtId="169" fontId="0" fillId="0" borderId="0" xfId="0" applyNumberFormat="1"/>
    <xf numFmtId="0" fontId="36" fillId="0" borderId="0" xfId="0" applyFont="1"/>
    <xf numFmtId="170" fontId="37" fillId="0" borderId="0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9" fontId="42" fillId="0" borderId="0" xfId="1" applyFont="1"/>
    <xf numFmtId="0" fontId="30" fillId="0" borderId="3" xfId="0" applyFont="1" applyBorder="1"/>
    <xf numFmtId="0" fontId="0" fillId="0" borderId="4" xfId="0" applyBorder="1"/>
    <xf numFmtId="0" fontId="18" fillId="0" borderId="4" xfId="0" applyFont="1" applyBorder="1"/>
    <xf numFmtId="0" fontId="20" fillId="0" borderId="5" xfId="0" applyFont="1" applyBorder="1"/>
    <xf numFmtId="0" fontId="0" fillId="0" borderId="6" xfId="0" applyBorder="1"/>
    <xf numFmtId="0" fontId="18" fillId="0" borderId="0" xfId="0" applyFont="1" applyBorder="1"/>
    <xf numFmtId="0" fontId="20" fillId="0" borderId="7" xfId="0" applyFont="1" applyBorder="1"/>
    <xf numFmtId="167" fontId="0" fillId="0" borderId="0" xfId="0" applyNumberFormat="1" applyBorder="1"/>
    <xf numFmtId="0" fontId="0" fillId="0" borderId="0" xfId="0" applyBorder="1" applyAlignment="1">
      <alignment horizontal="left" indent="1"/>
    </xf>
    <xf numFmtId="0" fontId="0" fillId="0" borderId="8" xfId="0" applyBorder="1"/>
    <xf numFmtId="0" fontId="20" fillId="0" borderId="9" xfId="0" applyFont="1" applyBorder="1"/>
    <xf numFmtId="0" fontId="20" fillId="0" borderId="0" xfId="0" applyFont="1" applyBorder="1"/>
    <xf numFmtId="0" fontId="0" fillId="0" borderId="2" xfId="0" applyBorder="1" applyAlignment="1">
      <alignment horizontal="left" indent="1"/>
    </xf>
    <xf numFmtId="167" fontId="0" fillId="0" borderId="2" xfId="0" applyNumberFormat="1" applyBorder="1"/>
    <xf numFmtId="14" fontId="0" fillId="0" borderId="0" xfId="0" applyNumberFormat="1"/>
    <xf numFmtId="0" fontId="4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44" fillId="6" borderId="1" xfId="3" applyBorder="1" applyAlignment="1">
      <alignment horizontal="center"/>
    </xf>
    <xf numFmtId="171" fontId="0" fillId="3" borderId="0" xfId="0" applyNumberFormat="1" applyFill="1" applyAlignment="1">
      <alignment horizontal="center" vertical="center"/>
    </xf>
    <xf numFmtId="171" fontId="0" fillId="3" borderId="2" xfId="0" applyNumberFormat="1" applyFill="1" applyBorder="1" applyAlignment="1">
      <alignment horizontal="center" vertical="center"/>
    </xf>
    <xf numFmtId="171" fontId="0" fillId="4" borderId="0" xfId="0" applyNumberFormat="1" applyFill="1" applyAlignment="1">
      <alignment horizontal="center" vertical="center"/>
    </xf>
    <xf numFmtId="171" fontId="0" fillId="4" borderId="2" xfId="0" applyNumberFormat="1" applyFill="1" applyBorder="1" applyAlignment="1">
      <alignment horizontal="center" vertical="center"/>
    </xf>
    <xf numFmtId="0" fontId="18" fillId="0" borderId="2" xfId="0" applyFont="1" applyBorder="1"/>
    <xf numFmtId="0" fontId="45" fillId="0" borderId="0" xfId="0" applyFont="1" applyAlignment="1"/>
    <xf numFmtId="0" fontId="4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7" fontId="8" fillId="0" borderId="0" xfId="0" applyNumberFormat="1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169" fontId="8" fillId="4" borderId="1" xfId="0" applyNumberFormat="1" applyFont="1" applyFill="1" applyBorder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1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46" fillId="7" borderId="0" xfId="0" applyFont="1" applyFill="1"/>
    <xf numFmtId="11" fontId="0" fillId="0" borderId="0" xfId="0" applyNumberFormat="1" applyAlignment="1">
      <alignment horizontal="right"/>
    </xf>
    <xf numFmtId="1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47" fillId="0" borderId="0" xfId="0" applyFont="1" applyBorder="1"/>
    <xf numFmtId="1" fontId="47" fillId="0" borderId="0" xfId="0" applyNumberFormat="1" applyFont="1" applyBorder="1" applyAlignment="1">
      <alignment horizontal="center"/>
    </xf>
    <xf numFmtId="0" fontId="48" fillId="0" borderId="0" xfId="0" applyFont="1" applyBorder="1"/>
    <xf numFmtId="0" fontId="49" fillId="0" borderId="0" xfId="0" applyFont="1" applyBorder="1"/>
    <xf numFmtId="0" fontId="45" fillId="0" borderId="0" xfId="0" applyFont="1" applyBorder="1"/>
    <xf numFmtId="167" fontId="49" fillId="0" borderId="0" xfId="0" applyNumberFormat="1" applyFont="1" applyBorder="1"/>
    <xf numFmtId="1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left" indent="1"/>
    </xf>
    <xf numFmtId="0" fontId="8" fillId="0" borderId="0" xfId="0" applyFont="1" applyFill="1" applyBorder="1" applyAlignment="1">
      <alignment horizontal="left"/>
    </xf>
    <xf numFmtId="0" fontId="35" fillId="9" borderId="11" xfId="5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9" borderId="11" xfId="5" applyFont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1" fontId="0" fillId="12" borderId="0" xfId="0" applyNumberFormat="1" applyFill="1" applyAlignment="1">
      <alignment horizontal="center" vertical="center"/>
    </xf>
    <xf numFmtId="0" fontId="0" fillId="12" borderId="0" xfId="0" applyFill="1"/>
    <xf numFmtId="2" fontId="50" fillId="8" borderId="10" xfId="4" applyNumberFormat="1" applyAlignment="1">
      <alignment horizontal="center"/>
    </xf>
    <xf numFmtId="0" fontId="52" fillId="13" borderId="0" xfId="0" applyFont="1" applyFill="1" applyAlignment="1">
      <alignment horizontal="center" vertical="center"/>
    </xf>
    <xf numFmtId="0" fontId="52" fillId="13" borderId="11" xfId="5" applyFont="1" applyFill="1" applyAlignment="1">
      <alignment horizontal="center" vertical="center"/>
    </xf>
    <xf numFmtId="2" fontId="52" fillId="13" borderId="10" xfId="4" applyNumberFormat="1" applyFont="1" applyFill="1" applyAlignment="1">
      <alignment horizontal="center" vertical="center"/>
    </xf>
    <xf numFmtId="0" fontId="49" fillId="0" borderId="0" xfId="0" applyFont="1" applyAlignment="1">
      <alignment horizontal="left" indent="1"/>
    </xf>
    <xf numFmtId="2" fontId="4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3" fillId="11" borderId="1" xfId="0" applyFont="1" applyFill="1" applyBorder="1" applyAlignment="1">
      <alignment horizontal="center"/>
    </xf>
    <xf numFmtId="0" fontId="53" fillId="4" borderId="1" xfId="0" applyFont="1" applyFill="1" applyBorder="1" applyAlignment="1">
      <alignment horizontal="center" vertical="center"/>
    </xf>
    <xf numFmtId="0" fontId="53" fillId="14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23" fillId="10" borderId="0" xfId="0" applyFont="1" applyFill="1"/>
    <xf numFmtId="0" fontId="24" fillId="10" borderId="0" xfId="0" applyFont="1" applyFill="1"/>
    <xf numFmtId="0" fontId="23" fillId="10" borderId="0" xfId="0" applyFont="1" applyFill="1" applyAlignment="1">
      <alignment horizontal="center" vertical="center"/>
    </xf>
    <xf numFmtId="0" fontId="47" fillId="11" borderId="0" xfId="0" applyFont="1" applyFill="1" applyAlignment="1">
      <alignment horizontal="left"/>
    </xf>
    <xf numFmtId="0" fontId="47" fillId="11" borderId="0" xfId="0" applyFont="1" applyFill="1" applyAlignment="1">
      <alignment horizontal="left" indent="1"/>
    </xf>
    <xf numFmtId="0" fontId="54" fillId="0" borderId="0" xfId="0" applyFont="1"/>
    <xf numFmtId="0" fontId="5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170" fontId="0" fillId="13" borderId="1" xfId="0" applyNumberFormat="1" applyFill="1" applyBorder="1" applyAlignment="1">
      <alignment horizontal="center"/>
    </xf>
    <xf numFmtId="0" fontId="56" fillId="0" borderId="0" xfId="0" applyFont="1"/>
    <xf numFmtId="0" fontId="0" fillId="0" borderId="0" xfId="0" applyAlignment="1"/>
    <xf numFmtId="0" fontId="42" fillId="0" borderId="0" xfId="0" applyFont="1"/>
    <xf numFmtId="167" fontId="42" fillId="11" borderId="3" xfId="2" applyNumberFormat="1" applyFont="1" applyFill="1" applyBorder="1"/>
    <xf numFmtId="0" fontId="58" fillId="11" borderId="5" xfId="0" applyFont="1" applyFill="1" applyBorder="1"/>
    <xf numFmtId="43" fontId="42" fillId="11" borderId="6" xfId="0" applyNumberFormat="1" applyFont="1" applyFill="1" applyBorder="1"/>
    <xf numFmtId="0" fontId="58" fillId="11" borderId="7" xfId="0" applyFont="1" applyFill="1" applyBorder="1"/>
    <xf numFmtId="0" fontId="21" fillId="11" borderId="9" xfId="0" applyFont="1" applyFill="1" applyBorder="1"/>
    <xf numFmtId="0" fontId="55" fillId="0" borderId="0" xfId="0" applyFont="1"/>
    <xf numFmtId="0" fontId="55" fillId="2" borderId="1" xfId="0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72" fontId="8" fillId="11" borderId="8" xfId="0" applyNumberFormat="1" applyFont="1" applyFill="1" applyBorder="1"/>
    <xf numFmtId="171" fontId="47" fillId="11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1" fontId="0" fillId="15" borderId="0" xfId="0" applyNumberFormat="1" applyFill="1" applyAlignment="1">
      <alignment horizontal="center" vertical="center"/>
    </xf>
    <xf numFmtId="0" fontId="0" fillId="15" borderId="0" xfId="0" applyFill="1"/>
    <xf numFmtId="0" fontId="0" fillId="15" borderId="2" xfId="0" applyFill="1" applyBorder="1" applyAlignment="1">
      <alignment horizontal="center" vertical="center"/>
    </xf>
    <xf numFmtId="11" fontId="0" fillId="15" borderId="2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2" fontId="20" fillId="0" borderId="0" xfId="0" applyNumberFormat="1" applyFont="1"/>
    <xf numFmtId="0" fontId="59" fillId="0" borderId="0" xfId="0" applyFont="1" applyAlignment="1">
      <alignment horizontal="right"/>
    </xf>
    <xf numFmtId="170" fontId="60" fillId="0" borderId="0" xfId="0" applyNumberFormat="1" applyFont="1"/>
    <xf numFmtId="0" fontId="60" fillId="0" borderId="0" xfId="0" applyFont="1" applyAlignment="1">
      <alignment horizontal="right"/>
    </xf>
    <xf numFmtId="11" fontId="0" fillId="0" borderId="0" xfId="0" applyNumberFormat="1" applyAlignment="1">
      <alignment horizontal="center"/>
    </xf>
    <xf numFmtId="11" fontId="47" fillId="11" borderId="0" xfId="0" applyNumberFormat="1" applyFont="1" applyFill="1" applyAlignment="1">
      <alignment horizontal="center"/>
    </xf>
    <xf numFmtId="164" fontId="35" fillId="0" borderId="1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61" fillId="0" borderId="0" xfId="0" applyFont="1" applyAlignment="1">
      <alignment horizontal="left"/>
    </xf>
  </cellXfs>
  <cellStyles count="6">
    <cellStyle name="Comma" xfId="2" builtinId="3"/>
    <cellStyle name="Input" xfId="4" builtinId="20"/>
    <cellStyle name="Neutral" xfId="3" builtinId="28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colors>
    <mruColors>
      <color rgb="FFB634B6"/>
      <color rgb="FFFFFFCC"/>
      <color rgb="FF9B4D9D"/>
      <color rgb="FFCD49E3"/>
      <color rgb="FF9E9B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457200</xdr:colOff>
      <xdr:row>41</xdr:row>
      <xdr:rowOff>15546</xdr:rowOff>
    </xdr:from>
    <xdr:to>
      <xdr:col>18</xdr:col>
      <xdr:colOff>96734</xdr:colOff>
      <xdr:row>52</xdr:row>
      <xdr:rowOff>59097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20175" y="7911771"/>
          <a:ext cx="2930788" cy="2139051"/>
        </a:xfrm>
        <a:prstGeom prst="rect">
          <a:avLst/>
        </a:prstGeom>
      </xdr:spPr>
    </xdr:pic>
    <xdr:clientData/>
  </xdr:twoCellAnchor>
  <xdr:twoCellAnchor editAs="oneCell">
    <xdr:from>
      <xdr:col>22</xdr:col>
      <xdr:colOff>504506</xdr:colOff>
      <xdr:row>32</xdr:row>
      <xdr:rowOff>59221</xdr:rowOff>
    </xdr:from>
    <xdr:to>
      <xdr:col>28</xdr:col>
      <xdr:colOff>152187</xdr:colOff>
      <xdr:row>41</xdr:row>
      <xdr:rowOff>14160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087281" y="6279046"/>
          <a:ext cx="4210156" cy="1669439"/>
        </a:xfrm>
        <a:prstGeom prst="rect">
          <a:avLst/>
        </a:prstGeom>
      </xdr:spPr>
    </xdr:pic>
    <xdr:clientData/>
  </xdr:twoCellAnchor>
  <xdr:twoCellAnchor editAs="oneCell">
    <xdr:from>
      <xdr:col>1</xdr:col>
      <xdr:colOff>42717</xdr:colOff>
      <xdr:row>56</xdr:row>
      <xdr:rowOff>66675</xdr:rowOff>
    </xdr:from>
    <xdr:to>
      <xdr:col>7</xdr:col>
      <xdr:colOff>814388</xdr:colOff>
      <xdr:row>85</xdr:row>
      <xdr:rowOff>46337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0842" y="10820400"/>
          <a:ext cx="5172221" cy="5504162"/>
        </a:xfrm>
        <a:prstGeom prst="rect">
          <a:avLst/>
        </a:prstGeom>
      </xdr:spPr>
    </xdr:pic>
    <xdr:clientData/>
  </xdr:twoCellAnchor>
  <xdr:twoCellAnchor editAs="oneCell">
    <xdr:from>
      <xdr:col>18</xdr:col>
      <xdr:colOff>87382</xdr:colOff>
      <xdr:row>32</xdr:row>
      <xdr:rowOff>12986</xdr:rowOff>
    </xdr:from>
    <xdr:to>
      <xdr:col>22</xdr:col>
      <xdr:colOff>507310</xdr:colOff>
      <xdr:row>40</xdr:row>
      <xdr:rowOff>155727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003157" y="6204236"/>
          <a:ext cx="3086928" cy="1666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532157</xdr:colOff>
      <xdr:row>43</xdr:row>
      <xdr:rowOff>4348</xdr:rowOff>
    </xdr:from>
    <xdr:to>
      <xdr:col>23</xdr:col>
      <xdr:colOff>84326</xdr:colOff>
      <xdr:row>51</xdr:row>
      <xdr:rowOff>71023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127809" y="8278674"/>
          <a:ext cx="3642121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385205</xdr:colOff>
      <xdr:row>43</xdr:row>
      <xdr:rowOff>104937</xdr:rowOff>
    </xdr:from>
    <xdr:to>
      <xdr:col>27</xdr:col>
      <xdr:colOff>534547</xdr:colOff>
      <xdr:row>56</xdr:row>
      <xdr:rowOff>107328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5749444" y="8387546"/>
          <a:ext cx="3354712" cy="2478891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171450</xdr:colOff>
      <xdr:row>1</xdr:row>
      <xdr:rowOff>180689</xdr:rowOff>
    </xdr:from>
    <xdr:to>
      <xdr:col>3</xdr:col>
      <xdr:colOff>425950</xdr:colOff>
      <xdr:row>3</xdr:row>
      <xdr:rowOff>28575</xdr:rowOff>
    </xdr:to>
    <xdr:sp macro="" textlink="">
      <xdr:nvSpPr>
        <xdr:cNvPr id="18" name="Right Arrow 17"/>
        <xdr:cNvSpPr/>
      </xdr:nvSpPr>
      <xdr:spPr>
        <a:xfrm rot="10800000">
          <a:off x="2190750" y="418814"/>
          <a:ext cx="254500" cy="238411"/>
        </a:xfrm>
        <a:prstGeom prst="rightArrow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B634B6"/>
            </a:solidFill>
          </a:endParaRPr>
        </a:p>
      </xdr:txBody>
    </xdr:sp>
    <xdr:clientData/>
  </xdr:twoCellAnchor>
  <xdr:oneCellAnchor>
    <xdr:from>
      <xdr:col>19</xdr:col>
      <xdr:colOff>315059</xdr:colOff>
      <xdr:row>53</xdr:row>
      <xdr:rowOff>32238</xdr:rowOff>
    </xdr:from>
    <xdr:ext cx="5193538" cy="264560"/>
    <xdr:sp macro="" textlink="">
      <xdr:nvSpPr>
        <xdr:cNvPr id="3" name="TextBox 2"/>
        <xdr:cNvSpPr txBox="1"/>
      </xdr:nvSpPr>
      <xdr:spPr>
        <a:xfrm>
          <a:off x="13135709" y="10214463"/>
          <a:ext cx="5193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Use matlab to determine</a:t>
          </a:r>
          <a:r>
            <a:rPr lang="en-US" sz="1100" baseline="0"/>
            <a:t> the planets that can actually be seen and use </a:t>
          </a:r>
          <a:r>
            <a:rPr lang="en-US" sz="1100" i="1" baseline="0"/>
            <a:t>their </a:t>
          </a:r>
          <a:r>
            <a:rPr lang="en-US" sz="1100" i="0" baseline="0"/>
            <a:t>parameters</a:t>
          </a:r>
          <a:endParaRPr lang="en-US" sz="1100"/>
        </a:p>
      </xdr:txBody>
    </xdr:sp>
    <xdr:clientData/>
  </xdr:oneCellAnchor>
  <xdr:twoCellAnchor editAs="oneCell">
    <xdr:from>
      <xdr:col>14</xdr:col>
      <xdr:colOff>33117</xdr:colOff>
      <xdr:row>27</xdr:row>
      <xdr:rowOff>127859</xdr:rowOff>
    </xdr:from>
    <xdr:to>
      <xdr:col>17</xdr:col>
      <xdr:colOff>613996</xdr:colOff>
      <xdr:row>40</xdr:row>
      <xdr:rowOff>95250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5142" y="5366609"/>
          <a:ext cx="3205383" cy="244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179917</xdr:colOff>
      <xdr:row>49</xdr:row>
      <xdr:rowOff>42333</xdr:rowOff>
    </xdr:from>
    <xdr:to>
      <xdr:col>10</xdr:col>
      <xdr:colOff>375846</xdr:colOff>
      <xdr:row>71</xdr:row>
      <xdr:rowOff>41809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917" y="9482666"/>
          <a:ext cx="7371429" cy="4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312965</xdr:colOff>
      <xdr:row>56</xdr:row>
      <xdr:rowOff>174802</xdr:rowOff>
    </xdr:from>
    <xdr:to>
      <xdr:col>29</xdr:col>
      <xdr:colOff>258536</xdr:colOff>
      <xdr:row>88</xdr:row>
      <xdr:rowOff>7119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53501" y="10965266"/>
          <a:ext cx="11076214" cy="5928317"/>
        </a:xfrm>
        <a:prstGeom prst="rect">
          <a:avLst/>
        </a:prstGeom>
      </xdr:spPr>
    </xdr:pic>
    <xdr:clientData/>
  </xdr:twoCellAnchor>
  <xdr:twoCellAnchor editAs="oneCell">
    <xdr:from>
      <xdr:col>22</xdr:col>
      <xdr:colOff>197634</xdr:colOff>
      <xdr:row>3</xdr:row>
      <xdr:rowOff>53836</xdr:rowOff>
    </xdr:from>
    <xdr:to>
      <xdr:col>28</xdr:col>
      <xdr:colOff>286559</xdr:colOff>
      <xdr:row>29</xdr:row>
      <xdr:rowOff>112549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80409" y="682486"/>
          <a:ext cx="4651400" cy="507838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29</xdr:col>
      <xdr:colOff>142875</xdr:colOff>
      <xdr:row>14</xdr:row>
      <xdr:rowOff>198931</xdr:rowOff>
    </xdr:from>
    <xdr:to>
      <xdr:col>37</xdr:col>
      <xdr:colOff>189381</xdr:colOff>
      <xdr:row>33</xdr:row>
      <xdr:rowOff>23358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97725" y="2961181"/>
          <a:ext cx="4923306" cy="347250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29</xdr:col>
      <xdr:colOff>47625</xdr:colOff>
      <xdr:row>3</xdr:row>
      <xdr:rowOff>47626</xdr:rowOff>
    </xdr:from>
    <xdr:to>
      <xdr:col>34</xdr:col>
      <xdr:colOff>135152</xdr:colOff>
      <xdr:row>13</xdr:row>
      <xdr:rowOff>114301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02475" y="676276"/>
          <a:ext cx="3135527" cy="200025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494178</xdr:colOff>
      <xdr:row>47</xdr:row>
      <xdr:rowOff>118782</xdr:rowOff>
    </xdr:from>
    <xdr:to>
      <xdr:col>7</xdr:col>
      <xdr:colOff>321194</xdr:colOff>
      <xdr:row>64</xdr:row>
      <xdr:rowOff>90207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96" y="10786782"/>
          <a:ext cx="4187638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rojects\0%20Worksheets\Synthetic%20Tracking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stants"/>
      <sheetName val="ipac Rband Count"/>
      <sheetName val="Stellar Densities"/>
    </sheetNames>
    <sheetDataSet>
      <sheetData sheetId="0">
        <row r="30">
          <cell r="N30">
            <v>0.19634954084936207</v>
          </cell>
        </row>
      </sheetData>
      <sheetData sheetId="1"/>
      <sheetData sheetId="2"/>
      <sheetData sheetId="3">
        <row r="8">
          <cell r="C8">
            <v>4</v>
          </cell>
          <cell r="D8">
            <v>342839320.84325188</v>
          </cell>
          <cell r="E8">
            <v>-1.7272727272727275</v>
          </cell>
          <cell r="F8">
            <v>1.8738174228603827E-2</v>
          </cell>
          <cell r="G8">
            <v>3.6792319061417105E-3</v>
          </cell>
          <cell r="H8">
            <v>3.6792319061417105E-3</v>
          </cell>
          <cell r="I8">
            <v>1261385.3679264472</v>
          </cell>
          <cell r="J8">
            <v>1261385.3679264472</v>
          </cell>
          <cell r="K8">
            <v>200614.67463943388</v>
          </cell>
        </row>
        <row r="9">
          <cell r="C9">
            <v>5</v>
          </cell>
          <cell r="D9">
            <v>136486791.97538975</v>
          </cell>
          <cell r="E9">
            <v>-1.2181818181818183</v>
          </cell>
          <cell r="F9">
            <v>6.0508750072729392E-2</v>
          </cell>
          <cell r="G9">
            <v>1.188086529414922E-2</v>
          </cell>
          <cell r="H9">
            <v>1.556009720029093E-2</v>
          </cell>
          <cell r="I9">
            <v>1621581.1898901723</v>
          </cell>
          <cell r="J9">
            <v>2882966.5578166195</v>
          </cell>
          <cell r="K9">
            <v>458516.01952820091</v>
          </cell>
        </row>
        <row r="10">
          <cell r="C10">
            <v>6</v>
          </cell>
          <cell r="D10">
            <v>54336370.571246125</v>
          </cell>
          <cell r="E10">
            <v>-0.69090909090909114</v>
          </cell>
          <cell r="F10">
            <v>0.2037468528039707</v>
          </cell>
          <cell r="G10">
            <v>4.0005600997562209E-2</v>
          </cell>
          <cell r="H10">
            <v>5.556569819785314E-2</v>
          </cell>
          <cell r="I10">
            <v>2173759.1607289538</v>
          </cell>
          <cell r="J10">
            <v>5056725.7185455728</v>
          </cell>
          <cell r="K10">
            <v>804237.47616044292</v>
          </cell>
        </row>
        <row r="11">
          <cell r="C11">
            <v>7</v>
          </cell>
          <cell r="D11">
            <v>21631698.746265117</v>
          </cell>
          <cell r="E11">
            <v>-0.20000000000000018</v>
          </cell>
          <cell r="F11">
            <v>0.63095734448019292</v>
          </cell>
          <cell r="G11">
            <v>0.12388818488421866</v>
          </cell>
          <cell r="H11">
            <v>0.1794538830820718</v>
          </cell>
          <cell r="I11">
            <v>2679911.8936370136</v>
          </cell>
          <cell r="J11">
            <v>7736637.6121825865</v>
          </cell>
          <cell r="K11">
            <v>1230459.0467246643</v>
          </cell>
        </row>
        <row r="12">
          <cell r="C12">
            <v>8</v>
          </cell>
          <cell r="D12">
            <v>8611734.3821412362</v>
          </cell>
          <cell r="E12">
            <v>0.21</v>
          </cell>
          <cell r="F12">
            <v>1.62181009735893</v>
          </cell>
          <cell r="G12">
            <v>0.31844166796128509</v>
          </cell>
          <cell r="H12">
            <v>0.49789555104335692</v>
          </cell>
          <cell r="I12">
            <v>2742335.0606886023</v>
          </cell>
          <cell r="J12">
            <v>10478972.672871189</v>
          </cell>
          <cell r="K12">
            <v>1666608.5930419292</v>
          </cell>
        </row>
        <row r="13">
          <cell r="C13">
            <v>9</v>
          </cell>
          <cell r="D13">
            <v>3428393.2084325179</v>
          </cell>
          <cell r="E13">
            <v>0.68</v>
          </cell>
          <cell r="F13">
            <v>4.786300923226384</v>
          </cell>
          <cell r="G13">
            <v>0.93978798864237822</v>
          </cell>
          <cell r="H13">
            <v>1.437683539685735</v>
          </cell>
          <cell r="I13">
            <v>3221962.7576279859</v>
          </cell>
          <cell r="J13">
            <v>13700935.430499176</v>
          </cell>
          <cell r="K13">
            <v>2179039.6285980688</v>
          </cell>
        </row>
        <row r="14">
          <cell r="C14">
            <v>10</v>
          </cell>
          <cell r="D14">
            <v>1364867.9197538975</v>
          </cell>
          <cell r="E14">
            <v>1</v>
          </cell>
          <cell r="F14">
            <v>10</v>
          </cell>
          <cell r="G14">
            <v>1.9634954084936207</v>
          </cell>
          <cell r="H14">
            <v>3.4011789481793557</v>
          </cell>
          <cell r="I14">
            <v>2679911.8936370173</v>
          </cell>
          <cell r="J14">
            <v>16380847.324136194</v>
          </cell>
          <cell r="K14">
            <v>2605261.1991622909</v>
          </cell>
        </row>
        <row r="15">
          <cell r="C15">
            <v>11</v>
          </cell>
          <cell r="D15">
            <v>543363.70571246056</v>
          </cell>
          <cell r="E15">
            <v>1.31</v>
          </cell>
          <cell r="F15">
            <v>20.4173794466953</v>
          </cell>
          <cell r="G15">
            <v>4.0089430797058245</v>
          </cell>
          <cell r="H15">
            <v>7.4101220278851798</v>
          </cell>
          <cell r="I15">
            <v>2178314.1677792808</v>
          </cell>
          <cell r="J15">
            <v>18559161.491915476</v>
          </cell>
          <cell r="K15">
            <v>2951707.0983642801</v>
          </cell>
        </row>
        <row r="16">
          <cell r="C16">
            <v>12</v>
          </cell>
          <cell r="D16">
            <v>216316.98746265087</v>
          </cell>
          <cell r="E16">
            <v>1.59</v>
          </cell>
          <cell r="F16">
            <v>64.565422903465588</v>
          </cell>
          <cell r="G16">
            <v>12.677391141840355</v>
          </cell>
          <cell r="H16">
            <v>20.087513169725533</v>
          </cell>
          <cell r="I16">
            <v>2742335.0606886013</v>
          </cell>
          <cell r="J16">
            <v>21301496.552604076</v>
          </cell>
          <cell r="K16">
            <v>3387856.6446815445</v>
          </cell>
        </row>
        <row r="17">
          <cell r="C17">
            <v>13</v>
          </cell>
          <cell r="D17">
            <v>86117.343821412316</v>
          </cell>
          <cell r="E17">
            <v>1.81</v>
          </cell>
          <cell r="F17">
            <v>38.904514499428075</v>
          </cell>
          <cell r="G17">
            <v>7.6388835589300514</v>
          </cell>
          <cell r="H17">
            <v>27.726396728655583</v>
          </cell>
          <cell r="I17">
            <v>657840.36185611296</v>
          </cell>
          <cell r="J17">
            <v>21959336.91446019</v>
          </cell>
          <cell r="K17">
            <v>3492481.6336136716</v>
          </cell>
        </row>
        <row r="18">
          <cell r="C18">
            <v>14</v>
          </cell>
          <cell r="D18">
            <v>34283.932084325163</v>
          </cell>
          <cell r="E18">
            <v>2.1800000000000002</v>
          </cell>
          <cell r="F18">
            <v>151.3561248436209</v>
          </cell>
          <cell r="G18">
            <v>29.718705617783687</v>
          </cell>
          <cell r="H18">
            <v>57.44510234643927</v>
          </cell>
          <cell r="I18">
            <v>1018874.0850341487</v>
          </cell>
          <cell r="J18">
            <v>22978210.999494337</v>
          </cell>
          <cell r="K18">
            <v>3654526.5552252843</v>
          </cell>
        </row>
        <row r="19">
          <cell r="C19">
            <v>15</v>
          </cell>
          <cell r="D19">
            <v>13648.679197538973</v>
          </cell>
          <cell r="E19">
            <v>2.4</v>
          </cell>
          <cell r="F19">
            <v>251.18864315095806</v>
          </cell>
          <cell r="G19">
            <v>49.320774749264871</v>
          </cell>
          <cell r="H19">
            <v>106.76587709570414</v>
          </cell>
          <cell r="I19">
            <v>673163.43232679693</v>
          </cell>
          <cell r="J19">
            <v>23651374.431821134</v>
          </cell>
          <cell r="K19">
            <v>3761588.5732169817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D10" sqref="D10"/>
    </sheetView>
  </sheetViews>
  <sheetFormatPr defaultRowHeight="15" x14ac:dyDescent="0.25"/>
  <cols>
    <col min="1" max="1" width="9.7109375" bestFit="1" customWidth="1"/>
    <col min="2" max="3" width="10" style="8" customWidth="1"/>
    <col min="4" max="4" width="113" style="47" customWidth="1"/>
  </cols>
  <sheetData>
    <row r="2" spans="1:4" x14ac:dyDescent="0.25">
      <c r="B2" s="8" t="s">
        <v>158</v>
      </c>
      <c r="C2" s="8" t="s">
        <v>159</v>
      </c>
      <c r="D2" s="47" t="s">
        <v>160</v>
      </c>
    </row>
    <row r="3" spans="1:4" x14ac:dyDescent="0.25">
      <c r="B3" s="8">
        <v>5</v>
      </c>
      <c r="C3" s="8" t="s">
        <v>161</v>
      </c>
      <c r="D3" s="47" t="s">
        <v>162</v>
      </c>
    </row>
    <row r="4" spans="1:4" x14ac:dyDescent="0.25">
      <c r="A4" s="117">
        <v>41653</v>
      </c>
      <c r="B4" s="8">
        <v>6</v>
      </c>
      <c r="C4" s="8" t="s">
        <v>161</v>
      </c>
      <c r="D4" s="47" t="s">
        <v>167</v>
      </c>
    </row>
    <row r="5" spans="1:4" x14ac:dyDescent="0.25">
      <c r="A5" s="117">
        <v>41654</v>
      </c>
      <c r="B5" s="8">
        <v>7</v>
      </c>
      <c r="C5" s="8" t="s">
        <v>161</v>
      </c>
      <c r="D5" s="47" t="s">
        <v>190</v>
      </c>
    </row>
    <row r="6" spans="1:4" x14ac:dyDescent="0.25">
      <c r="A6" s="117">
        <v>41654</v>
      </c>
      <c r="B6" s="8">
        <v>8</v>
      </c>
      <c r="C6" s="8" t="s">
        <v>161</v>
      </c>
      <c r="D6" s="47" t="s">
        <v>722</v>
      </c>
    </row>
    <row r="7" spans="1:4" x14ac:dyDescent="0.25">
      <c r="B7" s="8">
        <v>9</v>
      </c>
      <c r="D7" s="47" t="s">
        <v>728</v>
      </c>
    </row>
    <row r="9" spans="1:4" x14ac:dyDescent="0.25">
      <c r="A9" s="117">
        <v>41974</v>
      </c>
      <c r="B9" s="8" t="s">
        <v>762</v>
      </c>
      <c r="C9" s="8" t="s">
        <v>161</v>
      </c>
      <c r="D9" s="47" t="s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49"/>
  <sheetViews>
    <sheetView tabSelected="1" topLeftCell="A37" zoomScaleNormal="100" workbookViewId="0">
      <selection activeCell="I31" sqref="I31"/>
    </sheetView>
  </sheetViews>
  <sheetFormatPr defaultRowHeight="15" x14ac:dyDescent="0.25"/>
  <cols>
    <col min="1" max="1" width="3.5703125" customWidth="1"/>
    <col min="2" max="2" width="16.5703125" customWidth="1"/>
    <col min="3" max="3" width="13" customWidth="1"/>
    <col min="4" max="4" width="10.85546875" style="63" customWidth="1"/>
    <col min="5" max="5" width="18.7109375" style="68" customWidth="1"/>
    <col min="6" max="6" width="3.28515625" style="68" customWidth="1"/>
    <col min="7" max="7" width="3.5703125" customWidth="1"/>
    <col min="8" max="8" width="16.7109375" customWidth="1"/>
    <col min="9" max="9" width="10.5703125" customWidth="1"/>
    <col min="10" max="10" width="10.5703125" style="63" customWidth="1"/>
    <col min="11" max="11" width="17" style="68" customWidth="1"/>
    <col min="12" max="12" width="1.85546875" style="68" customWidth="1"/>
    <col min="13" max="13" width="0.85546875" style="89" customWidth="1"/>
    <col min="14" max="14" width="2.140625" style="92" customWidth="1"/>
    <col min="15" max="15" width="19.42578125" customWidth="1"/>
    <col min="16" max="20" width="10" style="8" customWidth="1"/>
    <col min="21" max="22" width="10" customWidth="1"/>
    <col min="23" max="24" width="11.28515625" customWidth="1"/>
    <col min="25" max="25" width="13.140625" bestFit="1" customWidth="1"/>
    <col min="26" max="26" width="14.42578125" customWidth="1"/>
  </cols>
  <sheetData>
    <row r="1" spans="1:30" s="180" customFormat="1" ht="18.75" x14ac:dyDescent="0.3">
      <c r="A1" s="180" t="s">
        <v>723</v>
      </c>
      <c r="D1" s="181"/>
      <c r="E1" s="181"/>
      <c r="F1" s="181"/>
      <c r="J1" s="181"/>
      <c r="K1" s="181"/>
      <c r="L1" s="181"/>
      <c r="P1" s="182"/>
      <c r="Q1" s="182"/>
      <c r="R1" s="182"/>
      <c r="S1" s="182"/>
      <c r="T1" s="182"/>
    </row>
    <row r="3" spans="1:30" ht="15.75" x14ac:dyDescent="0.25">
      <c r="A3" s="200" t="s">
        <v>730</v>
      </c>
      <c r="C3" s="186" t="s">
        <v>713</v>
      </c>
      <c r="D3" s="185"/>
      <c r="F3" s="71"/>
      <c r="G3" s="103" t="s">
        <v>124</v>
      </c>
      <c r="H3" s="104"/>
      <c r="I3" s="104"/>
      <c r="J3" s="105"/>
      <c r="K3" s="106"/>
      <c r="L3" s="114"/>
      <c r="M3" s="88"/>
      <c r="N3" s="91"/>
      <c r="O3" s="87" t="s">
        <v>142</v>
      </c>
    </row>
    <row r="4" spans="1:30" x14ac:dyDescent="0.25">
      <c r="G4" s="107"/>
      <c r="H4" s="146" t="s">
        <v>150</v>
      </c>
      <c r="I4" s="147">
        <f>I5/I6</f>
        <v>5.0000000000000009</v>
      </c>
      <c r="J4" s="148" t="s">
        <v>151</v>
      </c>
      <c r="K4" s="109" t="s">
        <v>185</v>
      </c>
      <c r="L4" s="114"/>
      <c r="V4" s="73"/>
    </row>
    <row r="5" spans="1:30" ht="15.75" x14ac:dyDescent="0.25">
      <c r="A5" s="53" t="s">
        <v>709</v>
      </c>
      <c r="C5" s="179">
        <v>14</v>
      </c>
      <c r="D5" s="63" t="s">
        <v>704</v>
      </c>
      <c r="G5" s="107"/>
      <c r="H5" s="149" t="s">
        <v>86</v>
      </c>
      <c r="I5" s="151">
        <f>I31*Tint</f>
        <v>84.440482477886221</v>
      </c>
      <c r="J5" s="150" t="s">
        <v>72</v>
      </c>
      <c r="K5" s="109"/>
      <c r="L5" s="114"/>
      <c r="O5" s="97" t="s">
        <v>120</v>
      </c>
      <c r="P5" s="98">
        <f>I24</f>
        <v>5.6413880562000243</v>
      </c>
      <c r="Q5" s="99" t="s">
        <v>143</v>
      </c>
      <c r="R5" s="100" t="s">
        <v>140</v>
      </c>
      <c r="S5" s="101"/>
    </row>
    <row r="6" spans="1:30" ht="15.75" x14ac:dyDescent="0.25">
      <c r="G6" s="107"/>
      <c r="H6" s="149" t="s">
        <v>153</v>
      </c>
      <c r="I6" s="151">
        <f>SQRT(SUMSQ(I7:I13))</f>
        <v>16.888096495577241</v>
      </c>
      <c r="J6" s="150" t="s">
        <v>725</v>
      </c>
      <c r="K6" s="109"/>
      <c r="L6" s="114"/>
      <c r="O6" s="97" t="s">
        <v>168</v>
      </c>
      <c r="P6" s="98">
        <f>C31</f>
        <v>0.4</v>
      </c>
      <c r="Q6" s="98" t="s">
        <v>170</v>
      </c>
      <c r="S6" s="8" t="s">
        <v>754</v>
      </c>
      <c r="T6" s="213">
        <f>C23*C21</f>
        <v>7</v>
      </c>
      <c r="U6" s="119" t="s">
        <v>757</v>
      </c>
      <c r="V6" s="73"/>
      <c r="AD6" s="77"/>
    </row>
    <row r="7" spans="1:30" x14ac:dyDescent="0.25">
      <c r="G7" s="107"/>
      <c r="H7" s="111" t="s">
        <v>98</v>
      </c>
      <c r="I7" s="110">
        <f>SQRT(ENF^2*I31*Tint)</f>
        <v>12.988921586906923</v>
      </c>
      <c r="J7" s="108" t="s">
        <v>724</v>
      </c>
      <c r="K7" s="109" t="s">
        <v>154</v>
      </c>
      <c r="L7" s="114"/>
      <c r="S7" s="8" t="s">
        <v>755</v>
      </c>
      <c r="T7" s="8">
        <v>9</v>
      </c>
      <c r="U7" t="s">
        <v>756</v>
      </c>
    </row>
    <row r="8" spans="1:30" ht="15.75" x14ac:dyDescent="0.25">
      <c r="A8" s="192" t="s">
        <v>106</v>
      </c>
      <c r="B8" s="74"/>
      <c r="C8" s="201">
        <f>VLOOKUP($C$3,FocalPlaneTable,6)</f>
        <v>5</v>
      </c>
      <c r="E8" s="68" t="s">
        <v>107</v>
      </c>
      <c r="G8" s="107"/>
      <c r="H8" s="111" t="s">
        <v>147</v>
      </c>
      <c r="I8" s="110">
        <f>SQRT(ENF^2*I41*Tint)</f>
        <v>5.2667384858423478</v>
      </c>
      <c r="J8" s="108" t="s">
        <v>724</v>
      </c>
      <c r="K8" s="109" t="s">
        <v>155</v>
      </c>
      <c r="L8" s="114"/>
      <c r="O8" s="169" t="s">
        <v>721</v>
      </c>
      <c r="P8"/>
      <c r="Q8"/>
      <c r="R8"/>
      <c r="S8"/>
      <c r="V8" s="4" t="s">
        <v>742</v>
      </c>
      <c r="X8" s="8"/>
      <c r="Y8" s="8"/>
    </row>
    <row r="9" spans="1:30" x14ac:dyDescent="0.25">
      <c r="B9" t="s">
        <v>744</v>
      </c>
      <c r="C9" s="153">
        <f>VLOOKUP($C$3,FocalPlaneTable,7)</f>
        <v>4.908738521234052</v>
      </c>
      <c r="D9" s="63" t="s">
        <v>743</v>
      </c>
      <c r="E9" s="68" t="s">
        <v>81</v>
      </c>
      <c r="G9" s="107"/>
      <c r="H9" s="111" t="s">
        <v>103</v>
      </c>
      <c r="I9" s="110">
        <f>SQRT(ENF^2*I37*Tint)</f>
        <v>7.9513812760967024</v>
      </c>
      <c r="J9" s="108" t="s">
        <v>724</v>
      </c>
      <c r="K9" s="109" t="s">
        <v>148</v>
      </c>
      <c r="L9" s="114"/>
      <c r="O9" s="175" t="s">
        <v>712</v>
      </c>
      <c r="P9" s="176" t="s">
        <v>720</v>
      </c>
      <c r="Q9" s="177" t="s">
        <v>715</v>
      </c>
      <c r="R9" s="177" t="s">
        <v>716</v>
      </c>
      <c r="S9" s="178" t="s">
        <v>717</v>
      </c>
      <c r="T9" s="188" t="s">
        <v>106</v>
      </c>
      <c r="U9" s="188" t="s">
        <v>729</v>
      </c>
      <c r="V9" s="188" t="s">
        <v>739</v>
      </c>
    </row>
    <row r="10" spans="1:30" x14ac:dyDescent="0.25">
      <c r="B10" t="s">
        <v>745</v>
      </c>
      <c r="C10" s="203">
        <f>VLOOKUP($C$3,FocalPlaneTable,8)</f>
        <v>1</v>
      </c>
      <c r="D10" s="63" t="s">
        <v>741</v>
      </c>
      <c r="E10" s="68" t="s">
        <v>742</v>
      </c>
      <c r="G10" s="107"/>
      <c r="H10" s="111" t="s">
        <v>99</v>
      </c>
      <c r="I10" s="110">
        <f>SQRT(ENF^2*C41*mpix*Tint)</f>
        <v>4.0484363115708737</v>
      </c>
      <c r="J10" s="108" t="s">
        <v>724</v>
      </c>
      <c r="K10" s="109"/>
      <c r="L10" s="114"/>
      <c r="O10" s="170" t="s">
        <v>714</v>
      </c>
      <c r="P10" s="171">
        <f>Q10*R10</f>
        <v>28</v>
      </c>
      <c r="Q10" s="212">
        <f>2*T6</f>
        <v>14</v>
      </c>
      <c r="R10" s="173">
        <v>2</v>
      </c>
      <c r="S10" s="174" t="s">
        <v>719</v>
      </c>
      <c r="T10" s="189">
        <v>5</v>
      </c>
      <c r="U10" s="191">
        <f>4*T7</f>
        <v>36</v>
      </c>
      <c r="V10" s="202">
        <f>1/T6</f>
        <v>0.14285714285714285</v>
      </c>
    </row>
    <row r="11" spans="1:30" x14ac:dyDescent="0.25">
      <c r="G11" s="107"/>
      <c r="H11" s="111" t="s">
        <v>100</v>
      </c>
      <c r="I11" s="110">
        <f>SQRT(ENF^2*CIC*mpix*frameRate*Tint)</f>
        <v>1.8105157590501983</v>
      </c>
      <c r="J11" s="108" t="s">
        <v>724</v>
      </c>
      <c r="K11" s="109"/>
      <c r="L11" s="114"/>
      <c r="O11" s="170" t="s">
        <v>713</v>
      </c>
      <c r="P11" s="172">
        <f>(PI()/4)*R11^2</f>
        <v>4.908738521234052</v>
      </c>
      <c r="Q11" s="173">
        <v>2.5</v>
      </c>
      <c r="R11" s="173">
        <v>2.5</v>
      </c>
      <c r="S11" s="174" t="s">
        <v>718</v>
      </c>
      <c r="T11" s="189">
        <v>5</v>
      </c>
      <c r="U11" s="190">
        <f>P11</f>
        <v>4.908738521234052</v>
      </c>
      <c r="V11" s="191">
        <f>U11/P11</f>
        <v>1</v>
      </c>
    </row>
    <row r="12" spans="1:30" x14ac:dyDescent="0.25">
      <c r="D12" s="63">
        <f>Tint*frameRate</f>
        <v>55.704205675543982</v>
      </c>
      <c r="E12" s="215" t="s">
        <v>759</v>
      </c>
      <c r="G12" s="107"/>
      <c r="H12" s="111" t="s">
        <v>101</v>
      </c>
      <c r="I12" s="110">
        <f>SQRT((C37/C38)^2*mpix*frameRate*Tint)</f>
        <v>1.9843130485882856</v>
      </c>
      <c r="J12" s="108" t="s">
        <v>724</v>
      </c>
      <c r="K12" s="109"/>
      <c r="L12" s="114"/>
      <c r="R12" s="85"/>
    </row>
    <row r="13" spans="1:30" x14ac:dyDescent="0.25">
      <c r="A13" s="194" t="s">
        <v>102</v>
      </c>
      <c r="B13" s="75"/>
      <c r="C13" s="195">
        <f>SNR^2*B46/(I31^2-(SNR*f_pp*I41)^2)</f>
        <v>16711.261702663192</v>
      </c>
      <c r="D13" s="196" t="s">
        <v>80</v>
      </c>
      <c r="E13" s="216">
        <f>Tint*frameRate</f>
        <v>55.704205675543982</v>
      </c>
      <c r="F13" s="94"/>
      <c r="G13" s="112"/>
      <c r="H13" s="115" t="s">
        <v>149</v>
      </c>
      <c r="I13" s="116">
        <f>f_pp*I41*Tint</f>
        <v>1.3883150289415891</v>
      </c>
      <c r="J13" s="125" t="s">
        <v>724</v>
      </c>
      <c r="K13" s="113" t="s">
        <v>747</v>
      </c>
      <c r="L13" s="114"/>
      <c r="O13" s="130" t="s">
        <v>698</v>
      </c>
    </row>
    <row r="14" spans="1:30" ht="15.75" thickBot="1" x14ac:dyDescent="0.3">
      <c r="C14" s="197">
        <f>C13/3600</f>
        <v>4.6420171396286642</v>
      </c>
      <c r="D14" s="198" t="s">
        <v>58</v>
      </c>
      <c r="E14" s="217" t="s">
        <v>760</v>
      </c>
      <c r="F14" s="94"/>
      <c r="G14" s="94"/>
      <c r="H14" s="94"/>
      <c r="I14" s="94"/>
      <c r="J14" s="94"/>
      <c r="K14" s="94"/>
      <c r="L14" s="114"/>
      <c r="O14" s="131" t="s">
        <v>177</v>
      </c>
      <c r="P14" s="132" t="s">
        <v>174</v>
      </c>
      <c r="Q14" s="133" t="s">
        <v>175</v>
      </c>
      <c r="R14" s="134" t="s">
        <v>176</v>
      </c>
      <c r="S14" s="84"/>
      <c r="T14" s="47" t="s">
        <v>766</v>
      </c>
    </row>
    <row r="15" spans="1:30" ht="15.75" thickBot="1" x14ac:dyDescent="0.3">
      <c r="C15" s="205">
        <f>C14/24</f>
        <v>0.193417380817861</v>
      </c>
      <c r="D15" s="199" t="s">
        <v>748</v>
      </c>
      <c r="E15" s="214">
        <f>I5/E13/P11</f>
        <v>0.3088110426522086</v>
      </c>
      <c r="F15" s="94"/>
      <c r="G15" s="53" t="s">
        <v>709</v>
      </c>
      <c r="H15" s="155"/>
      <c r="I15" s="69" t="s">
        <v>70</v>
      </c>
      <c r="J15" s="70" t="s">
        <v>69</v>
      </c>
      <c r="K15" s="71" t="s">
        <v>88</v>
      </c>
      <c r="L15" s="71"/>
      <c r="O15" s="128" t="s">
        <v>179</v>
      </c>
      <c r="P15" s="135">
        <v>3</v>
      </c>
      <c r="Q15" s="135">
        <v>60</v>
      </c>
      <c r="R15" s="135">
        <v>60</v>
      </c>
      <c r="T15" s="221">
        <v>300</v>
      </c>
      <c r="U15" s="222" t="s">
        <v>59</v>
      </c>
    </row>
    <row r="16" spans="1:30" x14ac:dyDescent="0.25">
      <c r="F16" s="94"/>
      <c r="H16" s="53" t="s">
        <v>699</v>
      </c>
      <c r="I16" s="8" t="str">
        <f>VLOOKUP($C$5,RVp4List,6)</f>
        <v>47Uma</v>
      </c>
      <c r="O16" s="128" t="s">
        <v>178</v>
      </c>
      <c r="P16" s="135">
        <v>1</v>
      </c>
      <c r="Q16" s="135">
        <v>500</v>
      </c>
      <c r="R16" s="135">
        <v>500</v>
      </c>
      <c r="S16" s="8">
        <f>R15/R16</f>
        <v>0.12</v>
      </c>
    </row>
    <row r="17" spans="1:28" ht="15.75" thickBot="1" x14ac:dyDescent="0.3">
      <c r="A17" s="53" t="s">
        <v>123</v>
      </c>
      <c r="B17" s="53"/>
      <c r="C17" s="69" t="s">
        <v>70</v>
      </c>
      <c r="D17" s="70" t="s">
        <v>69</v>
      </c>
      <c r="E17" s="71" t="s">
        <v>88</v>
      </c>
      <c r="F17" s="94"/>
      <c r="H17" s="72" t="s">
        <v>700</v>
      </c>
      <c r="I17" s="8" t="str">
        <f>VLOOKUP($C$5,RVp4List,15)</f>
        <v>G1V</v>
      </c>
      <c r="M17" s="90"/>
      <c r="N17" s="93"/>
      <c r="O17" s="128" t="s">
        <v>76</v>
      </c>
      <c r="P17" s="135">
        <v>1</v>
      </c>
      <c r="Q17" s="129">
        <f>SQRT(2*(Q16-1)/Q16+1/Q16)</f>
        <v>1.4135062787267696</v>
      </c>
      <c r="R17" s="135">
        <v>1</v>
      </c>
      <c r="T17" s="47" t="s">
        <v>767</v>
      </c>
    </row>
    <row r="18" spans="1:28" ht="15.75" customHeight="1" thickBot="1" x14ac:dyDescent="0.3">
      <c r="B18" t="s">
        <v>17</v>
      </c>
      <c r="C18">
        <v>2.4</v>
      </c>
      <c r="D18" s="63" t="s">
        <v>18</v>
      </c>
      <c r="H18" s="72" t="s">
        <v>16</v>
      </c>
      <c r="I18" s="8">
        <f>VLOOKUP($C$5,RVp4List,2)</f>
        <v>5.04</v>
      </c>
      <c r="J18" s="63" t="s">
        <v>26</v>
      </c>
      <c r="O18" s="137" t="s">
        <v>184</v>
      </c>
      <c r="P18" s="220">
        <f>1/T15</f>
        <v>3.3333333333333335E-3</v>
      </c>
      <c r="Q18" s="220">
        <f>1/T15</f>
        <v>3.3333333333333335E-3</v>
      </c>
      <c r="R18" s="135">
        <f>1/T18</f>
        <v>0.01</v>
      </c>
      <c r="T18" s="221">
        <v>100</v>
      </c>
      <c r="U18" s="222" t="s">
        <v>59</v>
      </c>
    </row>
    <row r="19" spans="1:28" x14ac:dyDescent="0.25">
      <c r="B19" t="s">
        <v>24</v>
      </c>
      <c r="C19" s="6">
        <v>0.3</v>
      </c>
      <c r="D19" s="63" t="s">
        <v>23</v>
      </c>
      <c r="H19" s="72" t="s">
        <v>134</v>
      </c>
      <c r="I19" s="85">
        <f>VLOOKUP($C$5,RVp4List,3)+0</f>
        <v>14.0627</v>
      </c>
      <c r="J19" s="63" t="s">
        <v>135</v>
      </c>
    </row>
    <row r="20" spans="1:28" x14ac:dyDescent="0.25">
      <c r="B20" s="193" t="s">
        <v>735</v>
      </c>
      <c r="C20" s="5">
        <v>5.5000000000000003E-7</v>
      </c>
      <c r="D20" s="63" t="s">
        <v>18</v>
      </c>
      <c r="E20" s="68" t="s">
        <v>736</v>
      </c>
      <c r="H20" s="154" t="s">
        <v>27</v>
      </c>
      <c r="I20" s="218">
        <f>10^(VLOOKUP(C20/0.000001,fluxTable,7)-0.4*I18)*(C20/(h_planck*c_light))*(C21*C20/0.000001)</f>
        <v>57535433.146793723</v>
      </c>
      <c r="J20" s="63" t="s">
        <v>66</v>
      </c>
      <c r="O20" s="53" t="s">
        <v>183</v>
      </c>
      <c r="P20" s="77" t="s">
        <v>116</v>
      </c>
      <c r="Q20" s="77" t="s">
        <v>117</v>
      </c>
      <c r="R20" s="77" t="s">
        <v>751</v>
      </c>
      <c r="S20" s="72"/>
      <c r="AB20" s="73"/>
    </row>
    <row r="21" spans="1:28" x14ac:dyDescent="0.25">
      <c r="B21" s="193" t="s">
        <v>737</v>
      </c>
      <c r="C21" s="6">
        <v>0.1</v>
      </c>
      <c r="E21" s="68" t="s">
        <v>738</v>
      </c>
      <c r="O21" s="72"/>
      <c r="P21" s="152">
        <f>VLOOKUP($P$5,HLCtable2,HLOOKUP($P$6,CGcontColumns,2))</f>
        <v>4.6951700000000002E-10</v>
      </c>
      <c r="Q21" s="152">
        <f>VLOOKUP($P$5,PIAAtable2,HLOOKUP($P$6,CGcontColumns,2))</f>
        <v>2.35321E-9</v>
      </c>
      <c r="R21" s="152">
        <f>VLOOKUP($P$5,SPCtable,HLOOKUP($P$6,CGcontColumns,2))</f>
        <v>9.4472313999999995E-9</v>
      </c>
      <c r="S21" s="72"/>
    </row>
    <row r="22" spans="1:28" x14ac:dyDescent="0.25">
      <c r="B22" t="s">
        <v>20</v>
      </c>
      <c r="C22" s="5">
        <f>0.96*C20/C18</f>
        <v>2.1999999999999998E-7</v>
      </c>
      <c r="D22" s="63" t="s">
        <v>19</v>
      </c>
      <c r="E22" s="68" t="s">
        <v>137</v>
      </c>
      <c r="H22" s="155" t="s">
        <v>708</v>
      </c>
      <c r="O22" s="72" t="s">
        <v>118</v>
      </c>
      <c r="P22" s="83">
        <f>VLOOKUP($P$5,HLCtable2,5)</f>
        <v>2.8591215E-2</v>
      </c>
      <c r="Q22" s="83">
        <f>VLOOKUP($P$5,PIAAtable2,5)</f>
        <v>0.15438877000000001</v>
      </c>
      <c r="R22" s="83">
        <f>VLOOKUP($P$5,SPCtable,5)</f>
        <v>2.7266134000000001E-2</v>
      </c>
      <c r="S22" s="72"/>
    </row>
    <row r="23" spans="1:28" x14ac:dyDescent="0.25">
      <c r="B23" t="s">
        <v>21</v>
      </c>
      <c r="C23">
        <v>70</v>
      </c>
      <c r="D23" s="63" t="s">
        <v>5</v>
      </c>
      <c r="H23" s="184" t="s">
        <v>133</v>
      </c>
      <c r="I23" s="219">
        <f>I28/PI()*((I25*R_Earth)/(I27*AU))^2</f>
        <v>2.8557093444270241E-9</v>
      </c>
      <c r="O23" s="72" t="s">
        <v>119</v>
      </c>
      <c r="P23" s="152">
        <f>VLOOKUP($P$5,HLCtable2,7)</f>
        <v>2.0109239999999999E-3</v>
      </c>
      <c r="Q23" s="84">
        <f>VLOOKUP($P$5,PIAAtable2,7)</f>
        <v>1.5417084000000001E-3</v>
      </c>
      <c r="R23" s="84">
        <f>VLOOKUP($P$5,SPCtable,7)</f>
        <v>2.7259191999999999E-3</v>
      </c>
      <c r="S23" s="72"/>
    </row>
    <row r="24" spans="1:28" x14ac:dyDescent="0.25">
      <c r="B24" t="s">
        <v>22</v>
      </c>
      <c r="C24" s="64">
        <f>(PI()/4)*C18^2*(1-C19^2)</f>
        <v>4.116743013264065</v>
      </c>
      <c r="D24" s="63" t="s">
        <v>25</v>
      </c>
      <c r="H24" s="167" t="s">
        <v>710</v>
      </c>
      <c r="I24" s="168">
        <f>(I27*AU)/(I19*pc)/FWHMsky</f>
        <v>5.6413880562000243</v>
      </c>
      <c r="J24" s="63" t="s">
        <v>136</v>
      </c>
      <c r="O24" s="72" t="s">
        <v>740</v>
      </c>
      <c r="P24" s="85">
        <f>VLOOKUP($P$5,HLCtable2,8)</f>
        <v>0.27333117000000001</v>
      </c>
      <c r="Q24" s="85">
        <f>VLOOKUP($P$5,PIAAtable2,8)</f>
        <v>0.66516204999999995</v>
      </c>
      <c r="R24" s="85">
        <f>VLOOKUP($P$5,SPCtable,8)</f>
        <v>1</v>
      </c>
    </row>
    <row r="25" spans="1:28" x14ac:dyDescent="0.25">
      <c r="B25" t="s">
        <v>83</v>
      </c>
      <c r="C25" s="67">
        <f>0.985^29</f>
        <v>0.64513511952421254</v>
      </c>
      <c r="E25" s="68" t="s">
        <v>141</v>
      </c>
      <c r="H25" s="72" t="s">
        <v>126</v>
      </c>
      <c r="I25" s="85">
        <f>VLOOKUP($C$5,RVp4List,8)</f>
        <v>12.659000000000001</v>
      </c>
      <c r="J25" s="63" t="s">
        <v>127</v>
      </c>
    </row>
    <row r="26" spans="1:28" x14ac:dyDescent="0.25">
      <c r="B26" t="s">
        <v>765</v>
      </c>
      <c r="C26" s="6">
        <v>0.9</v>
      </c>
      <c r="H26" s="72" t="s">
        <v>701</v>
      </c>
      <c r="I26" s="8">
        <f>VLOOKUP($C$5,RVp4List,7)</f>
        <v>0.54</v>
      </c>
      <c r="J26" s="63" t="s">
        <v>702</v>
      </c>
      <c r="O26" s="86" t="s">
        <v>121</v>
      </c>
    </row>
    <row r="27" spans="1:28" x14ac:dyDescent="0.25">
      <c r="B27" t="s">
        <v>764</v>
      </c>
      <c r="C27" s="6">
        <v>0.5</v>
      </c>
      <c r="H27" s="72" t="s">
        <v>128</v>
      </c>
      <c r="I27" s="8">
        <f>VLOOKUP($C$5,RVp4List,11)</f>
        <v>3.6</v>
      </c>
      <c r="J27" s="63" t="s">
        <v>129</v>
      </c>
      <c r="O27" s="72" t="s">
        <v>122</v>
      </c>
      <c r="P27" s="84">
        <f>P21*$I$20</f>
        <v>2.7013863964783148E-2</v>
      </c>
      <c r="Q27" s="84">
        <f>Q21*$I$20</f>
        <v>0.13539295663536646</v>
      </c>
    </row>
    <row r="28" spans="1:28" x14ac:dyDescent="0.25">
      <c r="B28" t="s">
        <v>96</v>
      </c>
      <c r="C28" s="67">
        <f>C25*C33*C26*C27</f>
        <v>8.3003386078653561E-3</v>
      </c>
      <c r="H28" s="72" t="s">
        <v>130</v>
      </c>
      <c r="I28" s="8">
        <f>VLOOKUP($C$5,RVp4List,9)</f>
        <v>0.4</v>
      </c>
      <c r="J28" s="63" t="s">
        <v>705</v>
      </c>
    </row>
    <row r="29" spans="1:28" x14ac:dyDescent="0.25">
      <c r="H29" s="72" t="s">
        <v>703</v>
      </c>
      <c r="I29" s="8">
        <f>VLOOKUP($C$5,RVp4List,12)</f>
        <v>0.1</v>
      </c>
      <c r="J29" s="63" t="s">
        <v>72</v>
      </c>
    </row>
    <row r="30" spans="1:28" x14ac:dyDescent="0.25">
      <c r="A30" s="53" t="s">
        <v>191</v>
      </c>
      <c r="C30" s="118" t="s">
        <v>116</v>
      </c>
      <c r="D30" s="63" t="s">
        <v>182</v>
      </c>
      <c r="H30" s="72" t="s">
        <v>711</v>
      </c>
      <c r="I30" s="85">
        <f>(I27*AU)/(I19*pc)/arcsec</f>
        <v>0.25599635916289193</v>
      </c>
      <c r="J30" s="63" t="s">
        <v>56</v>
      </c>
    </row>
    <row r="31" spans="1:28" x14ac:dyDescent="0.25">
      <c r="B31" t="s">
        <v>168</v>
      </c>
      <c r="C31" s="118">
        <v>0.4</v>
      </c>
      <c r="D31" s="63" t="s">
        <v>170</v>
      </c>
      <c r="H31" s="72" t="s">
        <v>104</v>
      </c>
      <c r="I31" s="218">
        <f>f_SR*I20*I23*ColArea*TotThruput*QE</f>
        <v>5.052908869497828E-3</v>
      </c>
      <c r="J31" s="63" t="s">
        <v>87</v>
      </c>
    </row>
    <row r="32" spans="1:28" x14ac:dyDescent="0.25">
      <c r="B32" s="183" t="s">
        <v>65</v>
      </c>
      <c r="C32" s="206">
        <f>HLOOKUP($C$30,CoronagraphSpecs,2)</f>
        <v>4.6951700000000002E-10</v>
      </c>
    </row>
    <row r="33" spans="1:15" x14ac:dyDescent="0.25">
      <c r="B33" s="45" t="s">
        <v>118</v>
      </c>
      <c r="C33" s="95">
        <f>HLOOKUP(C$30,CoronagraphSpecs,3)</f>
        <v>2.8591215E-2</v>
      </c>
      <c r="G33" s="53" t="s">
        <v>97</v>
      </c>
    </row>
    <row r="34" spans="1:15" x14ac:dyDescent="0.25">
      <c r="B34" s="45" t="s">
        <v>139</v>
      </c>
      <c r="C34" s="82">
        <f>HLOOKUP(C$30,CoronagraphSpecs,4)</f>
        <v>2.0109239999999999E-3</v>
      </c>
      <c r="D34" s="63" t="s">
        <v>138</v>
      </c>
      <c r="H34" t="s">
        <v>89</v>
      </c>
      <c r="I34">
        <v>22</v>
      </c>
      <c r="J34" s="63" t="s">
        <v>67</v>
      </c>
      <c r="K34" s="68" t="s">
        <v>90</v>
      </c>
      <c r="O34" s="75"/>
    </row>
    <row r="35" spans="1:15" x14ac:dyDescent="0.25">
      <c r="H35" t="s">
        <v>68</v>
      </c>
      <c r="I35">
        <v>2</v>
      </c>
      <c r="K35" s="68" t="s">
        <v>95</v>
      </c>
    </row>
    <row r="36" spans="1:15" x14ac:dyDescent="0.25">
      <c r="A36" s="53" t="s">
        <v>727</v>
      </c>
      <c r="B36" s="53"/>
      <c r="C36" s="187" t="s">
        <v>175</v>
      </c>
      <c r="D36" s="63" t="s">
        <v>182</v>
      </c>
      <c r="E36" s="68" t="s">
        <v>181</v>
      </c>
      <c r="H36" t="s">
        <v>93</v>
      </c>
      <c r="I36" s="204">
        <f>I35*(Constants!$H$7*10^(-0.4*I34)/(arcsec^2))</f>
        <v>1302695659573.2319</v>
      </c>
      <c r="J36" s="66" t="s">
        <v>91</v>
      </c>
      <c r="K36" s="68" t="s">
        <v>94</v>
      </c>
    </row>
    <row r="37" spans="1:15" x14ac:dyDescent="0.25">
      <c r="B37" t="s">
        <v>71</v>
      </c>
      <c r="C37">
        <f>HLOOKUP(C36,DetectorTable,2)</f>
        <v>60</v>
      </c>
      <c r="D37" s="63" t="s">
        <v>72</v>
      </c>
      <c r="E37" s="223">
        <f>C37/C38</f>
        <v>0.12</v>
      </c>
      <c r="H37" t="s">
        <v>105</v>
      </c>
      <c r="I37" s="204">
        <f>f_SR*I36*ColArea*TotThruput*QE*C34*arcsec^2</f>
        <v>1.8935659400189148E-3</v>
      </c>
      <c r="J37" s="63" t="s">
        <v>87</v>
      </c>
    </row>
    <row r="38" spans="1:15" x14ac:dyDescent="0.25">
      <c r="B38" t="s">
        <v>73</v>
      </c>
      <c r="C38">
        <f>HLOOKUP(C36,DetectorTable,3)</f>
        <v>500</v>
      </c>
      <c r="D38" s="63" t="s">
        <v>74</v>
      </c>
    </row>
    <row r="39" spans="1:15" x14ac:dyDescent="0.25">
      <c r="B39" t="s">
        <v>77</v>
      </c>
      <c r="C39" s="65">
        <f>HLOOKUP(C36,DetectorTable,4)</f>
        <v>1.4135062787267696</v>
      </c>
      <c r="D39" s="63" t="s">
        <v>76</v>
      </c>
      <c r="E39" s="76" t="s">
        <v>108</v>
      </c>
      <c r="G39" s="53" t="s">
        <v>144</v>
      </c>
    </row>
    <row r="40" spans="1:15" x14ac:dyDescent="0.25">
      <c r="B40" t="s">
        <v>78</v>
      </c>
      <c r="C40" s="96">
        <f>HLOOKUP(C36,DetectorTable,5)</f>
        <v>3.3333333333333335E-3</v>
      </c>
      <c r="D40" s="63" t="s">
        <v>79</v>
      </c>
      <c r="E40" s="68" t="s">
        <v>173</v>
      </c>
      <c r="H40" t="s">
        <v>27</v>
      </c>
      <c r="I40" s="204">
        <f>I20*C32</f>
        <v>2.7013863964783148E-2</v>
      </c>
      <c r="J40" s="63" t="s">
        <v>66</v>
      </c>
    </row>
    <row r="41" spans="1:15" x14ac:dyDescent="0.25">
      <c r="B41" t="s">
        <v>180</v>
      </c>
      <c r="C41" s="5">
        <v>1E-4</v>
      </c>
      <c r="D41" s="63" t="s">
        <v>75</v>
      </c>
      <c r="E41" s="68" t="s">
        <v>758</v>
      </c>
      <c r="H41" t="s">
        <v>746</v>
      </c>
      <c r="I41" s="204">
        <f>f_SR*I40*ColArea*TotThruput*QE</f>
        <v>8.3076613462425763E-4</v>
      </c>
      <c r="J41" s="63" t="s">
        <v>87</v>
      </c>
      <c r="K41" s="68" t="s">
        <v>163</v>
      </c>
    </row>
    <row r="42" spans="1:15" x14ac:dyDescent="0.25">
      <c r="B42" t="s">
        <v>749</v>
      </c>
      <c r="C42" s="136">
        <v>6.0000000000000001E-3</v>
      </c>
      <c r="D42" s="63" t="s">
        <v>85</v>
      </c>
      <c r="E42" s="68" t="s">
        <v>92</v>
      </c>
      <c r="H42" t="s">
        <v>152</v>
      </c>
      <c r="I42" s="102">
        <v>0.1</v>
      </c>
      <c r="J42" s="63" t="s">
        <v>145</v>
      </c>
      <c r="K42" s="68" t="s">
        <v>146</v>
      </c>
    </row>
    <row r="43" spans="1:15" x14ac:dyDescent="0.25">
      <c r="B43" t="s">
        <v>84</v>
      </c>
      <c r="C43" s="6">
        <v>0.9</v>
      </c>
      <c r="D43" s="63" t="s">
        <v>82</v>
      </c>
      <c r="H43" t="s">
        <v>761</v>
      </c>
      <c r="I43" s="204">
        <f>f_SR*I40*ColArea*TotThruput</f>
        <v>9.2307348291584181E-4</v>
      </c>
      <c r="J43" s="63" t="s">
        <v>753</v>
      </c>
    </row>
    <row r="45" spans="1:15" x14ac:dyDescent="0.25">
      <c r="A45" s="45" t="s">
        <v>157</v>
      </c>
    </row>
    <row r="46" spans="1:15" x14ac:dyDescent="0.25">
      <c r="B46" s="64">
        <f>ENF^2*(I31+I41+I37+C41*mpix+CIC*mpix*frameRate)+(C37/C38)^2*mpix*frameRate</f>
        <v>1.6951466003264033E-2</v>
      </c>
      <c r="C46" s="63" t="s">
        <v>87</v>
      </c>
      <c r="D46" s="68" t="s">
        <v>156</v>
      </c>
      <c r="I46" s="204"/>
    </row>
    <row r="49" spans="5:5" x14ac:dyDescent="0.25">
      <c r="E49" s="68" t="s">
        <v>726</v>
      </c>
    </row>
  </sheetData>
  <conditionalFormatting sqref="I7:I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{ED856B30-A93D-4B1D-ACAC-3519319FA9D5}</x14:id>
        </ext>
      </extLst>
    </cfRule>
  </conditionalFormatting>
  <conditionalFormatting sqref="V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{1A4CA060-67DE-4162-818C-5B641DA90C5F}</x14:id>
        </ext>
      </extLst>
    </cfRule>
  </conditionalFormatting>
  <dataValidations disablePrompts="1" count="4">
    <dataValidation type="list" allowBlank="1" showInputMessage="1" showErrorMessage="1" sqref="C30">
      <formula1>CoronagraphList</formula1>
    </dataValidation>
    <dataValidation type="list" allowBlank="1" showInputMessage="1" showErrorMessage="1" sqref="C31">
      <formula1>JitterCases</formula1>
    </dataValidation>
    <dataValidation type="list" allowBlank="1" showInputMessage="1" showErrorMessage="1" sqref="C36">
      <formula1>DetectorOptions</formula1>
    </dataValidation>
    <dataValidation type="list" allowBlank="1" showInputMessage="1" showErrorMessage="1" sqref="C3">
      <formula1>FocalPlanes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856B30-A93D-4B1D-ACAC-3519319FA9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I7:I13</xm:sqref>
        </x14:conditionalFormatting>
        <x14:conditionalFormatting xmlns:xm="http://schemas.microsoft.com/office/excel/2006/main">
          <x14:cfRule type="dataBar" id="{1A4CA060-67DE-4162-818C-5B641DA90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zoomScaleNormal="100" workbookViewId="0">
      <pane xSplit="1" ySplit="1" topLeftCell="B14" activePane="bottomRight" state="frozenSplit"/>
      <selection pane="topRight" activeCell="H1" sqref="H1"/>
      <selection pane="bottomLeft" activeCell="A11" sqref="A11"/>
      <selection pane="bottomRight" activeCell="D2" sqref="D2"/>
    </sheetView>
  </sheetViews>
  <sheetFormatPr defaultRowHeight="15" x14ac:dyDescent="0.25"/>
  <cols>
    <col min="1" max="11" width="14.5703125" customWidth="1"/>
    <col min="12" max="12" width="11.85546875" customWidth="1"/>
    <col min="17" max="17" width="11.42578125" customWidth="1"/>
  </cols>
  <sheetData>
    <row r="1" spans="1:21" x14ac:dyDescent="0.25">
      <c r="A1" s="77" t="s">
        <v>109</v>
      </c>
      <c r="B1" s="77" t="s">
        <v>110</v>
      </c>
      <c r="C1" s="77" t="s">
        <v>7</v>
      </c>
      <c r="D1" s="77" t="s">
        <v>111</v>
      </c>
      <c r="E1" s="77" t="s">
        <v>112</v>
      </c>
      <c r="F1" s="77" t="s">
        <v>113</v>
      </c>
      <c r="G1" s="77" t="s">
        <v>114</v>
      </c>
      <c r="H1" s="77" t="s">
        <v>115</v>
      </c>
      <c r="I1" s="77" t="s">
        <v>164</v>
      </c>
      <c r="J1" s="77" t="s">
        <v>165</v>
      </c>
      <c r="K1" s="77" t="s">
        <v>166</v>
      </c>
    </row>
    <row r="2" spans="1:21" x14ac:dyDescent="0.25">
      <c r="A2" s="138">
        <v>2.4</v>
      </c>
      <c r="B2" s="121">
        <v>0.114882</v>
      </c>
      <c r="C2" s="121">
        <v>5.288968E-11</v>
      </c>
      <c r="D2" s="121">
        <v>1.4365176E-7</v>
      </c>
      <c r="E2" s="121">
        <v>2.7563033E-3</v>
      </c>
      <c r="F2" s="121">
        <v>3.6817981999999998E-4</v>
      </c>
      <c r="G2" s="121">
        <v>2.0556111999999998E-3</v>
      </c>
      <c r="H2" s="121">
        <v>6.3217137999999995E-4</v>
      </c>
      <c r="I2" s="121">
        <v>4.5759099999999998E-8</v>
      </c>
      <c r="J2" s="121">
        <v>1.1720599999999999E-8</v>
      </c>
      <c r="K2" s="121">
        <v>1.2954200000000001E-8</v>
      </c>
      <c r="L2" s="78" t="s">
        <v>116</v>
      </c>
      <c r="Q2" t="s">
        <v>171</v>
      </c>
    </row>
    <row r="3" spans="1:21" x14ac:dyDescent="0.25">
      <c r="A3" s="138">
        <v>2.7</v>
      </c>
      <c r="B3" s="121">
        <v>0.129242</v>
      </c>
      <c r="C3" s="121">
        <v>4.9745963999999999E-11</v>
      </c>
      <c r="D3" s="121">
        <v>6.3942738999999998E-8</v>
      </c>
      <c r="E3" s="121">
        <v>5.8545415999999998E-3</v>
      </c>
      <c r="F3" s="121">
        <v>7.7797675000000003E-4</v>
      </c>
      <c r="G3" s="121">
        <v>2.0109239999999999E-3</v>
      </c>
      <c r="H3" s="121">
        <v>3.0272631000000001E-2</v>
      </c>
      <c r="I3" s="121">
        <v>1.9184199999999999E-8</v>
      </c>
      <c r="J3" s="121">
        <v>4.0762100000000003E-9</v>
      </c>
      <c r="K3" s="121">
        <v>4.6189000000000003E-9</v>
      </c>
      <c r="L3" s="78"/>
      <c r="Q3" s="120" t="s">
        <v>169</v>
      </c>
      <c r="R3" s="120">
        <v>0.2</v>
      </c>
      <c r="S3" s="120">
        <v>0.4</v>
      </c>
      <c r="T3" s="120">
        <v>0.8</v>
      </c>
      <c r="U3" s="120">
        <v>1.6</v>
      </c>
    </row>
    <row r="4" spans="1:21" x14ac:dyDescent="0.25">
      <c r="A4" s="138">
        <v>3</v>
      </c>
      <c r="B4" s="121">
        <v>0.14360200000000001</v>
      </c>
      <c r="C4" s="121">
        <v>3.9888271000000001E-11</v>
      </c>
      <c r="D4" s="121">
        <v>2.9345036000000001E-8</v>
      </c>
      <c r="E4" s="121">
        <v>9.9899505000000006E-3</v>
      </c>
      <c r="F4" s="121">
        <v>1.3592851E-3</v>
      </c>
      <c r="G4" s="121">
        <v>1.9885804999999999E-3</v>
      </c>
      <c r="H4" s="121">
        <v>0.15927211999999999</v>
      </c>
      <c r="I4" s="121">
        <v>8.0310100000000008E-9</v>
      </c>
      <c r="J4" s="121">
        <v>1.69849E-9</v>
      </c>
      <c r="K4" s="121">
        <v>1.91627E-9</v>
      </c>
      <c r="L4" s="78"/>
      <c r="Q4" s="120" t="s">
        <v>172</v>
      </c>
      <c r="R4" s="120">
        <v>10</v>
      </c>
      <c r="S4" s="120">
        <v>11</v>
      </c>
      <c r="T4" s="120">
        <v>9</v>
      </c>
      <c r="U4" s="120">
        <v>4</v>
      </c>
    </row>
    <row r="5" spans="1:21" x14ac:dyDescent="0.25">
      <c r="A5" s="138">
        <v>3.3</v>
      </c>
      <c r="B5" s="121">
        <v>0.15796199999999999</v>
      </c>
      <c r="C5" s="121">
        <v>2.9165355000000002E-11</v>
      </c>
      <c r="D5" s="121">
        <v>1.3808665000000001E-8</v>
      </c>
      <c r="E5" s="121">
        <v>1.5162533000000001E-2</v>
      </c>
      <c r="F5" s="121">
        <v>2.1121054000000001E-3</v>
      </c>
      <c r="G5" s="121">
        <v>1.9885804999999999E-3</v>
      </c>
      <c r="H5" s="121">
        <v>0.1673173</v>
      </c>
      <c r="I5" s="121">
        <v>3.58469E-9</v>
      </c>
      <c r="J5" s="121">
        <v>7.5566199999999997E-10</v>
      </c>
      <c r="K5" s="121">
        <v>8.5018199999999997E-10</v>
      </c>
      <c r="L5" s="78"/>
    </row>
    <row r="6" spans="1:21" x14ac:dyDescent="0.25">
      <c r="A6" s="138">
        <v>3.6</v>
      </c>
      <c r="B6" s="121">
        <v>0.172322</v>
      </c>
      <c r="C6" s="121">
        <v>2.5338239000000001E-11</v>
      </c>
      <c r="D6" s="121">
        <v>9.7060108999999995E-9</v>
      </c>
      <c r="E6" s="121">
        <v>1.8876758E-2</v>
      </c>
      <c r="F6" s="121">
        <v>2.6105719000000002E-3</v>
      </c>
      <c r="G6" s="121">
        <v>2.0109240999999999E-3</v>
      </c>
      <c r="H6" s="121">
        <v>0.26178428999999998</v>
      </c>
      <c r="I6" s="121">
        <v>2.6453600000000001E-9</v>
      </c>
      <c r="J6" s="121">
        <v>4.8827300000000004E-10</v>
      </c>
      <c r="K6" s="121">
        <v>5.6313799999999996E-10</v>
      </c>
      <c r="L6" s="78"/>
    </row>
    <row r="7" spans="1:21" x14ac:dyDescent="0.25">
      <c r="A7" s="138">
        <v>3.9</v>
      </c>
      <c r="B7" s="121">
        <v>0.18668299999999999</v>
      </c>
      <c r="C7" s="121">
        <v>2.7806153000000001E-11</v>
      </c>
      <c r="D7" s="121">
        <v>9.3005548000000004E-9</v>
      </c>
      <c r="E7" s="121">
        <v>2.1778736999999999E-2</v>
      </c>
      <c r="F7" s="121">
        <v>2.9897305000000001E-3</v>
      </c>
      <c r="G7" s="121">
        <v>2.0332675999999998E-3</v>
      </c>
      <c r="H7" s="121">
        <v>0.24558796999999999</v>
      </c>
      <c r="I7" s="121">
        <v>2.6784000000000002E-9</v>
      </c>
      <c r="J7" s="121">
        <v>4.1674800000000002E-10</v>
      </c>
      <c r="K7" s="121">
        <v>4.98225E-10</v>
      </c>
      <c r="L7" s="78"/>
    </row>
    <row r="8" spans="1:21" x14ac:dyDescent="0.25">
      <c r="A8" s="138">
        <v>4.2</v>
      </c>
      <c r="B8" s="121">
        <v>0.201043</v>
      </c>
      <c r="C8" s="121">
        <v>3.0659129000000002E-11</v>
      </c>
      <c r="D8" s="121">
        <v>9.210853E-9</v>
      </c>
      <c r="E8" s="121">
        <v>2.4156156000000002E-2</v>
      </c>
      <c r="F8" s="121">
        <v>3.3285873000000001E-3</v>
      </c>
      <c r="G8" s="121">
        <v>2.0258197000000001E-3</v>
      </c>
      <c r="H8" s="121">
        <v>0.27035704999999999</v>
      </c>
      <c r="I8" s="121">
        <v>2.6619300000000001E-9</v>
      </c>
      <c r="J8" s="121">
        <v>4.1310999999999998E-10</v>
      </c>
      <c r="K8" s="121">
        <v>4.9427400000000002E-10</v>
      </c>
      <c r="L8" s="78"/>
    </row>
    <row r="9" spans="1:21" x14ac:dyDescent="0.25">
      <c r="A9" s="138">
        <v>4.5</v>
      </c>
      <c r="B9" s="121">
        <v>0.21540300000000001</v>
      </c>
      <c r="C9" s="121">
        <v>2.8865621999999999E-11</v>
      </c>
      <c r="D9" s="121">
        <v>7.9582287999999993E-9</v>
      </c>
      <c r="E9" s="121">
        <v>2.6009009999999999E-2</v>
      </c>
      <c r="F9" s="121">
        <v>3.6271416000000002E-3</v>
      </c>
      <c r="G9" s="121">
        <v>1.9885804999999999E-3</v>
      </c>
      <c r="H9" s="121">
        <v>0.28824074999999999</v>
      </c>
      <c r="I9" s="121">
        <v>2.2737499999999999E-9</v>
      </c>
      <c r="J9" s="121">
        <v>3.8371700000000002E-10</v>
      </c>
      <c r="K9" s="121">
        <v>4.5124699999999999E-10</v>
      </c>
      <c r="L9" s="78"/>
    </row>
    <row r="10" spans="1:21" x14ac:dyDescent="0.25">
      <c r="A10" s="138">
        <v>4.8</v>
      </c>
      <c r="B10" s="121">
        <v>0.229763</v>
      </c>
      <c r="C10" s="121">
        <v>2.3957286000000001E-11</v>
      </c>
      <c r="D10" s="121">
        <v>6.2404245999999997E-9</v>
      </c>
      <c r="E10" s="121">
        <v>2.7520076000000001E-2</v>
      </c>
      <c r="F10" s="121">
        <v>3.8390475000000001E-3</v>
      </c>
      <c r="G10" s="121">
        <v>1.9885804999999999E-3</v>
      </c>
      <c r="H10" s="121">
        <v>0.29248991000000002</v>
      </c>
      <c r="I10" s="121">
        <v>1.81017E-9</v>
      </c>
      <c r="J10" s="121">
        <v>3.4951199999999998E-10</v>
      </c>
      <c r="K10" s="121">
        <v>4.01541E-10</v>
      </c>
      <c r="L10" s="78"/>
    </row>
    <row r="11" spans="1:21" x14ac:dyDescent="0.25">
      <c r="A11" s="138">
        <v>5.0999999999999996</v>
      </c>
      <c r="B11" s="121">
        <v>0.24412400000000001</v>
      </c>
      <c r="C11" s="121">
        <v>1.9847789999999999E-11</v>
      </c>
      <c r="D11" s="121">
        <v>5.0252475999999998E-9</v>
      </c>
      <c r="E11" s="121">
        <v>2.8380810999999999E-2</v>
      </c>
      <c r="F11" s="121">
        <v>3.9496145000000003E-3</v>
      </c>
      <c r="G11" s="121">
        <v>1.9960283000000001E-3</v>
      </c>
      <c r="H11" s="121">
        <v>0.29027465000000002</v>
      </c>
      <c r="I11" s="121">
        <v>1.53479E-9</v>
      </c>
      <c r="J11" s="121">
        <v>3.4482200000000002E-10</v>
      </c>
      <c r="K11" s="121">
        <v>3.8764899999999999E-10</v>
      </c>
      <c r="L11" s="78"/>
    </row>
    <row r="12" spans="1:21" x14ac:dyDescent="0.25">
      <c r="A12" s="138">
        <v>5.4</v>
      </c>
      <c r="B12" s="121">
        <v>0.25848399999999999</v>
      </c>
      <c r="C12" s="121">
        <v>2.1177810000000001E-11</v>
      </c>
      <c r="D12" s="121">
        <v>5.3494954000000004E-9</v>
      </c>
      <c r="E12" s="121">
        <v>2.8591215E-2</v>
      </c>
      <c r="F12" s="121">
        <v>3.9588425000000003E-3</v>
      </c>
      <c r="G12" s="121">
        <v>2.0109239999999999E-3</v>
      </c>
      <c r="H12" s="121">
        <v>0.27333117000000001</v>
      </c>
      <c r="I12" s="121">
        <v>1.70141E-9</v>
      </c>
      <c r="J12" s="121">
        <v>4.2312699999999999E-10</v>
      </c>
      <c r="K12" s="121">
        <v>4.6951700000000002E-10</v>
      </c>
      <c r="L12" s="78"/>
    </row>
    <row r="13" spans="1:21" x14ac:dyDescent="0.25">
      <c r="A13" s="138">
        <v>5.7</v>
      </c>
      <c r="B13" s="121">
        <v>0.27284399999999998</v>
      </c>
      <c r="C13" s="121">
        <v>2.5297457000000001E-11</v>
      </c>
      <c r="D13" s="121">
        <v>6.1823946999999996E-9</v>
      </c>
      <c r="E13" s="121">
        <v>2.9477824999999999E-2</v>
      </c>
      <c r="F13" s="121">
        <v>4.0918539999999998E-3</v>
      </c>
      <c r="G13" s="121">
        <v>2.0053381000000002E-3</v>
      </c>
      <c r="H13" s="121">
        <v>0.27012251999999998</v>
      </c>
      <c r="I13" s="121">
        <v>2.0190299999999998E-9</v>
      </c>
      <c r="J13" s="121">
        <v>5.4652799999999996E-10</v>
      </c>
      <c r="K13" s="121">
        <v>6.00121E-10</v>
      </c>
      <c r="L13" s="78"/>
    </row>
    <row r="14" spans="1:21" x14ac:dyDescent="0.25">
      <c r="A14" s="138">
        <v>6</v>
      </c>
      <c r="B14" s="121">
        <v>0.28720400000000001</v>
      </c>
      <c r="C14" s="121">
        <v>2.9464378000000001E-11</v>
      </c>
      <c r="D14" s="121">
        <v>6.8944975000000002E-9</v>
      </c>
      <c r="E14" s="121">
        <v>3.0598461E-2</v>
      </c>
      <c r="F14" s="121">
        <v>4.2736077000000003E-3</v>
      </c>
      <c r="G14" s="121">
        <v>1.9885804999999999E-3</v>
      </c>
      <c r="H14" s="121">
        <v>0.29332954</v>
      </c>
      <c r="I14" s="121">
        <v>2.2933500000000002E-9</v>
      </c>
      <c r="J14" s="121">
        <v>6.4976199999999995E-10</v>
      </c>
      <c r="K14" s="121">
        <v>7.09755E-10</v>
      </c>
      <c r="L14" s="78"/>
    </row>
    <row r="15" spans="1:21" x14ac:dyDescent="0.25">
      <c r="A15" s="138">
        <v>6.3</v>
      </c>
      <c r="B15" s="121">
        <v>0.301564</v>
      </c>
      <c r="C15" s="121">
        <v>3.2852399999999998E-11</v>
      </c>
      <c r="D15" s="121">
        <v>7.3810569E-9</v>
      </c>
      <c r="E15" s="121">
        <v>3.1805094999999999E-2</v>
      </c>
      <c r="F15" s="121">
        <v>4.4509073000000001E-3</v>
      </c>
      <c r="G15" s="121">
        <v>1.9829944999999998E-3</v>
      </c>
      <c r="H15" s="121">
        <v>0.31174639999999998</v>
      </c>
      <c r="I15" s="121">
        <v>2.5428799999999998E-9</v>
      </c>
      <c r="J15" s="121">
        <v>7.8274799999999999E-10</v>
      </c>
      <c r="K15" s="121">
        <v>8.4732699999999998E-10</v>
      </c>
      <c r="L15" s="78"/>
    </row>
    <row r="16" spans="1:21" x14ac:dyDescent="0.25">
      <c r="A16" s="138">
        <v>6.6</v>
      </c>
      <c r="B16" s="121">
        <v>0.31592500000000001</v>
      </c>
      <c r="C16" s="121">
        <v>3.5676993000000002E-11</v>
      </c>
      <c r="D16" s="121">
        <v>7.6865473999999993E-9</v>
      </c>
      <c r="E16" s="121">
        <v>3.3147069000000001E-2</v>
      </c>
      <c r="F16" s="121">
        <v>4.6414847999999998E-3</v>
      </c>
      <c r="G16" s="121">
        <v>1.9811325999999998E-3</v>
      </c>
      <c r="H16" s="121">
        <v>0.36399310000000001</v>
      </c>
      <c r="I16" s="121">
        <v>2.7463699999999999E-9</v>
      </c>
      <c r="J16" s="121">
        <v>9.2463599999999999E-10</v>
      </c>
      <c r="K16" s="121">
        <v>9.9172300000000009E-10</v>
      </c>
      <c r="L16" s="78"/>
    </row>
    <row r="17" spans="1:12" x14ac:dyDescent="0.25">
      <c r="A17" s="138">
        <v>6.9</v>
      </c>
      <c r="B17" s="121">
        <v>0.330285</v>
      </c>
      <c r="C17" s="121">
        <v>3.4484467E-11</v>
      </c>
      <c r="D17" s="121">
        <v>7.1170376999999997E-9</v>
      </c>
      <c r="E17" s="121">
        <v>3.4624381000000003E-2</v>
      </c>
      <c r="F17" s="121">
        <v>4.8453398999999996E-3</v>
      </c>
      <c r="G17" s="121">
        <v>1.9829945999999998E-3</v>
      </c>
      <c r="H17" s="121">
        <v>0.3707376</v>
      </c>
      <c r="I17" s="121">
        <v>2.6663199999999999E-9</v>
      </c>
      <c r="J17" s="121">
        <v>1.0236799999999999E-9</v>
      </c>
      <c r="K17" s="121">
        <v>1.08419E-9</v>
      </c>
      <c r="L17" s="78"/>
    </row>
    <row r="18" spans="1:12" x14ac:dyDescent="0.25">
      <c r="A18" s="138">
        <v>7.2</v>
      </c>
      <c r="B18" s="121">
        <v>0.34464499999999998</v>
      </c>
      <c r="C18" s="121">
        <v>3.2875308E-11</v>
      </c>
      <c r="D18" s="121">
        <v>6.4939225000000002E-9</v>
      </c>
      <c r="E18" s="121">
        <v>3.6237032000000002E-2</v>
      </c>
      <c r="F18" s="121">
        <v>5.0624731000000001E-3</v>
      </c>
      <c r="G18" s="121">
        <v>1.9885804999999999E-3</v>
      </c>
      <c r="H18" s="121">
        <v>0.37264617</v>
      </c>
      <c r="I18" s="121">
        <v>2.5388099999999998E-9</v>
      </c>
      <c r="J18" s="121">
        <v>1.0871499999999999E-9</v>
      </c>
      <c r="K18" s="121">
        <v>1.1405400000000001E-9</v>
      </c>
      <c r="L18" s="78"/>
    </row>
    <row r="19" spans="1:12" x14ac:dyDescent="0.25">
      <c r="A19" s="138">
        <v>7.5</v>
      </c>
      <c r="B19" s="121">
        <v>0.35900500000000002</v>
      </c>
      <c r="C19" s="121">
        <v>2.7801909E-11</v>
      </c>
      <c r="D19" s="121">
        <v>5.4854574000000002E-9</v>
      </c>
      <c r="E19" s="121">
        <v>3.6282474000000002E-2</v>
      </c>
      <c r="F19" s="121">
        <v>5.0682937000000004E-3</v>
      </c>
      <c r="G19" s="121">
        <v>1.9885804999999999E-3</v>
      </c>
      <c r="H19" s="121">
        <v>0.38327602999999999</v>
      </c>
      <c r="I19" s="121">
        <v>2.25737E-9</v>
      </c>
      <c r="J19" s="121">
        <v>1.07573E-9</v>
      </c>
      <c r="K19" s="121">
        <v>1.11915E-9</v>
      </c>
      <c r="L19" s="78"/>
    </row>
    <row r="20" spans="1:12" x14ac:dyDescent="0.25">
      <c r="A20" s="138">
        <v>7.8</v>
      </c>
      <c r="B20" s="121">
        <v>0.373365</v>
      </c>
      <c r="C20" s="121">
        <v>2.2735025999999998E-11</v>
      </c>
      <c r="D20" s="121">
        <v>4.5492286E-9</v>
      </c>
      <c r="E20" s="121">
        <v>3.5782236000000002E-2</v>
      </c>
      <c r="F20" s="121">
        <v>4.9975562000000003E-3</v>
      </c>
      <c r="G20" s="121">
        <v>1.9885804999999999E-3</v>
      </c>
      <c r="H20" s="121">
        <v>0.36950084</v>
      </c>
      <c r="I20" s="121">
        <v>2.0047900000000001E-9</v>
      </c>
      <c r="J20" s="121">
        <v>1.07002E-9</v>
      </c>
      <c r="K20" s="121">
        <v>1.1044099999999999E-9</v>
      </c>
      <c r="L20" s="78"/>
    </row>
    <row r="21" spans="1:12" x14ac:dyDescent="0.25">
      <c r="A21" s="138">
        <v>8.1</v>
      </c>
      <c r="B21" s="121">
        <v>0.38772600000000002</v>
      </c>
      <c r="C21" s="121">
        <v>1.7795142E-11</v>
      </c>
      <c r="D21" s="121">
        <v>3.6689045999999998E-9</v>
      </c>
      <c r="E21" s="121">
        <v>3.4736317000000003E-2</v>
      </c>
      <c r="F21" s="121">
        <v>4.8502603E-3</v>
      </c>
      <c r="G21" s="121">
        <v>1.9885804999999999E-3</v>
      </c>
      <c r="H21" s="121">
        <v>0.33684556999999998</v>
      </c>
      <c r="I21" s="121">
        <v>1.75649E-9</v>
      </c>
      <c r="J21" s="121">
        <v>1.05262E-9</v>
      </c>
      <c r="K21" s="121">
        <v>1.0785199999999999E-9</v>
      </c>
      <c r="L21" s="78"/>
    </row>
    <row r="22" spans="1:12" x14ac:dyDescent="0.25">
      <c r="A22" s="138">
        <v>8.4</v>
      </c>
      <c r="B22" s="121">
        <v>0.402086</v>
      </c>
      <c r="C22" s="121">
        <v>1.4333505E-11</v>
      </c>
      <c r="D22" s="121">
        <v>2.9422871000000001E-9</v>
      </c>
      <c r="E22" s="121">
        <v>3.4892526E-2</v>
      </c>
      <c r="F22" s="121">
        <v>4.8715520000000003E-3</v>
      </c>
      <c r="G22" s="121">
        <v>1.9885804999999999E-3</v>
      </c>
      <c r="H22" s="121">
        <v>0.33578844000000002</v>
      </c>
      <c r="I22" s="121">
        <v>1.5149300000000001E-9</v>
      </c>
      <c r="J22" s="121">
        <v>9.9417700000000005E-10</v>
      </c>
      <c r="K22" s="121">
        <v>1.0133E-9</v>
      </c>
      <c r="L22" s="78"/>
    </row>
    <row r="23" spans="1:12" x14ac:dyDescent="0.25">
      <c r="A23" s="138">
        <v>8.6999999999999993</v>
      </c>
      <c r="B23" s="121">
        <v>0.41644599999999998</v>
      </c>
      <c r="C23" s="121">
        <v>1.4598824E-11</v>
      </c>
      <c r="D23" s="121">
        <v>2.9559105000000001E-9</v>
      </c>
      <c r="E23" s="121">
        <v>3.5376957000000001E-2</v>
      </c>
      <c r="F23" s="121">
        <v>4.9388584999999997E-3</v>
      </c>
      <c r="G23" s="121">
        <v>1.9885804999999999E-3</v>
      </c>
      <c r="H23" s="121">
        <v>0.37310207000000001</v>
      </c>
      <c r="I23" s="121">
        <v>1.4911400000000001E-9</v>
      </c>
      <c r="J23" s="121">
        <v>9.6226100000000005E-10</v>
      </c>
      <c r="K23" s="121">
        <v>9.8162199999999998E-10</v>
      </c>
      <c r="L23" s="78"/>
    </row>
    <row r="24" spans="1:12" x14ac:dyDescent="0.25">
      <c r="A24" s="138">
        <v>9</v>
      </c>
      <c r="B24" s="121">
        <v>0.43080600000000002</v>
      </c>
      <c r="C24" s="121">
        <v>1.7567543000000001E-11</v>
      </c>
      <c r="D24" s="121">
        <v>3.4772206999999999E-9</v>
      </c>
      <c r="E24" s="121">
        <v>3.6189607999999998E-2</v>
      </c>
      <c r="F24" s="121">
        <v>5.0521795000000001E-3</v>
      </c>
      <c r="G24" s="121">
        <v>1.9885804999999999E-3</v>
      </c>
      <c r="H24" s="121">
        <v>0.39716017999999997</v>
      </c>
      <c r="I24" s="121">
        <v>1.6615499999999999E-9</v>
      </c>
      <c r="J24" s="121">
        <v>1.0036200000000001E-9</v>
      </c>
      <c r="K24" s="121">
        <v>1.0277299999999999E-9</v>
      </c>
      <c r="L24" s="78"/>
    </row>
    <row r="25" spans="1:12" x14ac:dyDescent="0.25">
      <c r="A25" s="138">
        <v>9.3000000000000007</v>
      </c>
      <c r="B25" s="121">
        <v>0.44516600000000001</v>
      </c>
      <c r="C25" s="121">
        <v>1.9862270999999999E-11</v>
      </c>
      <c r="D25" s="121">
        <v>4.0227553999999996E-9</v>
      </c>
      <c r="E25" s="121">
        <v>3.5067873999999999E-2</v>
      </c>
      <c r="F25" s="121">
        <v>4.9374791000000003E-3</v>
      </c>
      <c r="G25" s="121">
        <v>1.9637541999999999E-3</v>
      </c>
      <c r="H25" s="121">
        <v>0.36942027999999999</v>
      </c>
      <c r="I25" s="121">
        <v>1.9007999999999999E-9</v>
      </c>
      <c r="J25" s="121">
        <v>1.1256900000000001E-9</v>
      </c>
      <c r="K25" s="121">
        <v>1.1541600000000001E-9</v>
      </c>
      <c r="L25" s="78"/>
    </row>
    <row r="26" spans="1:12" x14ac:dyDescent="0.25">
      <c r="A26" s="138">
        <v>9.6</v>
      </c>
      <c r="B26" s="121">
        <v>0.45952700000000002</v>
      </c>
      <c r="C26" s="121">
        <v>2.1152493000000001E-11</v>
      </c>
      <c r="D26" s="121">
        <v>4.4703080000000002E-9</v>
      </c>
      <c r="E26" s="121">
        <v>3.3143058000000003E-2</v>
      </c>
      <c r="F26" s="121">
        <v>4.7317751999999998E-3</v>
      </c>
      <c r="G26" s="121">
        <v>1.9265148000000001E-3</v>
      </c>
      <c r="H26" s="121">
        <v>0.28919294000000001</v>
      </c>
      <c r="I26" s="121">
        <v>2.2553299999999999E-9</v>
      </c>
      <c r="J26" s="121">
        <v>1.4412900000000001E-9</v>
      </c>
      <c r="K26" s="121">
        <v>1.47124E-9</v>
      </c>
      <c r="L26" s="78"/>
    </row>
    <row r="27" spans="1:12" x14ac:dyDescent="0.25">
      <c r="A27" s="138">
        <v>9.9</v>
      </c>
      <c r="B27" s="121">
        <v>0.473887</v>
      </c>
      <c r="C27" s="121">
        <v>2.6671502999999998E-11</v>
      </c>
      <c r="D27" s="121">
        <v>6.0137745000000002E-9</v>
      </c>
      <c r="E27" s="121">
        <v>3.0415145000000001E-2</v>
      </c>
      <c r="F27" s="121">
        <v>4.4350685999999997E-3</v>
      </c>
      <c r="G27" s="121">
        <v>1.8768610000000001E-3</v>
      </c>
      <c r="H27" s="121">
        <v>0.29165538000000002</v>
      </c>
      <c r="I27" s="121">
        <v>3.9554599999999999E-9</v>
      </c>
      <c r="J27" s="121">
        <v>3.1980099999999998E-9</v>
      </c>
      <c r="K27" s="121">
        <v>3.2258899999999999E-9</v>
      </c>
      <c r="L27" s="78"/>
    </row>
    <row r="28" spans="1:12" x14ac:dyDescent="0.25">
      <c r="A28" s="138">
        <v>10.199999999999999</v>
      </c>
      <c r="B28" s="121">
        <v>0.48824699999999999</v>
      </c>
      <c r="C28" s="121">
        <v>5.5696160999999999E-11</v>
      </c>
      <c r="D28" s="121">
        <v>1.2333058000000001E-8</v>
      </c>
      <c r="E28" s="121">
        <v>2.1234807000000001E-2</v>
      </c>
      <c r="F28" s="121">
        <v>4.5160056999999998E-3</v>
      </c>
      <c r="G28" s="121">
        <v>1.2959272E-3</v>
      </c>
      <c r="H28" s="121">
        <v>0.35057933000000002</v>
      </c>
      <c r="I28" s="121">
        <v>1.0422400000000001E-8</v>
      </c>
      <c r="J28" s="121">
        <v>9.7198199999999992E-9</v>
      </c>
      <c r="K28" s="121">
        <v>9.7456800000000006E-9</v>
      </c>
      <c r="L28" s="78"/>
    </row>
    <row r="29" spans="1:12" x14ac:dyDescent="0.25">
      <c r="A29" s="139">
        <v>10.5</v>
      </c>
      <c r="B29" s="122">
        <v>0.50260700000000003</v>
      </c>
      <c r="C29" s="122">
        <v>3.7252217000000001E-11</v>
      </c>
      <c r="D29" s="122">
        <v>1.0037031000000001E-8</v>
      </c>
      <c r="E29" s="122">
        <v>1.1649577E-2</v>
      </c>
      <c r="F29" s="122">
        <v>3.7114776000000001E-3</v>
      </c>
      <c r="G29" s="122">
        <v>8.7140041000000003E-4</v>
      </c>
      <c r="H29" s="122">
        <v>0.31775840999999999</v>
      </c>
      <c r="I29" s="122">
        <v>9.2892400000000001E-9</v>
      </c>
      <c r="J29" s="122">
        <v>9.0146099999999997E-9</v>
      </c>
      <c r="K29" s="122">
        <v>9.0247199999999998E-9</v>
      </c>
      <c r="L29" s="79"/>
    </row>
    <row r="30" spans="1:12" x14ac:dyDescent="0.25">
      <c r="A30" s="140">
        <v>1.8</v>
      </c>
      <c r="B30" s="123">
        <v>8.6161199999999993E-2</v>
      </c>
      <c r="C30" s="123">
        <v>3.4723922000000001E-9</v>
      </c>
      <c r="D30" s="123">
        <v>3.1088011000000002E-7</v>
      </c>
      <c r="E30" s="123">
        <v>6.3845363000000002E-2</v>
      </c>
      <c r="F30" s="123">
        <v>1.1169554E-2</v>
      </c>
      <c r="G30" s="123">
        <v>1.6310828999999999E-3</v>
      </c>
      <c r="H30" s="123">
        <v>0.31035288</v>
      </c>
      <c r="I30" s="123">
        <v>1.2431799999999999E-7</v>
      </c>
      <c r="J30" s="123">
        <v>6.2410500000000002E-8</v>
      </c>
      <c r="K30" s="123">
        <v>6.4620599999999998E-8</v>
      </c>
      <c r="L30" s="80" t="s">
        <v>117</v>
      </c>
    </row>
    <row r="31" spans="1:12" x14ac:dyDescent="0.25">
      <c r="A31" s="140">
        <v>2.1</v>
      </c>
      <c r="B31" s="123">
        <v>0.100521</v>
      </c>
      <c r="C31" s="123">
        <v>3.4916932000000002E-9</v>
      </c>
      <c r="D31" s="123">
        <v>2.1801635999999999E-7</v>
      </c>
      <c r="E31" s="123">
        <v>9.3898627999999998E-2</v>
      </c>
      <c r="F31" s="123">
        <v>1.6015740000000001E-2</v>
      </c>
      <c r="G31" s="123">
        <v>1.67577E-3</v>
      </c>
      <c r="H31" s="123">
        <v>0.43108801000000002</v>
      </c>
      <c r="I31" s="123">
        <v>8.1556500000000006E-8</v>
      </c>
      <c r="J31" s="123">
        <v>3.6389500000000003E-8</v>
      </c>
      <c r="K31" s="123">
        <v>3.7999000000000002E-8</v>
      </c>
      <c r="L31" s="80"/>
    </row>
    <row r="32" spans="1:12" x14ac:dyDescent="0.25">
      <c r="A32" s="140">
        <v>2.4</v>
      </c>
      <c r="B32" s="123">
        <v>0.114882</v>
      </c>
      <c r="C32" s="123">
        <v>2.1829526999999998E-9</v>
      </c>
      <c r="D32" s="123">
        <v>1.118421E-7</v>
      </c>
      <c r="E32" s="123">
        <v>0.10988001999999999</v>
      </c>
      <c r="F32" s="123">
        <v>1.9518166999999999E-2</v>
      </c>
      <c r="G32" s="123">
        <v>1.6310828999999999E-3</v>
      </c>
      <c r="H32" s="123">
        <v>0.50499335000000001</v>
      </c>
      <c r="I32" s="123">
        <v>4.7792899999999998E-8</v>
      </c>
      <c r="J32" s="123">
        <v>2.8763399999999999E-8</v>
      </c>
      <c r="K32" s="123">
        <v>2.94163E-8</v>
      </c>
      <c r="L32" s="80"/>
    </row>
    <row r="33" spans="1:12" x14ac:dyDescent="0.25">
      <c r="A33" s="140">
        <v>2.7</v>
      </c>
      <c r="B33" s="123">
        <v>0.129242</v>
      </c>
      <c r="C33" s="123">
        <v>1.2461354E-9</v>
      </c>
      <c r="D33" s="123">
        <v>5.8374884999999998E-8</v>
      </c>
      <c r="E33" s="123">
        <v>0.11502975</v>
      </c>
      <c r="F33" s="123">
        <v>2.1347115E-2</v>
      </c>
      <c r="G33" s="123">
        <v>1.5417084000000001E-3</v>
      </c>
      <c r="H33" s="123">
        <v>0.54020089000000004</v>
      </c>
      <c r="I33" s="123">
        <v>2.8096600000000002E-8</v>
      </c>
      <c r="J33" s="123">
        <v>2.01835E-8</v>
      </c>
      <c r="K33" s="123">
        <v>2.0441500000000001E-8</v>
      </c>
      <c r="L33" s="80"/>
    </row>
    <row r="34" spans="1:12" x14ac:dyDescent="0.25">
      <c r="A34" s="140">
        <v>3</v>
      </c>
      <c r="B34" s="123">
        <v>0.14360200000000001</v>
      </c>
      <c r="C34" s="123">
        <v>1.4192531E-9</v>
      </c>
      <c r="D34" s="123">
        <v>6.0796855000000002E-8</v>
      </c>
      <c r="E34" s="123">
        <v>0.12443667999999999</v>
      </c>
      <c r="F34" s="123">
        <v>2.3344186999999999E-2</v>
      </c>
      <c r="G34" s="123">
        <v>1.5193647000000001E-3</v>
      </c>
      <c r="H34" s="123">
        <v>0.57207249000000004</v>
      </c>
      <c r="I34" s="123">
        <v>2.3670599999999999E-8</v>
      </c>
      <c r="J34" s="123">
        <v>1.16477E-8</v>
      </c>
      <c r="K34" s="123">
        <v>1.20734E-8</v>
      </c>
      <c r="L34" s="80"/>
    </row>
    <row r="35" spans="1:12" x14ac:dyDescent="0.25">
      <c r="A35" s="140">
        <v>3.3</v>
      </c>
      <c r="B35" s="123">
        <v>0.15796199999999999</v>
      </c>
      <c r="C35" s="123">
        <v>1.5400514999999999E-9</v>
      </c>
      <c r="D35" s="123">
        <v>6.0371963000000004E-8</v>
      </c>
      <c r="E35" s="123">
        <v>0.13810084</v>
      </c>
      <c r="F35" s="123">
        <v>2.5509383E-2</v>
      </c>
      <c r="G35" s="123">
        <v>1.564052E-3</v>
      </c>
      <c r="H35" s="123">
        <v>0.60394407999999999</v>
      </c>
      <c r="I35" s="123">
        <v>2.1670999999999999E-8</v>
      </c>
      <c r="J35" s="123">
        <v>8.5925799999999997E-9</v>
      </c>
      <c r="K35" s="123">
        <v>9.0616699999999994E-9</v>
      </c>
      <c r="L35" s="80"/>
    </row>
    <row r="36" spans="1:12" x14ac:dyDescent="0.25">
      <c r="A36" s="140">
        <v>3.6</v>
      </c>
      <c r="B36" s="123">
        <v>0.172322</v>
      </c>
      <c r="C36" s="123">
        <v>1.1142894999999999E-9</v>
      </c>
      <c r="D36" s="123">
        <v>4.1913765999999999E-8</v>
      </c>
      <c r="E36" s="123">
        <v>0.14401003000000001</v>
      </c>
      <c r="F36" s="123">
        <v>2.6585286E-2</v>
      </c>
      <c r="G36" s="123">
        <v>1.564052E-3</v>
      </c>
      <c r="H36" s="123">
        <v>0.62619203999999995</v>
      </c>
      <c r="I36" s="123">
        <v>1.6452999999999999E-8</v>
      </c>
      <c r="J36" s="123">
        <v>8.5024799999999998E-9</v>
      </c>
      <c r="K36" s="123">
        <v>8.7800800000000006E-9</v>
      </c>
      <c r="L36" s="80"/>
    </row>
    <row r="37" spans="1:12" x14ac:dyDescent="0.25">
      <c r="A37" s="140">
        <v>3.9</v>
      </c>
      <c r="B37" s="123">
        <v>0.18668299999999999</v>
      </c>
      <c r="C37" s="123">
        <v>6.8598218999999998E-10</v>
      </c>
      <c r="D37" s="123">
        <v>2.5693665000000001E-8</v>
      </c>
      <c r="E37" s="123">
        <v>0.14460818</v>
      </c>
      <c r="F37" s="123">
        <v>2.6698494999999999E-2</v>
      </c>
      <c r="G37" s="123">
        <v>1.564052E-3</v>
      </c>
      <c r="H37" s="123">
        <v>0.62951785000000005</v>
      </c>
      <c r="I37" s="123">
        <v>1.19225E-8</v>
      </c>
      <c r="J37" s="123">
        <v>8.3661500000000001E-9</v>
      </c>
      <c r="K37" s="123">
        <v>8.4813299999999993E-9</v>
      </c>
      <c r="L37" s="80"/>
    </row>
    <row r="38" spans="1:12" x14ac:dyDescent="0.25">
      <c r="A38" s="140">
        <v>4.2</v>
      </c>
      <c r="B38" s="123">
        <v>0.201043</v>
      </c>
      <c r="C38" s="123">
        <v>5.5323134999999998E-10</v>
      </c>
      <c r="D38" s="123">
        <v>2.0409998999999998E-8</v>
      </c>
      <c r="E38" s="123">
        <v>0.14605982000000001</v>
      </c>
      <c r="F38" s="123">
        <v>2.7105898E-2</v>
      </c>
      <c r="G38" s="123">
        <v>1.5566041000000001E-3</v>
      </c>
      <c r="H38" s="123">
        <v>0.63744628999999997</v>
      </c>
      <c r="I38" s="123">
        <v>1.01675E-8</v>
      </c>
      <c r="J38" s="123">
        <v>7.4943699999999996E-9</v>
      </c>
      <c r="K38" s="123">
        <v>7.5814100000000002E-9</v>
      </c>
      <c r="L38" s="80"/>
    </row>
    <row r="39" spans="1:12" x14ac:dyDescent="0.25">
      <c r="A39" s="140">
        <v>4.5</v>
      </c>
      <c r="B39" s="123">
        <v>0.21540300000000001</v>
      </c>
      <c r="C39" s="123">
        <v>4.6042518000000002E-10</v>
      </c>
      <c r="D39" s="123">
        <v>1.6557593000000001E-8</v>
      </c>
      <c r="E39" s="123">
        <v>0.14836495</v>
      </c>
      <c r="F39" s="123">
        <v>2.7807495000000002E-2</v>
      </c>
      <c r="G39" s="123">
        <v>1.5417084000000001E-3</v>
      </c>
      <c r="H39" s="123">
        <v>0.64537473000000001</v>
      </c>
      <c r="I39" s="123">
        <v>8.1294500000000007E-9</v>
      </c>
      <c r="J39" s="123">
        <v>5.6606999999999997E-9</v>
      </c>
      <c r="K39" s="123">
        <v>5.7449099999999998E-9</v>
      </c>
      <c r="L39" s="80"/>
    </row>
    <row r="40" spans="1:12" x14ac:dyDescent="0.25">
      <c r="A40" s="140">
        <v>4.8</v>
      </c>
      <c r="B40" s="123">
        <v>0.229763</v>
      </c>
      <c r="C40" s="123">
        <v>3.1080323000000002E-10</v>
      </c>
      <c r="D40" s="123">
        <v>1.0920495E-8</v>
      </c>
      <c r="E40" s="123">
        <v>0.15170216</v>
      </c>
      <c r="F40" s="123">
        <v>2.8460543000000001E-2</v>
      </c>
      <c r="G40" s="123">
        <v>1.5417084000000001E-3</v>
      </c>
      <c r="H40" s="123">
        <v>0.66190411000000005</v>
      </c>
      <c r="I40" s="123">
        <v>5.34774E-9</v>
      </c>
      <c r="J40" s="123">
        <v>3.6549100000000002E-9</v>
      </c>
      <c r="K40" s="123">
        <v>3.7132099999999998E-9</v>
      </c>
      <c r="L40" s="80"/>
    </row>
    <row r="41" spans="1:12" x14ac:dyDescent="0.25">
      <c r="A41" s="140">
        <v>5.0999999999999996</v>
      </c>
      <c r="B41" s="123">
        <v>0.24412400000000001</v>
      </c>
      <c r="C41" s="123">
        <v>2.0848725E-10</v>
      </c>
      <c r="D41" s="123">
        <v>7.2252053000000003E-9</v>
      </c>
      <c r="E41" s="123">
        <v>0.15371009999999999</v>
      </c>
      <c r="F41" s="123">
        <v>2.8855545999999999E-2</v>
      </c>
      <c r="G41" s="123">
        <v>1.5417084000000001E-3</v>
      </c>
      <c r="H41" s="123">
        <v>0.66353308</v>
      </c>
      <c r="I41" s="123">
        <v>3.6462600000000002E-9</v>
      </c>
      <c r="J41" s="123">
        <v>2.5741E-9</v>
      </c>
      <c r="K41" s="123">
        <v>2.61071E-9</v>
      </c>
      <c r="L41" s="80"/>
    </row>
    <row r="42" spans="1:12" x14ac:dyDescent="0.25">
      <c r="A42" s="140">
        <v>5.4</v>
      </c>
      <c r="B42" s="123">
        <v>0.25848399999999999</v>
      </c>
      <c r="C42" s="123">
        <v>1.7996505E-10</v>
      </c>
      <c r="D42" s="123">
        <v>6.2072960999999999E-9</v>
      </c>
      <c r="E42" s="123">
        <v>0.15438877000000001</v>
      </c>
      <c r="F42" s="123">
        <v>2.8992502999999999E-2</v>
      </c>
      <c r="G42" s="123">
        <v>1.5417084000000001E-3</v>
      </c>
      <c r="H42" s="123">
        <v>0.66516204999999995</v>
      </c>
      <c r="I42" s="123">
        <v>3.2575500000000002E-9</v>
      </c>
      <c r="J42" s="123">
        <v>2.3205900000000002E-9</v>
      </c>
      <c r="K42" s="123">
        <v>2.35321E-9</v>
      </c>
      <c r="L42" s="80"/>
    </row>
    <row r="43" spans="1:12" x14ac:dyDescent="0.25">
      <c r="A43" s="140">
        <v>5.7</v>
      </c>
      <c r="B43" s="123">
        <v>0.27284399999999998</v>
      </c>
      <c r="C43" s="123">
        <v>1.6981394000000001E-10</v>
      </c>
      <c r="D43" s="123">
        <v>5.8817325000000001E-9</v>
      </c>
      <c r="E43" s="123">
        <v>0.15373817000000001</v>
      </c>
      <c r="F43" s="123">
        <v>2.8871415000000001E-2</v>
      </c>
      <c r="G43" s="123">
        <v>1.5417084000000001E-3</v>
      </c>
      <c r="H43" s="123">
        <v>0.66679100999999996</v>
      </c>
      <c r="I43" s="123">
        <v>3.1403300000000001E-9</v>
      </c>
      <c r="J43" s="123">
        <v>2.2380500000000001E-9</v>
      </c>
      <c r="K43" s="123">
        <v>2.2698000000000002E-9</v>
      </c>
      <c r="L43" s="80"/>
    </row>
    <row r="44" spans="1:12" x14ac:dyDescent="0.25">
      <c r="A44" s="140">
        <v>6</v>
      </c>
      <c r="B44" s="123">
        <v>0.28720400000000001</v>
      </c>
      <c r="C44" s="123">
        <v>1.9383623000000001E-10</v>
      </c>
      <c r="D44" s="123">
        <v>6.8031139999999997E-9</v>
      </c>
      <c r="E44" s="123">
        <v>0.15175831000000001</v>
      </c>
      <c r="F44" s="123">
        <v>2.8492279999999998E-2</v>
      </c>
      <c r="G44" s="123">
        <v>1.5417084000000001E-3</v>
      </c>
      <c r="H44" s="123">
        <v>0.66841998000000002</v>
      </c>
      <c r="I44" s="123">
        <v>3.46499E-9</v>
      </c>
      <c r="J44" s="123">
        <v>2.3548400000000001E-9</v>
      </c>
      <c r="K44" s="123">
        <v>2.3941999999999999E-9</v>
      </c>
      <c r="L44" s="80"/>
    </row>
    <row r="45" spans="1:12" x14ac:dyDescent="0.25">
      <c r="A45" s="140">
        <v>6.3</v>
      </c>
      <c r="B45" s="123">
        <v>0.301564</v>
      </c>
      <c r="C45" s="123">
        <v>2.2563123E-10</v>
      </c>
      <c r="D45" s="123">
        <v>7.9364925000000005E-9</v>
      </c>
      <c r="E45" s="123">
        <v>0.15138307000000001</v>
      </c>
      <c r="F45" s="123">
        <v>2.8429590000000001E-2</v>
      </c>
      <c r="G45" s="123">
        <v>1.5417084000000001E-3</v>
      </c>
      <c r="H45" s="123">
        <v>0.66705669999999995</v>
      </c>
      <c r="I45" s="123">
        <v>3.8122099999999996E-9</v>
      </c>
      <c r="J45" s="123">
        <v>2.4585700000000001E-9</v>
      </c>
      <c r="K45" s="123">
        <v>2.5064500000000002E-9</v>
      </c>
      <c r="L45" s="80"/>
    </row>
    <row r="46" spans="1:12" x14ac:dyDescent="0.25">
      <c r="A46" s="140">
        <v>6.6</v>
      </c>
      <c r="B46" s="123">
        <v>0.31592500000000001</v>
      </c>
      <c r="C46" s="123">
        <v>2.0101465999999999E-10</v>
      </c>
      <c r="D46" s="123">
        <v>7.0933038000000003E-9</v>
      </c>
      <c r="E46" s="123">
        <v>0.15085214</v>
      </c>
      <c r="F46" s="123">
        <v>2.8338650999999999E-2</v>
      </c>
      <c r="G46" s="123">
        <v>1.5417084000000001E-3</v>
      </c>
      <c r="H46" s="123">
        <v>0.66569341999999998</v>
      </c>
      <c r="I46" s="123">
        <v>3.4970400000000002E-9</v>
      </c>
      <c r="J46" s="123">
        <v>2.3785600000000001E-9</v>
      </c>
      <c r="K46" s="123">
        <v>2.4173699999999999E-9</v>
      </c>
      <c r="L46" s="80"/>
    </row>
    <row r="47" spans="1:12" x14ac:dyDescent="0.25">
      <c r="A47" s="140">
        <v>6.9</v>
      </c>
      <c r="B47" s="123">
        <v>0.330285</v>
      </c>
      <c r="C47" s="123">
        <v>1.5128332999999999E-10</v>
      </c>
      <c r="D47" s="123">
        <v>5.3609571000000004E-9</v>
      </c>
      <c r="E47" s="123">
        <v>0.15016549000000001</v>
      </c>
      <c r="F47" s="123">
        <v>2.8219463E-2</v>
      </c>
      <c r="G47" s="123">
        <v>1.5417084000000001E-3</v>
      </c>
      <c r="H47" s="123">
        <v>0.66433014999999995</v>
      </c>
      <c r="I47" s="123">
        <v>2.8649500000000001E-9</v>
      </c>
      <c r="J47" s="123">
        <v>2.1524199999999999E-9</v>
      </c>
      <c r="K47" s="123">
        <v>2.17627E-9</v>
      </c>
      <c r="L47" s="80"/>
    </row>
    <row r="48" spans="1:12" x14ac:dyDescent="0.25">
      <c r="A48" s="140">
        <v>7.2</v>
      </c>
      <c r="B48" s="123">
        <v>0.34464499999999998</v>
      </c>
      <c r="C48" s="123">
        <v>1.4870646999999999E-10</v>
      </c>
      <c r="D48" s="123">
        <v>5.2973188000000001E-9</v>
      </c>
      <c r="E48" s="123">
        <v>0.14932313999999999</v>
      </c>
      <c r="F48" s="123">
        <v>2.8072025E-2</v>
      </c>
      <c r="G48" s="123">
        <v>1.5417084000000001E-3</v>
      </c>
      <c r="H48" s="123">
        <v>0.66296688000000004</v>
      </c>
      <c r="I48" s="123">
        <v>3.0327199999999998E-9</v>
      </c>
      <c r="J48" s="123">
        <v>2.3944200000000001E-9</v>
      </c>
      <c r="K48" s="123">
        <v>2.4155899999999999E-9</v>
      </c>
      <c r="L48" s="80"/>
    </row>
    <row r="49" spans="1:12" x14ac:dyDescent="0.25">
      <c r="A49" s="140">
        <v>7.5</v>
      </c>
      <c r="B49" s="123">
        <v>0.35900500000000002</v>
      </c>
      <c r="C49" s="123">
        <v>1.5823688E-10</v>
      </c>
      <c r="D49" s="123">
        <v>5.6563134000000001E-9</v>
      </c>
      <c r="E49" s="123">
        <v>0.14879787999999999</v>
      </c>
      <c r="F49" s="123">
        <v>2.7975267000000002E-2</v>
      </c>
      <c r="G49" s="123">
        <v>1.5417084000000001E-3</v>
      </c>
      <c r="H49" s="123">
        <v>0.66302866000000005</v>
      </c>
      <c r="I49" s="123">
        <v>3.3083299999999999E-9</v>
      </c>
      <c r="J49" s="123">
        <v>2.6057999999999998E-9</v>
      </c>
      <c r="K49" s="123">
        <v>2.6295499999999999E-9</v>
      </c>
      <c r="L49" s="80"/>
    </row>
    <row r="50" spans="1:12" x14ac:dyDescent="0.25">
      <c r="A50" s="140">
        <v>7.8</v>
      </c>
      <c r="B50" s="123">
        <v>0.373365</v>
      </c>
      <c r="C50" s="123">
        <v>1.4248294999999999E-10</v>
      </c>
      <c r="D50" s="123">
        <v>5.1102433999999998E-9</v>
      </c>
      <c r="E50" s="123">
        <v>0.14830604999999999</v>
      </c>
      <c r="F50" s="123">
        <v>2.7881831999999999E-2</v>
      </c>
      <c r="G50" s="123">
        <v>1.5417084000000001E-3</v>
      </c>
      <c r="H50" s="123">
        <v>0.66309045</v>
      </c>
      <c r="I50" s="123">
        <v>3.2320300000000001E-9</v>
      </c>
      <c r="J50" s="123">
        <v>2.6769199999999999E-9</v>
      </c>
      <c r="K50" s="123">
        <v>2.69554E-9</v>
      </c>
      <c r="L50" s="80"/>
    </row>
    <row r="51" spans="1:12" x14ac:dyDescent="0.25">
      <c r="A51" s="140">
        <v>8.1</v>
      </c>
      <c r="B51" s="123">
        <v>0.38772600000000002</v>
      </c>
      <c r="C51" s="123">
        <v>1.1485230000000001E-10</v>
      </c>
      <c r="D51" s="123">
        <v>4.1326086999999999E-9</v>
      </c>
      <c r="E51" s="123">
        <v>0.14784763000000001</v>
      </c>
      <c r="F51" s="123">
        <v>2.7791718E-2</v>
      </c>
      <c r="G51" s="123">
        <v>1.5417084000000001E-3</v>
      </c>
      <c r="H51" s="123">
        <v>0.66315223999999995</v>
      </c>
      <c r="I51" s="123">
        <v>2.8048700000000001E-9</v>
      </c>
      <c r="J51" s="123">
        <v>2.42218E-9</v>
      </c>
      <c r="K51" s="123">
        <v>2.43486E-9</v>
      </c>
      <c r="L51" s="80"/>
    </row>
    <row r="52" spans="1:12" x14ac:dyDescent="0.25">
      <c r="A52" s="140">
        <v>8.4</v>
      </c>
      <c r="B52" s="123">
        <v>0.402086</v>
      </c>
      <c r="C52" s="123">
        <v>9.5580750000000001E-11</v>
      </c>
      <c r="D52" s="123">
        <v>3.4622672999999998E-9</v>
      </c>
      <c r="E52" s="123">
        <v>0.14684831000000001</v>
      </c>
      <c r="F52" s="123">
        <v>2.7606404000000001E-2</v>
      </c>
      <c r="G52" s="123">
        <v>1.5417084000000001E-3</v>
      </c>
      <c r="H52" s="123">
        <v>0.65942800000000001</v>
      </c>
      <c r="I52" s="123">
        <v>2.4581200000000002E-9</v>
      </c>
      <c r="J52" s="123">
        <v>2.1704299999999999E-9</v>
      </c>
      <c r="K52" s="123">
        <v>2.1799299999999999E-9</v>
      </c>
      <c r="L52" s="80"/>
    </row>
    <row r="53" spans="1:12" x14ac:dyDescent="0.25">
      <c r="A53" s="140">
        <v>8.6999999999999993</v>
      </c>
      <c r="B53" s="123">
        <v>0.41644599999999998</v>
      </c>
      <c r="C53" s="123">
        <v>8.4779923000000004E-11</v>
      </c>
      <c r="D53" s="123">
        <v>3.0969663E-9</v>
      </c>
      <c r="E53" s="123">
        <v>0.14559523999999999</v>
      </c>
      <c r="F53" s="123">
        <v>2.7375152E-2</v>
      </c>
      <c r="G53" s="123">
        <v>1.5417084000000001E-3</v>
      </c>
      <c r="H53" s="123">
        <v>0.65570377000000002</v>
      </c>
      <c r="I53" s="123">
        <v>2.1993300000000001E-9</v>
      </c>
      <c r="J53" s="123">
        <v>1.9227099999999999E-9</v>
      </c>
      <c r="K53" s="123">
        <v>1.9320900000000001E-9</v>
      </c>
      <c r="L53" s="80"/>
    </row>
    <row r="54" spans="1:12" x14ac:dyDescent="0.25">
      <c r="A54" s="140">
        <v>9</v>
      </c>
      <c r="B54" s="123">
        <v>0.43080600000000002</v>
      </c>
      <c r="C54" s="123">
        <v>7.7658606000000003E-11</v>
      </c>
      <c r="D54" s="123">
        <v>2.8658468999999998E-9</v>
      </c>
      <c r="E54" s="123">
        <v>0.14408844000000001</v>
      </c>
      <c r="F54" s="123">
        <v>2.7097961E-2</v>
      </c>
      <c r="G54" s="123">
        <v>1.5417084000000001E-3</v>
      </c>
      <c r="H54" s="123">
        <v>0.65197952999999997</v>
      </c>
      <c r="I54" s="123">
        <v>2.0698300000000001E-9</v>
      </c>
      <c r="J54" s="123">
        <v>1.81611E-9</v>
      </c>
      <c r="K54" s="123">
        <v>1.8248400000000001E-9</v>
      </c>
      <c r="L54" s="80"/>
    </row>
    <row r="55" spans="1:12" x14ac:dyDescent="0.25">
      <c r="A55" s="140">
        <v>9.3000000000000007</v>
      </c>
      <c r="B55" s="123">
        <v>0.44516600000000001</v>
      </c>
      <c r="C55" s="123">
        <v>8.0331641000000006E-11</v>
      </c>
      <c r="D55" s="123">
        <v>3.0002669999999999E-9</v>
      </c>
      <c r="E55" s="123">
        <v>0.14232789000000001</v>
      </c>
      <c r="F55" s="123">
        <v>2.6774830999999999E-2</v>
      </c>
      <c r="G55" s="123">
        <v>1.5417084000000001E-3</v>
      </c>
      <c r="H55" s="123">
        <v>0.64825529000000004</v>
      </c>
      <c r="I55" s="123">
        <v>2.18167E-9</v>
      </c>
      <c r="J55" s="123">
        <v>1.9173799999999998E-9</v>
      </c>
      <c r="K55" s="123">
        <v>1.9265500000000001E-9</v>
      </c>
      <c r="L55" s="80"/>
    </row>
    <row r="56" spans="1:12" x14ac:dyDescent="0.25">
      <c r="A56" s="140">
        <v>9.6</v>
      </c>
      <c r="B56" s="123">
        <v>0.45952700000000002</v>
      </c>
      <c r="C56" s="123">
        <v>8.3614514000000004E-11</v>
      </c>
      <c r="D56" s="123">
        <v>3.1665254E-9</v>
      </c>
      <c r="E56" s="123">
        <v>0.14031360000000001</v>
      </c>
      <c r="F56" s="123">
        <v>2.6405761E-2</v>
      </c>
      <c r="G56" s="123">
        <v>1.5417084000000001E-3</v>
      </c>
      <c r="H56" s="123">
        <v>0.64453104999999999</v>
      </c>
      <c r="I56" s="123">
        <v>2.3808800000000002E-9</v>
      </c>
      <c r="J56" s="123">
        <v>2.1303099999999999E-9</v>
      </c>
      <c r="K56" s="123">
        <v>2.13891E-9</v>
      </c>
      <c r="L56" s="80"/>
    </row>
    <row r="57" spans="1:12" x14ac:dyDescent="0.25">
      <c r="A57" s="140">
        <v>9.9</v>
      </c>
      <c r="B57" s="123">
        <v>0.473887</v>
      </c>
      <c r="C57" s="123">
        <v>8.0774839000000004E-11</v>
      </c>
      <c r="D57" s="123">
        <v>3.1078296999999999E-9</v>
      </c>
      <c r="E57" s="123">
        <v>0.13804556000000001</v>
      </c>
      <c r="F57" s="123">
        <v>2.5990754000000001E-2</v>
      </c>
      <c r="G57" s="123">
        <v>1.5417083E-3</v>
      </c>
      <c r="H57" s="123">
        <v>0.64080678999999996</v>
      </c>
      <c r="I57" s="123">
        <v>2.4469500000000001E-9</v>
      </c>
      <c r="J57" s="123">
        <v>2.2421500000000002E-9</v>
      </c>
      <c r="K57" s="123">
        <v>2.2489600000000001E-9</v>
      </c>
      <c r="L57" s="80"/>
    </row>
    <row r="58" spans="1:12" x14ac:dyDescent="0.25">
      <c r="A58" s="140">
        <v>10.199999999999999</v>
      </c>
      <c r="B58" s="123">
        <v>0.48824699999999999</v>
      </c>
      <c r="C58" s="123">
        <v>8.5054066000000001E-11</v>
      </c>
      <c r="D58" s="123">
        <v>3.3390602999999999E-9</v>
      </c>
      <c r="E58" s="123">
        <v>0.13491594000000001</v>
      </c>
      <c r="F58" s="123">
        <v>2.5472456000000001E-2</v>
      </c>
      <c r="G58" s="123">
        <v>1.5365521000000001E-3</v>
      </c>
      <c r="H58" s="123">
        <v>0.63211470999999997</v>
      </c>
      <c r="I58" s="123">
        <v>2.7056999999999999E-9</v>
      </c>
      <c r="J58" s="123">
        <v>2.5130100000000002E-9</v>
      </c>
      <c r="K58" s="123">
        <v>2.5192599999999998E-9</v>
      </c>
      <c r="L58" s="80"/>
    </row>
    <row r="59" spans="1:12" x14ac:dyDescent="0.25">
      <c r="A59" s="140">
        <v>10.5</v>
      </c>
      <c r="B59" s="123">
        <v>0.50260700000000003</v>
      </c>
      <c r="C59" s="123">
        <v>9.3293159000000003E-11</v>
      </c>
      <c r="D59" s="123">
        <v>3.7479421999999997E-9</v>
      </c>
      <c r="E59" s="123">
        <v>0.13135893000000001</v>
      </c>
      <c r="F59" s="123">
        <v>2.4891835000000001E-2</v>
      </c>
      <c r="G59" s="123">
        <v>1.5299227E-3</v>
      </c>
      <c r="H59" s="123">
        <v>0.62342262000000004</v>
      </c>
      <c r="I59" s="123">
        <v>3.1003700000000001E-9</v>
      </c>
      <c r="J59" s="123">
        <v>2.8996700000000002E-9</v>
      </c>
      <c r="K59" s="123">
        <v>2.9063299999999998E-9</v>
      </c>
      <c r="L59" s="80"/>
    </row>
    <row r="60" spans="1:12" x14ac:dyDescent="0.25">
      <c r="A60" s="140">
        <v>10.8</v>
      </c>
      <c r="B60" s="123">
        <v>0.51696699999999995</v>
      </c>
      <c r="C60" s="123">
        <v>1.2246312E-10</v>
      </c>
      <c r="D60" s="123">
        <v>5.0502571999999998E-9</v>
      </c>
      <c r="E60" s="123">
        <v>0.12737449000000001</v>
      </c>
      <c r="F60" s="123">
        <v>2.4248887E-2</v>
      </c>
      <c r="G60" s="123">
        <v>1.5218200999999999E-3</v>
      </c>
      <c r="H60" s="123">
        <v>0.61473056999999998</v>
      </c>
      <c r="I60" s="123">
        <v>4.4440699999999999E-9</v>
      </c>
      <c r="J60" s="123">
        <v>4.2552799999999998E-9</v>
      </c>
      <c r="K60" s="123">
        <v>4.26155E-9</v>
      </c>
      <c r="L60" s="80"/>
    </row>
    <row r="61" spans="1:12" x14ac:dyDescent="0.25">
      <c r="A61" s="140">
        <v>11.1</v>
      </c>
      <c r="B61" s="123">
        <v>0.53132800000000002</v>
      </c>
      <c r="C61" s="123">
        <v>1.6887213000000001E-10</v>
      </c>
      <c r="D61" s="123">
        <v>7.1727361000000002E-9</v>
      </c>
      <c r="E61" s="123">
        <v>0.12296264</v>
      </c>
      <c r="F61" s="123">
        <v>2.3543615E-2</v>
      </c>
      <c r="G61" s="123">
        <v>1.5122442999999999E-3</v>
      </c>
      <c r="H61" s="123">
        <v>0.60603848000000005</v>
      </c>
      <c r="I61" s="123">
        <v>6.6377099999999998E-9</v>
      </c>
      <c r="J61" s="123">
        <v>6.4697699999999997E-9</v>
      </c>
      <c r="K61" s="123">
        <v>6.4753200000000003E-9</v>
      </c>
      <c r="L61" s="80"/>
    </row>
    <row r="62" spans="1:12" x14ac:dyDescent="0.25">
      <c r="A62" s="140">
        <v>11.4</v>
      </c>
      <c r="B62" s="123">
        <v>0.54568799999999995</v>
      </c>
      <c r="C62" s="123">
        <v>2.3012962999999999E-10</v>
      </c>
      <c r="D62" s="123">
        <v>1.0104033E-8</v>
      </c>
      <c r="E62" s="123">
        <v>0.11812338</v>
      </c>
      <c r="F62" s="123">
        <v>2.2776016999999999E-2</v>
      </c>
      <c r="G62" s="123">
        <v>1.5011951999999999E-3</v>
      </c>
      <c r="H62" s="123">
        <v>0.59734640000000006</v>
      </c>
      <c r="I62" s="123">
        <v>9.6064100000000001E-9</v>
      </c>
      <c r="J62" s="123">
        <v>9.4476500000000006E-9</v>
      </c>
      <c r="K62" s="123">
        <v>9.4528300000000007E-9</v>
      </c>
      <c r="L62" s="80"/>
    </row>
    <row r="63" spans="1:12" x14ac:dyDescent="0.25">
      <c r="A63" s="140">
        <v>11.7</v>
      </c>
      <c r="B63" s="123">
        <v>0.56004799999999999</v>
      </c>
      <c r="C63" s="123">
        <v>2.8101391999999998E-10</v>
      </c>
      <c r="D63" s="123">
        <v>1.2804734999999999E-8</v>
      </c>
      <c r="E63" s="123">
        <v>0.11285671</v>
      </c>
      <c r="F63" s="123">
        <v>2.1946093999999999E-2</v>
      </c>
      <c r="G63" s="123">
        <v>1.488673E-3</v>
      </c>
      <c r="H63" s="123">
        <v>0.58865431999999995</v>
      </c>
      <c r="I63" s="123">
        <v>1.23654E-8</v>
      </c>
      <c r="J63" s="123">
        <v>1.22268E-8</v>
      </c>
      <c r="K63" s="123">
        <v>1.22313E-8</v>
      </c>
      <c r="L63" s="80"/>
    </row>
    <row r="64" spans="1:12" x14ac:dyDescent="0.25">
      <c r="A64" s="140">
        <v>12</v>
      </c>
      <c r="B64" s="123">
        <v>0.57440800000000003</v>
      </c>
      <c r="C64" s="123">
        <v>2.8258296000000002E-10</v>
      </c>
      <c r="D64" s="123">
        <v>1.3421914E-8</v>
      </c>
      <c r="E64" s="123">
        <v>0.10716265</v>
      </c>
      <c r="F64" s="123">
        <v>2.1053848999999999E-2</v>
      </c>
      <c r="G64" s="123">
        <v>1.4746776E-3</v>
      </c>
      <c r="H64" s="123">
        <v>0.57996217000000005</v>
      </c>
      <c r="I64" s="123">
        <v>1.2971000000000001E-8</v>
      </c>
      <c r="J64" s="123">
        <v>1.2826899999999999E-8</v>
      </c>
      <c r="K64" s="123">
        <v>1.2831799999999999E-8</v>
      </c>
      <c r="L64" s="80"/>
    </row>
    <row r="65" spans="1:12" x14ac:dyDescent="0.25">
      <c r="A65" s="140">
        <v>12.3</v>
      </c>
      <c r="B65" s="123">
        <v>0.58876799999999996</v>
      </c>
      <c r="C65" s="123">
        <v>2.5918698999999999E-10</v>
      </c>
      <c r="D65" s="123">
        <v>1.3103407999999999E-8</v>
      </c>
      <c r="E65" s="123">
        <v>9.9879089000000004E-2</v>
      </c>
      <c r="F65" s="123">
        <v>1.9780121000000001E-2</v>
      </c>
      <c r="G65" s="123">
        <v>1.4559818999999999E-3</v>
      </c>
      <c r="H65" s="123">
        <v>0.55050801000000005</v>
      </c>
      <c r="I65" s="123">
        <v>1.25589E-8</v>
      </c>
      <c r="J65" s="123">
        <v>1.23792E-8</v>
      </c>
      <c r="K65" s="123">
        <v>1.23855E-8</v>
      </c>
      <c r="L65" s="80"/>
    </row>
    <row r="66" spans="1:12" x14ac:dyDescent="0.25">
      <c r="A66" s="140">
        <v>12.6</v>
      </c>
      <c r="B66" s="123">
        <v>0.60312900000000003</v>
      </c>
      <c r="C66" s="123">
        <v>2.4320672999999999E-10</v>
      </c>
      <c r="D66" s="123">
        <v>1.3243467E-8</v>
      </c>
      <c r="E66" s="123">
        <v>9.1877602000000003E-2</v>
      </c>
      <c r="F66" s="123">
        <v>1.8364279000000001E-2</v>
      </c>
      <c r="G66" s="123">
        <v>1.4350063000000001E-3</v>
      </c>
      <c r="H66" s="123">
        <v>0.52105376000000003</v>
      </c>
      <c r="I66" s="123">
        <v>1.25884E-8</v>
      </c>
      <c r="J66" s="123">
        <v>1.2366699999999999E-8</v>
      </c>
      <c r="K66" s="123">
        <v>1.2374400000000001E-8</v>
      </c>
      <c r="L66" s="80"/>
    </row>
    <row r="67" spans="1:12" x14ac:dyDescent="0.25">
      <c r="A67" s="140">
        <v>12.9</v>
      </c>
      <c r="B67" s="123">
        <v>0.61748899999999995</v>
      </c>
      <c r="C67" s="123">
        <v>2.8047659000000001E-10</v>
      </c>
      <c r="D67" s="123">
        <v>1.6688753999999999E-8</v>
      </c>
      <c r="E67" s="123">
        <v>8.3158186999999995E-2</v>
      </c>
      <c r="F67" s="123">
        <v>1.6806323000000001E-2</v>
      </c>
      <c r="G67" s="123">
        <v>1.4117507E-3</v>
      </c>
      <c r="H67" s="123">
        <v>0.49159950000000002</v>
      </c>
      <c r="I67" s="123">
        <v>1.5952599999999999E-8</v>
      </c>
      <c r="J67" s="123">
        <v>1.5708399999999999E-8</v>
      </c>
      <c r="K67" s="123">
        <v>1.57168E-8</v>
      </c>
      <c r="L67" s="80"/>
    </row>
    <row r="68" spans="1:12" x14ac:dyDescent="0.25">
      <c r="A68" s="141">
        <v>13.2</v>
      </c>
      <c r="B68" s="124">
        <v>0.63184899999999999</v>
      </c>
      <c r="C68" s="124">
        <v>4.0755108000000001E-10</v>
      </c>
      <c r="D68" s="124">
        <v>2.6978965999999999E-8</v>
      </c>
      <c r="E68" s="124">
        <v>7.3720844999999993E-2</v>
      </c>
      <c r="F68" s="124">
        <v>1.5106253E-2</v>
      </c>
      <c r="G68" s="124">
        <v>1.3862150999999999E-3</v>
      </c>
      <c r="H68" s="124">
        <v>0.46214525000000001</v>
      </c>
      <c r="I68" s="124">
        <v>2.6086400000000001E-8</v>
      </c>
      <c r="J68" s="124">
        <v>2.57838E-8</v>
      </c>
      <c r="K68" s="124">
        <v>2.57945E-8</v>
      </c>
      <c r="L68" s="81"/>
    </row>
    <row r="69" spans="1:12" x14ac:dyDescent="0.25">
      <c r="A69" s="207">
        <v>3.9</v>
      </c>
      <c r="B69" s="207">
        <v>0.18668299999999999</v>
      </c>
      <c r="C69" s="208">
        <v>2.2990969E-11</v>
      </c>
      <c r="D69" s="208">
        <v>7.6636560999999996E-9</v>
      </c>
      <c r="E69" s="207">
        <v>1.0251588000000001E-2</v>
      </c>
      <c r="F69" s="207">
        <v>3.0000000000000001E-3</v>
      </c>
      <c r="G69" s="207">
        <v>1.0724928E-3</v>
      </c>
      <c r="H69" s="207">
        <v>1</v>
      </c>
      <c r="I69" s="208">
        <v>7.6636560999999996E-9</v>
      </c>
      <c r="J69" s="208">
        <v>7.6636560999999996E-9</v>
      </c>
      <c r="K69" s="208">
        <v>7.6636560999999996E-9</v>
      </c>
      <c r="L69" s="209" t="s">
        <v>750</v>
      </c>
    </row>
    <row r="70" spans="1:12" x14ac:dyDescent="0.25">
      <c r="A70" s="207">
        <v>4.2</v>
      </c>
      <c r="B70" s="207">
        <v>0.201043</v>
      </c>
      <c r="C70" s="208">
        <v>4.5127008000000002E-11</v>
      </c>
      <c r="D70" s="208">
        <v>1.5042336000000001E-8</v>
      </c>
      <c r="E70" s="207">
        <v>1.5750999000000002E-2</v>
      </c>
      <c r="F70" s="207">
        <v>3.0000000000000001E-3</v>
      </c>
      <c r="G70" s="207">
        <v>1.5193659E-3</v>
      </c>
      <c r="H70" s="207">
        <v>1</v>
      </c>
      <c r="I70" s="208">
        <v>1.5042336000000001E-8</v>
      </c>
      <c r="J70" s="208">
        <v>1.5042336000000001E-8</v>
      </c>
      <c r="K70" s="208">
        <v>1.5042336000000001E-8</v>
      </c>
      <c r="L70" s="209"/>
    </row>
    <row r="71" spans="1:12" x14ac:dyDescent="0.25">
      <c r="A71" s="207">
        <v>4.5</v>
      </c>
      <c r="B71" s="207">
        <v>0.21540300000000001</v>
      </c>
      <c r="C71" s="208">
        <v>4.7838574999999998E-11</v>
      </c>
      <c r="D71" s="208">
        <v>1.5946191000000001E-8</v>
      </c>
      <c r="E71" s="207">
        <v>2.2651458999999999E-2</v>
      </c>
      <c r="F71" s="207">
        <v>3.0000000000000001E-3</v>
      </c>
      <c r="G71" s="207">
        <v>2.2120163999999999E-3</v>
      </c>
      <c r="H71" s="207">
        <v>1</v>
      </c>
      <c r="I71" s="208">
        <v>1.5946191000000001E-8</v>
      </c>
      <c r="J71" s="208">
        <v>1.5946191000000001E-8</v>
      </c>
      <c r="K71" s="208">
        <v>1.5946191000000001E-8</v>
      </c>
      <c r="L71" s="209"/>
    </row>
    <row r="72" spans="1:12" x14ac:dyDescent="0.25">
      <c r="A72" s="207">
        <v>4.8</v>
      </c>
      <c r="B72" s="207">
        <v>0.229763</v>
      </c>
      <c r="C72" s="208">
        <v>4.1681351999999997E-11</v>
      </c>
      <c r="D72" s="208">
        <v>1.3893783999999999E-8</v>
      </c>
      <c r="E72" s="207">
        <v>2.6097720000000001E-2</v>
      </c>
      <c r="F72" s="207">
        <v>3.0000000000000001E-3</v>
      </c>
      <c r="G72" s="207">
        <v>2.5695141000000002E-3</v>
      </c>
      <c r="H72" s="207">
        <v>1</v>
      </c>
      <c r="I72" s="208">
        <v>1.3893783999999999E-8</v>
      </c>
      <c r="J72" s="208">
        <v>1.3893783999999999E-8</v>
      </c>
      <c r="K72" s="208">
        <v>1.3893783999999999E-8</v>
      </c>
      <c r="L72" s="209"/>
    </row>
    <row r="73" spans="1:12" x14ac:dyDescent="0.25">
      <c r="A73" s="207">
        <v>5.0999999999999996</v>
      </c>
      <c r="B73" s="207">
        <v>0.24412400000000001</v>
      </c>
      <c r="C73" s="208">
        <v>4.7003620000000002E-11</v>
      </c>
      <c r="D73" s="208">
        <v>1.5667873000000001E-8</v>
      </c>
      <c r="E73" s="207">
        <v>2.6681927000000001E-2</v>
      </c>
      <c r="F73" s="207">
        <v>3.0000000000000001E-3</v>
      </c>
      <c r="G73" s="207">
        <v>2.6477166999999999E-3</v>
      </c>
      <c r="H73" s="207">
        <v>1</v>
      </c>
      <c r="I73" s="208">
        <v>1.5667873000000001E-8</v>
      </c>
      <c r="J73" s="208">
        <v>1.5667873000000001E-8</v>
      </c>
      <c r="K73" s="208">
        <v>1.5667873000000001E-8</v>
      </c>
      <c r="L73" s="209"/>
    </row>
    <row r="74" spans="1:12" x14ac:dyDescent="0.25">
      <c r="A74" s="207">
        <v>5.4</v>
      </c>
      <c r="B74" s="207">
        <v>0.25848399999999999</v>
      </c>
      <c r="C74" s="208">
        <v>2.8341694999999999E-11</v>
      </c>
      <c r="D74" s="208">
        <v>9.4472313999999995E-9</v>
      </c>
      <c r="E74" s="207">
        <v>2.7266134000000001E-2</v>
      </c>
      <c r="F74" s="207">
        <v>3.0000000000000001E-3</v>
      </c>
      <c r="G74" s="207">
        <v>2.7259191999999999E-3</v>
      </c>
      <c r="H74" s="207">
        <v>1</v>
      </c>
      <c r="I74" s="208">
        <v>9.4472313999999995E-9</v>
      </c>
      <c r="J74" s="208">
        <v>9.4472313999999995E-9</v>
      </c>
      <c r="K74" s="208">
        <v>9.4472313999999995E-9</v>
      </c>
      <c r="L74" s="209"/>
    </row>
    <row r="75" spans="1:12" x14ac:dyDescent="0.25">
      <c r="A75" s="207">
        <v>5.7</v>
      </c>
      <c r="B75" s="207">
        <v>0.27284399999999998</v>
      </c>
      <c r="C75" s="208">
        <v>3.1305086E-11</v>
      </c>
      <c r="D75" s="208">
        <v>1.0435029E-8</v>
      </c>
      <c r="E75" s="207">
        <v>2.7267162000000001E-2</v>
      </c>
      <c r="F75" s="207">
        <v>3.0000000000000001E-3</v>
      </c>
      <c r="G75" s="207">
        <v>2.7259191999999999E-3</v>
      </c>
      <c r="H75" s="207">
        <v>1</v>
      </c>
      <c r="I75" s="208">
        <v>1.0435029E-8</v>
      </c>
      <c r="J75" s="208">
        <v>1.0435029E-8</v>
      </c>
      <c r="K75" s="208">
        <v>1.0435029E-8</v>
      </c>
      <c r="L75" s="209"/>
    </row>
    <row r="76" spans="1:12" x14ac:dyDescent="0.25">
      <c r="A76" s="207">
        <v>6</v>
      </c>
      <c r="B76" s="207">
        <v>0.28720400000000001</v>
      </c>
      <c r="C76" s="208">
        <v>3.4015856000000001E-11</v>
      </c>
      <c r="D76" s="208">
        <v>1.1338619000000001E-8</v>
      </c>
      <c r="E76" s="207">
        <v>2.7268190000000001E-2</v>
      </c>
      <c r="F76" s="207">
        <v>3.0000000000000001E-3</v>
      </c>
      <c r="G76" s="207">
        <v>2.7259191999999999E-3</v>
      </c>
      <c r="H76" s="207">
        <v>1</v>
      </c>
      <c r="I76" s="208">
        <v>1.1338619000000001E-8</v>
      </c>
      <c r="J76" s="208">
        <v>1.1338619000000001E-8</v>
      </c>
      <c r="K76" s="208">
        <v>1.1338619000000001E-8</v>
      </c>
      <c r="L76" s="209"/>
    </row>
    <row r="77" spans="1:12" x14ac:dyDescent="0.25">
      <c r="A77" s="207">
        <v>6.3</v>
      </c>
      <c r="B77" s="207">
        <v>0.301564</v>
      </c>
      <c r="C77" s="208">
        <v>2.6788922E-11</v>
      </c>
      <c r="D77" s="208">
        <v>8.9296405000000008E-9</v>
      </c>
      <c r="E77" s="207">
        <v>2.7265933999999999E-2</v>
      </c>
      <c r="F77" s="207">
        <v>3.0000000000000001E-3</v>
      </c>
      <c r="G77" s="207">
        <v>2.7259191999999999E-3</v>
      </c>
      <c r="H77" s="207">
        <v>1</v>
      </c>
      <c r="I77" s="208">
        <v>8.9296405000000008E-9</v>
      </c>
      <c r="J77" s="208">
        <v>8.9296405000000008E-9</v>
      </c>
      <c r="K77" s="208">
        <v>8.9296405000000008E-9</v>
      </c>
      <c r="L77" s="209"/>
    </row>
    <row r="78" spans="1:12" x14ac:dyDescent="0.25">
      <c r="A78" s="207">
        <v>6.6</v>
      </c>
      <c r="B78" s="207">
        <v>0.31592500000000001</v>
      </c>
      <c r="C78" s="208">
        <v>2.5021335E-11</v>
      </c>
      <c r="D78" s="208">
        <v>8.3404450000000001E-9</v>
      </c>
      <c r="E78" s="207">
        <v>2.7263678999999999E-2</v>
      </c>
      <c r="F78" s="207">
        <v>3.0000000000000001E-3</v>
      </c>
      <c r="G78" s="207">
        <v>2.7259191999999999E-3</v>
      </c>
      <c r="H78" s="207">
        <v>1</v>
      </c>
      <c r="I78" s="208">
        <v>8.3404450000000001E-9</v>
      </c>
      <c r="J78" s="208">
        <v>8.3404450000000001E-9</v>
      </c>
      <c r="K78" s="208">
        <v>8.3404450000000001E-9</v>
      </c>
      <c r="L78" s="209"/>
    </row>
    <row r="79" spans="1:12" x14ac:dyDescent="0.25">
      <c r="A79" s="207">
        <v>6.9</v>
      </c>
      <c r="B79" s="207">
        <v>0.330285</v>
      </c>
      <c r="C79" s="208">
        <v>2.2518734E-11</v>
      </c>
      <c r="D79" s="208">
        <v>7.5062446999999998E-9</v>
      </c>
      <c r="E79" s="207">
        <v>2.7261423999999999E-2</v>
      </c>
      <c r="F79" s="207">
        <v>3.0000000000000001E-3</v>
      </c>
      <c r="G79" s="207">
        <v>2.7259191999999999E-3</v>
      </c>
      <c r="H79" s="207">
        <v>1</v>
      </c>
      <c r="I79" s="208">
        <v>7.5062446999999998E-9</v>
      </c>
      <c r="J79" s="208">
        <v>7.5062446999999998E-9</v>
      </c>
      <c r="K79" s="208">
        <v>7.5062446999999998E-9</v>
      </c>
      <c r="L79" s="209"/>
    </row>
    <row r="80" spans="1:12" x14ac:dyDescent="0.25">
      <c r="A80" s="207">
        <v>7.2</v>
      </c>
      <c r="B80" s="207">
        <v>0.34464499999999998</v>
      </c>
      <c r="C80" s="208">
        <v>2.5220146999999999E-11</v>
      </c>
      <c r="D80" s="208">
        <v>8.4067155000000007E-9</v>
      </c>
      <c r="E80" s="207">
        <v>2.7259169E-2</v>
      </c>
      <c r="F80" s="207">
        <v>3.0000000000000001E-3</v>
      </c>
      <c r="G80" s="207">
        <v>2.7259191999999999E-3</v>
      </c>
      <c r="H80" s="207">
        <v>1</v>
      </c>
      <c r="I80" s="208">
        <v>8.4067155000000007E-9</v>
      </c>
      <c r="J80" s="208">
        <v>8.4067155000000007E-9</v>
      </c>
      <c r="K80" s="208">
        <v>8.4067155000000007E-9</v>
      </c>
      <c r="L80" s="209"/>
    </row>
    <row r="81" spans="1:12" x14ac:dyDescent="0.25">
      <c r="A81" s="207">
        <v>7.5</v>
      </c>
      <c r="B81" s="207">
        <v>0.35900500000000002</v>
      </c>
      <c r="C81" s="208">
        <v>2.7029372999999999E-11</v>
      </c>
      <c r="D81" s="208">
        <v>9.0097909000000005E-9</v>
      </c>
      <c r="E81" s="207">
        <v>2.7262588000000001E-2</v>
      </c>
      <c r="F81" s="207">
        <v>3.0000000000000001E-3</v>
      </c>
      <c r="G81" s="207">
        <v>2.7259191999999999E-3</v>
      </c>
      <c r="H81" s="207">
        <v>1</v>
      </c>
      <c r="I81" s="208">
        <v>9.0097909000000005E-9</v>
      </c>
      <c r="J81" s="208">
        <v>9.0097909000000005E-9</v>
      </c>
      <c r="K81" s="208">
        <v>9.0097909000000005E-9</v>
      </c>
      <c r="L81" s="209"/>
    </row>
    <row r="82" spans="1:12" x14ac:dyDescent="0.25">
      <c r="A82" s="207">
        <v>7.8</v>
      </c>
      <c r="B82" s="207">
        <v>0.373365</v>
      </c>
      <c r="C82" s="208">
        <v>1.9874738E-11</v>
      </c>
      <c r="D82" s="208">
        <v>6.6249128000000001E-9</v>
      </c>
      <c r="E82" s="207">
        <v>2.7266006999999998E-2</v>
      </c>
      <c r="F82" s="207">
        <v>3.0000000000000001E-3</v>
      </c>
      <c r="G82" s="207">
        <v>2.7259191999999999E-3</v>
      </c>
      <c r="H82" s="207">
        <v>1</v>
      </c>
      <c r="I82" s="208">
        <v>6.6249128000000001E-9</v>
      </c>
      <c r="J82" s="208">
        <v>6.6249128000000001E-9</v>
      </c>
      <c r="K82" s="208">
        <v>6.6249128000000001E-9</v>
      </c>
      <c r="L82" s="209"/>
    </row>
    <row r="83" spans="1:12" x14ac:dyDescent="0.25">
      <c r="A83" s="207">
        <v>8.1</v>
      </c>
      <c r="B83" s="207">
        <v>0.38772600000000002</v>
      </c>
      <c r="C83" s="208">
        <v>1.8490253E-11</v>
      </c>
      <c r="D83" s="208">
        <v>6.1634175000000002E-9</v>
      </c>
      <c r="E83" s="207">
        <v>2.7269425999999999E-2</v>
      </c>
      <c r="F83" s="207">
        <v>3.0000000000000001E-3</v>
      </c>
      <c r="G83" s="207">
        <v>2.7259191999999999E-3</v>
      </c>
      <c r="H83" s="207">
        <v>1</v>
      </c>
      <c r="I83" s="208">
        <v>6.1634175000000002E-9</v>
      </c>
      <c r="J83" s="208">
        <v>6.1634175000000002E-9</v>
      </c>
      <c r="K83" s="208">
        <v>6.1634175000000002E-9</v>
      </c>
      <c r="L83" s="209"/>
    </row>
    <row r="84" spans="1:12" x14ac:dyDescent="0.25">
      <c r="A84" s="207">
        <v>8.4</v>
      </c>
      <c r="B84" s="207">
        <v>0.402086</v>
      </c>
      <c r="C84" s="208">
        <v>1.9129337999999999E-11</v>
      </c>
      <c r="D84" s="208">
        <v>6.3764460000000002E-9</v>
      </c>
      <c r="E84" s="207">
        <v>2.7268967000000002E-2</v>
      </c>
      <c r="F84" s="207">
        <v>3.0000000000000001E-3</v>
      </c>
      <c r="G84" s="207">
        <v>2.7259191999999999E-3</v>
      </c>
      <c r="H84" s="207">
        <v>1</v>
      </c>
      <c r="I84" s="208">
        <v>6.3764460000000002E-9</v>
      </c>
      <c r="J84" s="208">
        <v>6.3764460000000002E-9</v>
      </c>
      <c r="K84" s="208">
        <v>6.3764460000000002E-9</v>
      </c>
      <c r="L84" s="209"/>
    </row>
    <row r="85" spans="1:12" x14ac:dyDescent="0.25">
      <c r="A85" s="207">
        <v>8.6999999999999993</v>
      </c>
      <c r="B85" s="207">
        <v>0.41644599999999998</v>
      </c>
      <c r="C85" s="208">
        <v>1.9029244000000001E-11</v>
      </c>
      <c r="D85" s="208">
        <v>6.3430813999999996E-9</v>
      </c>
      <c r="E85" s="207">
        <v>2.7268509E-2</v>
      </c>
      <c r="F85" s="207">
        <v>3.0000000000000001E-3</v>
      </c>
      <c r="G85" s="207">
        <v>2.7259191999999999E-3</v>
      </c>
      <c r="H85" s="207">
        <v>1</v>
      </c>
      <c r="I85" s="208">
        <v>6.3430813999999996E-9</v>
      </c>
      <c r="J85" s="208">
        <v>6.3430813999999996E-9</v>
      </c>
      <c r="K85" s="208">
        <v>6.3430813999999996E-9</v>
      </c>
      <c r="L85" s="209"/>
    </row>
    <row r="86" spans="1:12" x14ac:dyDescent="0.25">
      <c r="A86" s="207">
        <v>9</v>
      </c>
      <c r="B86" s="207">
        <v>0.43080600000000002</v>
      </c>
      <c r="C86" s="208">
        <v>2.5233803000000001E-11</v>
      </c>
      <c r="D86" s="208">
        <v>8.4112675999999993E-9</v>
      </c>
      <c r="E86" s="207">
        <v>2.7268049999999999E-2</v>
      </c>
      <c r="F86" s="207">
        <v>3.0000000000000001E-3</v>
      </c>
      <c r="G86" s="207">
        <v>2.7259191999999999E-3</v>
      </c>
      <c r="H86" s="207">
        <v>1</v>
      </c>
      <c r="I86" s="208">
        <v>8.4112675999999993E-9</v>
      </c>
      <c r="J86" s="208">
        <v>8.4112675999999993E-9</v>
      </c>
      <c r="K86" s="208">
        <v>8.4112675999999993E-9</v>
      </c>
      <c r="L86" s="209"/>
    </row>
    <row r="87" spans="1:12" x14ac:dyDescent="0.25">
      <c r="A87" s="207">
        <v>9.3000000000000007</v>
      </c>
      <c r="B87" s="207">
        <v>0.44516600000000001</v>
      </c>
      <c r="C87" s="208">
        <v>2.1332494000000001E-11</v>
      </c>
      <c r="D87" s="208">
        <v>7.1108314E-9</v>
      </c>
      <c r="E87" s="207">
        <v>2.7267591000000001E-2</v>
      </c>
      <c r="F87" s="207">
        <v>3.0000000000000001E-3</v>
      </c>
      <c r="G87" s="207">
        <v>2.7259191999999999E-3</v>
      </c>
      <c r="H87" s="207">
        <v>1</v>
      </c>
      <c r="I87" s="208">
        <v>7.1108314E-9</v>
      </c>
      <c r="J87" s="208">
        <v>7.1108314E-9</v>
      </c>
      <c r="K87" s="208">
        <v>7.1108314E-9</v>
      </c>
      <c r="L87" s="209"/>
    </row>
    <row r="88" spans="1:12" x14ac:dyDescent="0.25">
      <c r="A88" s="207">
        <v>9.6</v>
      </c>
      <c r="B88" s="207">
        <v>0.45952700000000002</v>
      </c>
      <c r="C88" s="208">
        <v>2.1313940999999999E-11</v>
      </c>
      <c r="D88" s="208">
        <v>7.1046467999999997E-9</v>
      </c>
      <c r="E88" s="207">
        <v>2.7267131999999999E-2</v>
      </c>
      <c r="F88" s="207">
        <v>3.0000000000000001E-3</v>
      </c>
      <c r="G88" s="207">
        <v>2.7259191999999999E-3</v>
      </c>
      <c r="H88" s="207">
        <v>1</v>
      </c>
      <c r="I88" s="208">
        <v>7.1046467999999997E-9</v>
      </c>
      <c r="J88" s="208">
        <v>7.1046467999999997E-9</v>
      </c>
      <c r="K88" s="208">
        <v>7.1046467999999997E-9</v>
      </c>
      <c r="L88" s="209"/>
    </row>
    <row r="89" spans="1:12" x14ac:dyDescent="0.25">
      <c r="A89" s="207">
        <v>9.9</v>
      </c>
      <c r="B89" s="207">
        <v>0.473887</v>
      </c>
      <c r="C89" s="208">
        <v>1.9821470999999999E-11</v>
      </c>
      <c r="D89" s="208">
        <v>6.6071569999999996E-9</v>
      </c>
      <c r="E89" s="207">
        <v>2.7266673000000002E-2</v>
      </c>
      <c r="F89" s="207">
        <v>3.0000000000000001E-3</v>
      </c>
      <c r="G89" s="207">
        <v>2.7259191999999999E-3</v>
      </c>
      <c r="H89" s="207">
        <v>1</v>
      </c>
      <c r="I89" s="208">
        <v>6.6071569999999996E-9</v>
      </c>
      <c r="J89" s="208">
        <v>6.6071569999999996E-9</v>
      </c>
      <c r="K89" s="208">
        <v>6.6071569999999996E-9</v>
      </c>
      <c r="L89" s="209"/>
    </row>
    <row r="90" spans="1:12" x14ac:dyDescent="0.25">
      <c r="A90" s="207">
        <v>10.199999999999999</v>
      </c>
      <c r="B90" s="207">
        <v>0.48824699999999999</v>
      </c>
      <c r="C90" s="208">
        <v>1.5903441000000001E-11</v>
      </c>
      <c r="D90" s="208">
        <v>5.3011469000000003E-9</v>
      </c>
      <c r="E90" s="207">
        <v>2.7265050999999998E-2</v>
      </c>
      <c r="F90" s="207">
        <v>3.0000000000000001E-3</v>
      </c>
      <c r="G90" s="207">
        <v>2.7259191999999999E-3</v>
      </c>
      <c r="H90" s="207">
        <v>1</v>
      </c>
      <c r="I90" s="208">
        <v>5.3011469000000003E-9</v>
      </c>
      <c r="J90" s="208">
        <v>5.3011469000000003E-9</v>
      </c>
      <c r="K90" s="208">
        <v>5.3011469000000003E-9</v>
      </c>
      <c r="L90" s="209"/>
    </row>
    <row r="91" spans="1:12" x14ac:dyDescent="0.25">
      <c r="A91" s="207">
        <v>10.5</v>
      </c>
      <c r="B91" s="207">
        <v>0.50260700000000003</v>
      </c>
      <c r="C91" s="208">
        <v>1.2169737E-11</v>
      </c>
      <c r="D91" s="208">
        <v>4.0565788000000001E-9</v>
      </c>
      <c r="E91" s="207">
        <v>2.7263430000000002E-2</v>
      </c>
      <c r="F91" s="207">
        <v>3.0000000000000001E-3</v>
      </c>
      <c r="G91" s="207">
        <v>2.7259191999999999E-3</v>
      </c>
      <c r="H91" s="207">
        <v>1</v>
      </c>
      <c r="I91" s="208">
        <v>4.0565788000000001E-9</v>
      </c>
      <c r="J91" s="208">
        <v>4.0565788000000001E-9</v>
      </c>
      <c r="K91" s="208">
        <v>4.0565788000000001E-9</v>
      </c>
      <c r="L91" s="209"/>
    </row>
    <row r="92" spans="1:12" x14ac:dyDescent="0.25">
      <c r="A92" s="207">
        <v>10.8</v>
      </c>
      <c r="B92" s="207">
        <v>0.51696699999999995</v>
      </c>
      <c r="C92" s="208">
        <v>1.3094407E-11</v>
      </c>
      <c r="D92" s="208">
        <v>4.3648023999999996E-9</v>
      </c>
      <c r="E92" s="207">
        <v>2.7261809000000001E-2</v>
      </c>
      <c r="F92" s="207">
        <v>3.0000000000000001E-3</v>
      </c>
      <c r="G92" s="207">
        <v>2.7259191999999999E-3</v>
      </c>
      <c r="H92" s="207">
        <v>1</v>
      </c>
      <c r="I92" s="208">
        <v>4.3648023999999996E-9</v>
      </c>
      <c r="J92" s="208">
        <v>4.3648023999999996E-9</v>
      </c>
      <c r="K92" s="208">
        <v>4.3648023999999996E-9</v>
      </c>
      <c r="L92" s="209"/>
    </row>
    <row r="93" spans="1:12" x14ac:dyDescent="0.25">
      <c r="A93" s="207">
        <v>11.1</v>
      </c>
      <c r="B93" s="207">
        <v>0.53132800000000002</v>
      </c>
      <c r="C93" s="208">
        <v>1.6368174E-11</v>
      </c>
      <c r="D93" s="208">
        <v>5.4560578000000004E-9</v>
      </c>
      <c r="E93" s="207">
        <v>2.7260187000000002E-2</v>
      </c>
      <c r="F93" s="207">
        <v>3.0000000000000001E-3</v>
      </c>
      <c r="G93" s="207">
        <v>2.7259191999999999E-3</v>
      </c>
      <c r="H93" s="207">
        <v>1</v>
      </c>
      <c r="I93" s="208">
        <v>5.4560578000000004E-9</v>
      </c>
      <c r="J93" s="208">
        <v>5.4560578000000004E-9</v>
      </c>
      <c r="K93" s="208">
        <v>5.4560578000000004E-9</v>
      </c>
      <c r="L93" s="209"/>
    </row>
    <row r="94" spans="1:12" x14ac:dyDescent="0.25">
      <c r="A94" s="207">
        <v>11.4</v>
      </c>
      <c r="B94" s="207">
        <v>0.54568799999999995</v>
      </c>
      <c r="C94" s="208">
        <v>1.6028435E-11</v>
      </c>
      <c r="D94" s="208">
        <v>5.3428115999999998E-9</v>
      </c>
      <c r="E94" s="207">
        <v>2.7258566000000001E-2</v>
      </c>
      <c r="F94" s="207">
        <v>3.0000000000000001E-3</v>
      </c>
      <c r="G94" s="207">
        <v>2.7259191999999999E-3</v>
      </c>
      <c r="H94" s="207">
        <v>1</v>
      </c>
      <c r="I94" s="208">
        <v>5.3428115999999998E-9</v>
      </c>
      <c r="J94" s="208">
        <v>5.3428115999999998E-9</v>
      </c>
      <c r="K94" s="208">
        <v>5.3428115999999998E-9</v>
      </c>
      <c r="L94" s="209"/>
    </row>
    <row r="95" spans="1:12" x14ac:dyDescent="0.25">
      <c r="A95" s="207">
        <v>11.7</v>
      </c>
      <c r="B95" s="207">
        <v>0.56004799999999999</v>
      </c>
      <c r="C95" s="208">
        <v>1.7507624999999999E-11</v>
      </c>
      <c r="D95" s="208">
        <v>5.8358751E-9</v>
      </c>
      <c r="E95" s="207">
        <v>2.7256945000000001E-2</v>
      </c>
      <c r="F95" s="207">
        <v>3.0000000000000001E-3</v>
      </c>
      <c r="G95" s="207">
        <v>2.7259191999999999E-3</v>
      </c>
      <c r="H95" s="207">
        <v>1</v>
      </c>
      <c r="I95" s="208">
        <v>5.8358751E-9</v>
      </c>
      <c r="J95" s="208">
        <v>5.8358751E-9</v>
      </c>
      <c r="K95" s="208">
        <v>5.8358751E-9</v>
      </c>
      <c r="L95" s="209"/>
    </row>
    <row r="96" spans="1:12" x14ac:dyDescent="0.25">
      <c r="A96" s="207">
        <v>12</v>
      </c>
      <c r="B96" s="207">
        <v>0.57440800000000003</v>
      </c>
      <c r="C96" s="208">
        <v>1.5524002999999999E-11</v>
      </c>
      <c r="D96" s="208">
        <v>5.1746678E-9</v>
      </c>
      <c r="E96" s="207">
        <v>2.7255323000000001E-2</v>
      </c>
      <c r="F96" s="207">
        <v>3.0000000000000001E-3</v>
      </c>
      <c r="G96" s="207">
        <v>2.7259191999999999E-3</v>
      </c>
      <c r="H96" s="207">
        <v>1</v>
      </c>
      <c r="I96" s="208">
        <v>5.1746678E-9</v>
      </c>
      <c r="J96" s="208">
        <v>5.1746678E-9</v>
      </c>
      <c r="K96" s="208">
        <v>5.1746678E-9</v>
      </c>
      <c r="L96" s="209"/>
    </row>
    <row r="97" spans="1:12" x14ac:dyDescent="0.25">
      <c r="A97" s="207">
        <v>12.3</v>
      </c>
      <c r="B97" s="207">
        <v>0.58876799999999996</v>
      </c>
      <c r="C97" s="208">
        <v>1.3112684000000001E-11</v>
      </c>
      <c r="D97" s="208">
        <v>4.3708948000000003E-9</v>
      </c>
      <c r="E97" s="207">
        <v>2.7255173000000001E-2</v>
      </c>
      <c r="F97" s="207">
        <v>3.0000000000000001E-3</v>
      </c>
      <c r="G97" s="207">
        <v>2.7259191999999999E-3</v>
      </c>
      <c r="H97" s="207">
        <v>1</v>
      </c>
      <c r="I97" s="208">
        <v>4.3708948000000003E-9</v>
      </c>
      <c r="J97" s="208">
        <v>4.3708948000000003E-9</v>
      </c>
      <c r="K97" s="208">
        <v>4.3708948000000003E-9</v>
      </c>
      <c r="L97" s="209"/>
    </row>
    <row r="98" spans="1:12" x14ac:dyDescent="0.25">
      <c r="A98" s="207">
        <v>12.6</v>
      </c>
      <c r="B98" s="207">
        <v>0.60312900000000003</v>
      </c>
      <c r="C98" s="208">
        <v>1.6095086000000002E-11</v>
      </c>
      <c r="D98" s="208">
        <v>5.3650285000000004E-9</v>
      </c>
      <c r="E98" s="207">
        <v>2.7255022E-2</v>
      </c>
      <c r="F98" s="207">
        <v>3.0000000000000001E-3</v>
      </c>
      <c r="G98" s="207">
        <v>2.7259191999999999E-3</v>
      </c>
      <c r="H98" s="207">
        <v>1</v>
      </c>
      <c r="I98" s="208">
        <v>5.3650285000000004E-9</v>
      </c>
      <c r="J98" s="208">
        <v>5.3650285000000004E-9</v>
      </c>
      <c r="K98" s="208">
        <v>5.3650285000000004E-9</v>
      </c>
      <c r="L98" s="209"/>
    </row>
    <row r="99" spans="1:12" x14ac:dyDescent="0.25">
      <c r="A99" s="207">
        <v>12.9</v>
      </c>
      <c r="B99" s="207">
        <v>0.61748899999999995</v>
      </c>
      <c r="C99" s="208">
        <v>1.9390634999999999E-11</v>
      </c>
      <c r="D99" s="208">
        <v>6.4635450999999998E-9</v>
      </c>
      <c r="E99" s="207">
        <v>2.7254871E-2</v>
      </c>
      <c r="F99" s="207">
        <v>3.0000000000000001E-3</v>
      </c>
      <c r="G99" s="207">
        <v>2.7259191999999999E-3</v>
      </c>
      <c r="H99" s="207">
        <v>1</v>
      </c>
      <c r="I99" s="208">
        <v>6.4635450999999998E-9</v>
      </c>
      <c r="J99" s="208">
        <v>6.4635450999999998E-9</v>
      </c>
      <c r="K99" s="208">
        <v>6.4635450999999998E-9</v>
      </c>
      <c r="L99" s="209"/>
    </row>
    <row r="100" spans="1:12" x14ac:dyDescent="0.25">
      <c r="A100" s="207">
        <v>13.2</v>
      </c>
      <c r="B100" s="207">
        <v>0.63184899999999999</v>
      </c>
      <c r="C100" s="208">
        <v>1.8146157000000001E-11</v>
      </c>
      <c r="D100" s="208">
        <v>6.0487188999999998E-9</v>
      </c>
      <c r="E100" s="207">
        <v>2.7254244E-2</v>
      </c>
      <c r="F100" s="207">
        <v>3.0000000000000001E-3</v>
      </c>
      <c r="G100" s="207">
        <v>2.7259191999999999E-3</v>
      </c>
      <c r="H100" s="207">
        <v>1</v>
      </c>
      <c r="I100" s="208">
        <v>6.0487188999999998E-9</v>
      </c>
      <c r="J100" s="208">
        <v>6.0487188999999998E-9</v>
      </c>
      <c r="K100" s="208">
        <v>6.0487188999999998E-9</v>
      </c>
      <c r="L100" s="209"/>
    </row>
    <row r="101" spans="1:12" x14ac:dyDescent="0.25">
      <c r="A101" s="207">
        <v>13.5</v>
      </c>
      <c r="B101" s="207">
        <v>0.64620900000000003</v>
      </c>
      <c r="C101" s="208">
        <v>1.7990757999999999E-11</v>
      </c>
      <c r="D101" s="208">
        <v>5.9969192999999998E-9</v>
      </c>
      <c r="E101" s="207">
        <v>2.7253617000000001E-2</v>
      </c>
      <c r="F101" s="207">
        <v>3.0000000000000001E-3</v>
      </c>
      <c r="G101" s="207">
        <v>2.7259191999999999E-3</v>
      </c>
      <c r="H101" s="207">
        <v>1</v>
      </c>
      <c r="I101" s="208">
        <v>5.9969192999999998E-9</v>
      </c>
      <c r="J101" s="208">
        <v>5.9969192999999998E-9</v>
      </c>
      <c r="K101" s="208">
        <v>5.9969192999999998E-9</v>
      </c>
      <c r="L101" s="209"/>
    </row>
    <row r="102" spans="1:12" x14ac:dyDescent="0.25">
      <c r="A102" s="207">
        <v>13.8</v>
      </c>
      <c r="B102" s="207">
        <v>0.66056999999999999</v>
      </c>
      <c r="C102" s="208">
        <v>1.7137413999999998E-11</v>
      </c>
      <c r="D102" s="208">
        <v>5.7124711999999998E-9</v>
      </c>
      <c r="E102" s="207">
        <v>2.7253646999999999E-2</v>
      </c>
      <c r="F102" s="207">
        <v>3.0000000000000001E-3</v>
      </c>
      <c r="G102" s="207">
        <v>2.7259191999999999E-3</v>
      </c>
      <c r="H102" s="207">
        <v>1</v>
      </c>
      <c r="I102" s="208">
        <v>5.7124711999999998E-9</v>
      </c>
      <c r="J102" s="208">
        <v>5.7124711999999998E-9</v>
      </c>
      <c r="K102" s="208">
        <v>5.7124711999999998E-9</v>
      </c>
      <c r="L102" s="209"/>
    </row>
    <row r="103" spans="1:12" x14ac:dyDescent="0.25">
      <c r="A103" s="207">
        <v>14.1</v>
      </c>
      <c r="B103" s="207">
        <v>0.67493000000000003</v>
      </c>
      <c r="C103" s="208">
        <v>1.8950522000000001E-11</v>
      </c>
      <c r="D103" s="208">
        <v>6.3168406000000001E-9</v>
      </c>
      <c r="E103" s="207">
        <v>2.7253677E-2</v>
      </c>
      <c r="F103" s="207">
        <v>3.0000000000000001E-3</v>
      </c>
      <c r="G103" s="207">
        <v>2.7259191999999999E-3</v>
      </c>
      <c r="H103" s="207">
        <v>1</v>
      </c>
      <c r="I103" s="208">
        <v>6.3168406000000001E-9</v>
      </c>
      <c r="J103" s="208">
        <v>6.3168406000000001E-9</v>
      </c>
      <c r="K103" s="208">
        <v>6.3168406000000001E-9</v>
      </c>
      <c r="L103" s="209"/>
    </row>
    <row r="104" spans="1:12" x14ac:dyDescent="0.25">
      <c r="A104" s="207">
        <v>14.4</v>
      </c>
      <c r="B104" s="207">
        <v>0.68928999999999996</v>
      </c>
      <c r="C104" s="208">
        <v>1.8476268999999999E-11</v>
      </c>
      <c r="D104" s="208">
        <v>6.1587562E-9</v>
      </c>
      <c r="E104" s="207">
        <v>2.7253706999999999E-2</v>
      </c>
      <c r="F104" s="207">
        <v>3.0000000000000001E-3</v>
      </c>
      <c r="G104" s="207">
        <v>2.7259191999999999E-3</v>
      </c>
      <c r="H104" s="207">
        <v>1</v>
      </c>
      <c r="I104" s="208">
        <v>6.1587562E-9</v>
      </c>
      <c r="J104" s="208">
        <v>6.1587562E-9</v>
      </c>
      <c r="K104" s="208">
        <v>6.1587562E-9</v>
      </c>
      <c r="L104" s="209"/>
    </row>
    <row r="105" spans="1:12" x14ac:dyDescent="0.25">
      <c r="A105" s="207">
        <v>14.7</v>
      </c>
      <c r="B105" s="207">
        <v>0.70365</v>
      </c>
      <c r="C105" s="208">
        <v>2.2014955000000001E-11</v>
      </c>
      <c r="D105" s="208">
        <v>7.3383183999999998E-9</v>
      </c>
      <c r="E105" s="207">
        <v>2.7253738E-2</v>
      </c>
      <c r="F105" s="207">
        <v>3.0000000000000001E-3</v>
      </c>
      <c r="G105" s="207">
        <v>2.7259191999999999E-3</v>
      </c>
      <c r="H105" s="207">
        <v>1</v>
      </c>
      <c r="I105" s="208">
        <v>7.3383183999999998E-9</v>
      </c>
      <c r="J105" s="208">
        <v>7.3383183999999998E-9</v>
      </c>
      <c r="K105" s="208">
        <v>7.3383183999999998E-9</v>
      </c>
      <c r="L105" s="209"/>
    </row>
    <row r="106" spans="1:12" x14ac:dyDescent="0.25">
      <c r="A106" s="207">
        <v>15</v>
      </c>
      <c r="B106" s="207">
        <v>0.71801000000000004</v>
      </c>
      <c r="C106" s="208">
        <v>2.4048522E-11</v>
      </c>
      <c r="D106" s="208">
        <v>8.0161738999999996E-9</v>
      </c>
      <c r="E106" s="207">
        <v>2.7253768000000001E-2</v>
      </c>
      <c r="F106" s="207">
        <v>3.0000000000000001E-3</v>
      </c>
      <c r="G106" s="207">
        <v>2.7259191999999999E-3</v>
      </c>
      <c r="H106" s="207">
        <v>1</v>
      </c>
      <c r="I106" s="208">
        <v>8.0161738999999996E-9</v>
      </c>
      <c r="J106" s="208">
        <v>8.0161738999999996E-9</v>
      </c>
      <c r="K106" s="208">
        <v>8.0161738999999996E-9</v>
      </c>
      <c r="L106" s="209"/>
    </row>
    <row r="107" spans="1:12" x14ac:dyDescent="0.25">
      <c r="A107" s="207">
        <v>15.3</v>
      </c>
      <c r="B107" s="207">
        <v>0.73237099999999999</v>
      </c>
      <c r="C107" s="208">
        <v>2.2718783999999999E-11</v>
      </c>
      <c r="D107" s="208">
        <v>7.5729280999999996E-9</v>
      </c>
      <c r="E107" s="207">
        <v>2.7253159999999998E-2</v>
      </c>
      <c r="F107" s="207">
        <v>3.0000000000000001E-3</v>
      </c>
      <c r="G107" s="207">
        <v>2.7259191999999999E-3</v>
      </c>
      <c r="H107" s="207">
        <v>1</v>
      </c>
      <c r="I107" s="208">
        <v>7.5729280999999996E-9</v>
      </c>
      <c r="J107" s="208">
        <v>7.5729280999999996E-9</v>
      </c>
      <c r="K107" s="208">
        <v>7.5729280999999996E-9</v>
      </c>
      <c r="L107" s="209"/>
    </row>
    <row r="108" spans="1:12" x14ac:dyDescent="0.25">
      <c r="A108" s="207">
        <v>15.6</v>
      </c>
      <c r="B108" s="207">
        <v>0.74673100000000003</v>
      </c>
      <c r="C108" s="208">
        <v>2.3788386000000002E-11</v>
      </c>
      <c r="D108" s="208">
        <v>7.9294619999999994E-9</v>
      </c>
      <c r="E108" s="207">
        <v>2.7252551E-2</v>
      </c>
      <c r="F108" s="207">
        <v>3.0000000000000001E-3</v>
      </c>
      <c r="G108" s="207">
        <v>2.7259191999999999E-3</v>
      </c>
      <c r="H108" s="207">
        <v>1</v>
      </c>
      <c r="I108" s="208">
        <v>7.9294619999999994E-9</v>
      </c>
      <c r="J108" s="208">
        <v>7.9294619999999994E-9</v>
      </c>
      <c r="K108" s="208">
        <v>7.9294619999999994E-9</v>
      </c>
      <c r="L108" s="209"/>
    </row>
    <row r="109" spans="1:12" x14ac:dyDescent="0.25">
      <c r="A109" s="207">
        <v>15.9</v>
      </c>
      <c r="B109" s="207">
        <v>0.76109099999999996</v>
      </c>
      <c r="C109" s="208">
        <v>2.1229205000000001E-11</v>
      </c>
      <c r="D109" s="208">
        <v>7.0764014999999997E-9</v>
      </c>
      <c r="E109" s="207">
        <v>2.7251943000000001E-2</v>
      </c>
      <c r="F109" s="207">
        <v>3.0000000000000001E-3</v>
      </c>
      <c r="G109" s="207">
        <v>2.7259191999999999E-3</v>
      </c>
      <c r="H109" s="207">
        <v>1</v>
      </c>
      <c r="I109" s="208">
        <v>7.0764014999999997E-9</v>
      </c>
      <c r="J109" s="208">
        <v>7.0764014999999997E-9</v>
      </c>
      <c r="K109" s="208">
        <v>7.0764014999999997E-9</v>
      </c>
      <c r="L109" s="209"/>
    </row>
    <row r="110" spans="1:12" x14ac:dyDescent="0.25">
      <c r="A110" s="207">
        <v>16.2</v>
      </c>
      <c r="B110" s="207">
        <v>0.775451</v>
      </c>
      <c r="C110" s="208">
        <v>2.0954607E-11</v>
      </c>
      <c r="D110" s="208">
        <v>6.9848689999999998E-9</v>
      </c>
      <c r="E110" s="207">
        <v>2.7251394000000002E-2</v>
      </c>
      <c r="F110" s="207">
        <v>3.0000000000000001E-3</v>
      </c>
      <c r="G110" s="207">
        <v>2.7259191999999999E-3</v>
      </c>
      <c r="H110" s="207">
        <v>1</v>
      </c>
      <c r="I110" s="208">
        <v>6.9848689999999998E-9</v>
      </c>
      <c r="J110" s="208">
        <v>6.9848689999999998E-9</v>
      </c>
      <c r="K110" s="208">
        <v>6.9848689999999998E-9</v>
      </c>
      <c r="L110" s="209"/>
    </row>
    <row r="111" spans="1:12" x14ac:dyDescent="0.25">
      <c r="A111" s="207">
        <v>16.5</v>
      </c>
      <c r="B111" s="207">
        <v>0.78981100000000004</v>
      </c>
      <c r="C111" s="208">
        <v>1.9403480000000001E-11</v>
      </c>
      <c r="D111" s="208">
        <v>6.4678264999999997E-9</v>
      </c>
      <c r="E111" s="207">
        <v>2.7250845999999999E-2</v>
      </c>
      <c r="F111" s="207">
        <v>3.0000000000000001E-3</v>
      </c>
      <c r="G111" s="207">
        <v>2.7259191999999999E-3</v>
      </c>
      <c r="H111" s="207">
        <v>1</v>
      </c>
      <c r="I111" s="208">
        <v>6.4678264999999997E-9</v>
      </c>
      <c r="J111" s="208">
        <v>6.4678264999999997E-9</v>
      </c>
      <c r="K111" s="208">
        <v>6.4678264999999997E-9</v>
      </c>
      <c r="L111" s="209"/>
    </row>
    <row r="112" spans="1:12" x14ac:dyDescent="0.25">
      <c r="A112" s="207">
        <v>16.8</v>
      </c>
      <c r="B112" s="207">
        <v>0.804172</v>
      </c>
      <c r="C112" s="208">
        <v>2.0907671999999999E-11</v>
      </c>
      <c r="D112" s="208">
        <v>6.9692239999999997E-9</v>
      </c>
      <c r="E112" s="207">
        <v>2.7250297E-2</v>
      </c>
      <c r="F112" s="207">
        <v>3.0000000000000001E-3</v>
      </c>
      <c r="G112" s="207">
        <v>2.7259191999999999E-3</v>
      </c>
      <c r="H112" s="207">
        <v>1</v>
      </c>
      <c r="I112" s="208">
        <v>6.9692239999999997E-9</v>
      </c>
      <c r="J112" s="208">
        <v>6.9692239999999997E-9</v>
      </c>
      <c r="K112" s="208">
        <v>6.9692239999999997E-9</v>
      </c>
      <c r="L112" s="209"/>
    </row>
    <row r="113" spans="1:12" x14ac:dyDescent="0.25">
      <c r="A113" s="207">
        <v>17.100000000000001</v>
      </c>
      <c r="B113" s="207">
        <v>0.81853200000000004</v>
      </c>
      <c r="C113" s="208">
        <v>2.0761589000000001E-11</v>
      </c>
      <c r="D113" s="208">
        <v>6.9205295000000001E-9</v>
      </c>
      <c r="E113" s="207">
        <v>2.7249748000000001E-2</v>
      </c>
      <c r="F113" s="207">
        <v>3.0000000000000001E-3</v>
      </c>
      <c r="G113" s="207">
        <v>2.7259191999999999E-3</v>
      </c>
      <c r="H113" s="207">
        <v>1</v>
      </c>
      <c r="I113" s="208">
        <v>6.9205295000000001E-9</v>
      </c>
      <c r="J113" s="208">
        <v>6.9205295000000001E-9</v>
      </c>
      <c r="K113" s="208">
        <v>6.9205295000000001E-9</v>
      </c>
      <c r="L113" s="209"/>
    </row>
    <row r="114" spans="1:12" x14ac:dyDescent="0.25">
      <c r="A114" s="207">
        <v>17.399999999999999</v>
      </c>
      <c r="B114" s="207">
        <v>0.83289199999999997</v>
      </c>
      <c r="C114" s="208">
        <v>2.0529634999999998E-11</v>
      </c>
      <c r="D114" s="208">
        <v>6.8432117000000001E-9</v>
      </c>
      <c r="E114" s="207">
        <v>2.7249199000000002E-2</v>
      </c>
      <c r="F114" s="207">
        <v>3.0000000000000001E-3</v>
      </c>
      <c r="G114" s="207">
        <v>2.7259191999999999E-3</v>
      </c>
      <c r="H114" s="207">
        <v>1</v>
      </c>
      <c r="I114" s="208">
        <v>6.8432117000000001E-9</v>
      </c>
      <c r="J114" s="208">
        <v>6.8432117000000001E-9</v>
      </c>
      <c r="K114" s="208">
        <v>6.8432117000000001E-9</v>
      </c>
      <c r="L114" s="209"/>
    </row>
    <row r="115" spans="1:12" x14ac:dyDescent="0.25">
      <c r="A115" s="207">
        <v>17.7</v>
      </c>
      <c r="B115" s="207">
        <v>0.84725200000000001</v>
      </c>
      <c r="C115" s="208">
        <v>1.9239296E-11</v>
      </c>
      <c r="D115" s="208">
        <v>6.4130988000000001E-9</v>
      </c>
      <c r="E115" s="207">
        <v>2.7248788999999999E-2</v>
      </c>
      <c r="F115" s="207">
        <v>3.0000000000000001E-3</v>
      </c>
      <c r="G115" s="207">
        <v>2.7259191999999999E-3</v>
      </c>
      <c r="H115" s="207">
        <v>1</v>
      </c>
      <c r="I115" s="208">
        <v>6.4130988000000001E-9</v>
      </c>
      <c r="J115" s="208">
        <v>6.4130988000000001E-9</v>
      </c>
      <c r="K115" s="208">
        <v>6.4130988000000001E-9</v>
      </c>
      <c r="L115" s="209"/>
    </row>
    <row r="116" spans="1:12" x14ac:dyDescent="0.25">
      <c r="A116" s="207">
        <v>18</v>
      </c>
      <c r="B116" s="207">
        <v>0.86161200000000004</v>
      </c>
      <c r="C116" s="208">
        <v>1.8252329999999999E-11</v>
      </c>
      <c r="D116" s="208">
        <v>6.0841100000000004E-9</v>
      </c>
      <c r="E116" s="207">
        <v>2.7248379999999999E-2</v>
      </c>
      <c r="F116" s="207">
        <v>3.0000000000000001E-3</v>
      </c>
      <c r="G116" s="207">
        <v>2.7259191999999999E-3</v>
      </c>
      <c r="H116" s="207">
        <v>1</v>
      </c>
      <c r="I116" s="208">
        <v>6.0841100000000004E-9</v>
      </c>
      <c r="J116" s="208">
        <v>6.0841100000000004E-9</v>
      </c>
      <c r="K116" s="208">
        <v>6.0841100000000004E-9</v>
      </c>
      <c r="L116" s="209"/>
    </row>
    <row r="117" spans="1:12" x14ac:dyDescent="0.25">
      <c r="A117" s="207">
        <v>18.3</v>
      </c>
      <c r="B117" s="207">
        <v>0.875973</v>
      </c>
      <c r="C117" s="208">
        <v>1.5882562E-11</v>
      </c>
      <c r="D117" s="208">
        <v>5.2941874000000003E-9</v>
      </c>
      <c r="E117" s="207">
        <v>2.724797E-2</v>
      </c>
      <c r="F117" s="207">
        <v>3.0000000000000001E-3</v>
      </c>
      <c r="G117" s="207">
        <v>2.7259191999999999E-3</v>
      </c>
      <c r="H117" s="207">
        <v>1</v>
      </c>
      <c r="I117" s="208">
        <v>5.2941874000000003E-9</v>
      </c>
      <c r="J117" s="208">
        <v>5.2941874000000003E-9</v>
      </c>
      <c r="K117" s="208">
        <v>5.2941874000000003E-9</v>
      </c>
      <c r="L117" s="209"/>
    </row>
    <row r="118" spans="1:12" x14ac:dyDescent="0.25">
      <c r="A118" s="207">
        <v>18.600000000000001</v>
      </c>
      <c r="B118" s="207">
        <v>0.89033300000000004</v>
      </c>
      <c r="C118" s="208">
        <v>1.4423386E-11</v>
      </c>
      <c r="D118" s="208">
        <v>4.8077952E-9</v>
      </c>
      <c r="E118" s="207">
        <v>2.7247560000000001E-2</v>
      </c>
      <c r="F118" s="207">
        <v>3.0000000000000001E-3</v>
      </c>
      <c r="G118" s="207">
        <v>2.7259191999999999E-3</v>
      </c>
      <c r="H118" s="207">
        <v>1</v>
      </c>
      <c r="I118" s="208">
        <v>4.8077952E-9</v>
      </c>
      <c r="J118" s="208">
        <v>4.8077952E-9</v>
      </c>
      <c r="K118" s="208">
        <v>4.8077952E-9</v>
      </c>
      <c r="L118" s="209"/>
    </row>
    <row r="119" spans="1:12" x14ac:dyDescent="0.25">
      <c r="A119" s="207">
        <v>18.899999999999999</v>
      </c>
      <c r="B119" s="207">
        <v>0.90469299999999997</v>
      </c>
      <c r="C119" s="208">
        <v>1.4691956999999999E-11</v>
      </c>
      <c r="D119" s="208">
        <v>4.8973189999999999E-9</v>
      </c>
      <c r="E119" s="207">
        <v>2.7247150000000001E-2</v>
      </c>
      <c r="F119" s="207">
        <v>3.0000000000000001E-3</v>
      </c>
      <c r="G119" s="207">
        <v>2.7259191999999999E-3</v>
      </c>
      <c r="H119" s="207">
        <v>1</v>
      </c>
      <c r="I119" s="208">
        <v>4.8973189999999999E-9</v>
      </c>
      <c r="J119" s="208">
        <v>4.8973189999999999E-9</v>
      </c>
      <c r="K119" s="208">
        <v>4.8973189999999999E-9</v>
      </c>
      <c r="L119" s="209"/>
    </row>
    <row r="120" spans="1:12" x14ac:dyDescent="0.25">
      <c r="A120" s="207">
        <v>19.2</v>
      </c>
      <c r="B120" s="207">
        <v>0.91905300000000001</v>
      </c>
      <c r="C120" s="208">
        <v>1.4343548E-11</v>
      </c>
      <c r="D120" s="208">
        <v>4.7811826000000002E-9</v>
      </c>
      <c r="E120" s="207">
        <v>2.7245815999999999E-2</v>
      </c>
      <c r="F120" s="207">
        <v>3.0000000000000001E-3</v>
      </c>
      <c r="G120" s="207">
        <v>2.7259191999999999E-3</v>
      </c>
      <c r="H120" s="207">
        <v>1</v>
      </c>
      <c r="I120" s="208">
        <v>4.7811826000000002E-9</v>
      </c>
      <c r="J120" s="208">
        <v>4.7811826000000002E-9</v>
      </c>
      <c r="K120" s="208">
        <v>4.7811826000000002E-9</v>
      </c>
      <c r="L120" s="209"/>
    </row>
    <row r="121" spans="1:12" x14ac:dyDescent="0.25">
      <c r="A121" s="207">
        <v>19.5</v>
      </c>
      <c r="B121" s="207">
        <v>0.93341399999999997</v>
      </c>
      <c r="C121" s="208">
        <v>1.3634206999999999E-11</v>
      </c>
      <c r="D121" s="208">
        <v>4.5447356999999996E-9</v>
      </c>
      <c r="E121" s="207">
        <v>2.7244481000000001E-2</v>
      </c>
      <c r="F121" s="207">
        <v>3.0000000000000001E-3</v>
      </c>
      <c r="G121" s="207">
        <v>2.7259191999999999E-3</v>
      </c>
      <c r="H121" s="207">
        <v>1</v>
      </c>
      <c r="I121" s="208">
        <v>4.5447356999999996E-9</v>
      </c>
      <c r="J121" s="208">
        <v>4.5447356999999996E-9</v>
      </c>
      <c r="K121" s="208">
        <v>4.5447356999999996E-9</v>
      </c>
      <c r="L121" s="209"/>
    </row>
    <row r="122" spans="1:12" x14ac:dyDescent="0.25">
      <c r="A122" s="207">
        <v>19.8</v>
      </c>
      <c r="B122" s="207">
        <v>0.94777400000000001</v>
      </c>
      <c r="C122" s="208">
        <v>1.3280018000000001E-11</v>
      </c>
      <c r="D122" s="208">
        <v>4.4266726000000004E-9</v>
      </c>
      <c r="E122" s="207">
        <v>2.7243146999999999E-2</v>
      </c>
      <c r="F122" s="207">
        <v>3.0000000000000001E-3</v>
      </c>
      <c r="G122" s="207">
        <v>2.7259191999999999E-3</v>
      </c>
      <c r="H122" s="207">
        <v>1</v>
      </c>
      <c r="I122" s="208">
        <v>4.4266726000000004E-9</v>
      </c>
      <c r="J122" s="208">
        <v>4.4266726000000004E-9</v>
      </c>
      <c r="K122" s="208">
        <v>4.4266726000000004E-9</v>
      </c>
      <c r="L122" s="209"/>
    </row>
    <row r="123" spans="1:12" x14ac:dyDescent="0.25">
      <c r="A123" s="207">
        <v>20.100000000000001</v>
      </c>
      <c r="B123" s="207">
        <v>0.96213400000000004</v>
      </c>
      <c r="C123" s="208">
        <v>1.3119297E-11</v>
      </c>
      <c r="D123" s="208">
        <v>4.3730989999999998E-9</v>
      </c>
      <c r="E123" s="207">
        <v>2.7241812000000001E-2</v>
      </c>
      <c r="F123" s="207">
        <v>3.0000000000000001E-3</v>
      </c>
      <c r="G123" s="207">
        <v>2.7259191999999999E-3</v>
      </c>
      <c r="H123" s="207">
        <v>1</v>
      </c>
      <c r="I123" s="208">
        <v>4.3730989999999998E-9</v>
      </c>
      <c r="J123" s="208">
        <v>4.3730989999999998E-9</v>
      </c>
      <c r="K123" s="208">
        <v>4.3730989999999998E-9</v>
      </c>
      <c r="L123" s="209"/>
    </row>
    <row r="124" spans="1:12" x14ac:dyDescent="0.25">
      <c r="A124" s="207">
        <v>20.399999999999999</v>
      </c>
      <c r="B124" s="207">
        <v>0.97649399999999997</v>
      </c>
      <c r="C124" s="208">
        <v>1.2504167999999999E-11</v>
      </c>
      <c r="D124" s="208">
        <v>4.1680560000000001E-9</v>
      </c>
      <c r="E124" s="207">
        <v>2.7240473000000001E-2</v>
      </c>
      <c r="F124" s="207">
        <v>3.0000000000000001E-3</v>
      </c>
      <c r="G124" s="207">
        <v>2.7259186000000001E-3</v>
      </c>
      <c r="H124" s="207">
        <v>1</v>
      </c>
      <c r="I124" s="208">
        <v>4.1680560000000001E-9</v>
      </c>
      <c r="J124" s="208">
        <v>4.1680560000000001E-9</v>
      </c>
      <c r="K124" s="208">
        <v>4.1680560000000001E-9</v>
      </c>
      <c r="L124" s="209"/>
    </row>
    <row r="125" spans="1:12" x14ac:dyDescent="0.25">
      <c r="A125" s="207">
        <v>20.7</v>
      </c>
      <c r="B125" s="207">
        <v>0.99085400000000001</v>
      </c>
      <c r="C125" s="208">
        <v>1.3569149E-11</v>
      </c>
      <c r="D125" s="208">
        <v>4.5230496000000003E-9</v>
      </c>
      <c r="E125" s="207">
        <v>2.6405943000000001E-2</v>
      </c>
      <c r="F125" s="207">
        <v>3.0000000000000001E-3</v>
      </c>
      <c r="G125" s="207">
        <v>2.6276070000000001E-3</v>
      </c>
      <c r="H125" s="207">
        <v>1</v>
      </c>
      <c r="I125" s="208">
        <v>4.5230496000000003E-9</v>
      </c>
      <c r="J125" s="208">
        <v>4.5230496000000003E-9</v>
      </c>
      <c r="K125" s="208">
        <v>4.5230496000000003E-9</v>
      </c>
      <c r="L125" s="209"/>
    </row>
    <row r="126" spans="1:12" x14ac:dyDescent="0.25">
      <c r="A126" s="207">
        <v>21</v>
      </c>
      <c r="B126" s="207">
        <v>1.0052099999999999</v>
      </c>
      <c r="C126" s="208">
        <v>1.4229923E-11</v>
      </c>
      <c r="D126" s="208">
        <v>4.7433076000000003E-9</v>
      </c>
      <c r="E126" s="207">
        <v>2.5571413000000001E-2</v>
      </c>
      <c r="F126" s="207">
        <v>3.0000000000000001E-3</v>
      </c>
      <c r="G126" s="207">
        <v>2.5292954000000001E-3</v>
      </c>
      <c r="H126" s="207">
        <v>1</v>
      </c>
      <c r="I126" s="208">
        <v>4.7433076000000003E-9</v>
      </c>
      <c r="J126" s="208">
        <v>4.7433076000000003E-9</v>
      </c>
      <c r="K126" s="208">
        <v>4.7433076000000003E-9</v>
      </c>
      <c r="L126" s="209"/>
    </row>
    <row r="127" spans="1:12" x14ac:dyDescent="0.25">
      <c r="A127" s="207">
        <v>21.3</v>
      </c>
      <c r="B127" s="207">
        <v>1.0195700000000001</v>
      </c>
      <c r="C127" s="208">
        <v>1.602824E-11</v>
      </c>
      <c r="D127" s="208">
        <v>5.3427465999999997E-9</v>
      </c>
      <c r="E127" s="207">
        <v>2.4736878E-2</v>
      </c>
      <c r="F127" s="207">
        <v>3.0000000000000001E-3</v>
      </c>
      <c r="G127" s="207">
        <v>2.4309831999999999E-3</v>
      </c>
      <c r="H127" s="207">
        <v>1</v>
      </c>
      <c r="I127" s="208">
        <v>5.3427465999999997E-9</v>
      </c>
      <c r="J127" s="208">
        <v>5.3427465999999997E-9</v>
      </c>
      <c r="K127" s="208">
        <v>5.3427465999999997E-9</v>
      </c>
      <c r="L127" s="209"/>
    </row>
    <row r="128" spans="1:12" x14ac:dyDescent="0.25">
      <c r="A128" s="207">
        <v>21.6</v>
      </c>
      <c r="B128" s="207">
        <v>1.03393</v>
      </c>
      <c r="C128" s="208">
        <v>1.9291693E-11</v>
      </c>
      <c r="D128" s="208">
        <v>6.4305640999999998E-9</v>
      </c>
      <c r="E128" s="207">
        <v>2.3902348E-2</v>
      </c>
      <c r="F128" s="207">
        <v>3.0000000000000001E-3</v>
      </c>
      <c r="G128" s="207">
        <v>2.3326715999999999E-3</v>
      </c>
      <c r="H128" s="207">
        <v>1</v>
      </c>
      <c r="I128" s="208">
        <v>6.4305640999999998E-9</v>
      </c>
      <c r="J128" s="208">
        <v>6.4305640999999998E-9</v>
      </c>
      <c r="K128" s="208">
        <v>6.4305640999999998E-9</v>
      </c>
      <c r="L128" s="209"/>
    </row>
    <row r="129" spans="1:12" x14ac:dyDescent="0.25">
      <c r="A129" s="207">
        <v>21.9</v>
      </c>
      <c r="B129" s="207">
        <v>1.0483</v>
      </c>
      <c r="C129" s="208">
        <v>2.4078482999999999E-11</v>
      </c>
      <c r="D129" s="208">
        <v>8.0261610000000002E-9</v>
      </c>
      <c r="E129" s="207">
        <v>2.3067778000000001E-2</v>
      </c>
      <c r="F129" s="207">
        <v>3.0000000000000001E-3</v>
      </c>
      <c r="G129" s="207">
        <v>2.2343562999999999E-3</v>
      </c>
      <c r="H129" s="207">
        <v>1</v>
      </c>
      <c r="I129" s="208">
        <v>8.0261610000000002E-9</v>
      </c>
      <c r="J129" s="208">
        <v>8.0261610000000002E-9</v>
      </c>
      <c r="K129" s="208">
        <v>8.0261610000000002E-9</v>
      </c>
      <c r="L129" s="209"/>
    </row>
    <row r="130" spans="1:12" x14ac:dyDescent="0.25">
      <c r="A130" s="207">
        <v>22.2</v>
      </c>
      <c r="B130" s="207">
        <v>1.0626599999999999</v>
      </c>
      <c r="C130" s="208">
        <v>3.1034390000000003E-11</v>
      </c>
      <c r="D130" s="208">
        <v>1.0344796E-8</v>
      </c>
      <c r="E130" s="207">
        <v>1.6767616999999999E-2</v>
      </c>
      <c r="F130" s="207">
        <v>3.0000000000000001E-3</v>
      </c>
      <c r="G130" s="207">
        <v>1.6534245000000001E-3</v>
      </c>
      <c r="H130" s="207">
        <v>1</v>
      </c>
      <c r="I130" s="208">
        <v>1.0344796E-8</v>
      </c>
      <c r="J130" s="208">
        <v>1.0344796E-8</v>
      </c>
      <c r="K130" s="208">
        <v>1.0344796E-8</v>
      </c>
      <c r="L130" s="209"/>
    </row>
    <row r="131" spans="1:12" x14ac:dyDescent="0.25">
      <c r="A131" s="210">
        <v>22.5</v>
      </c>
      <c r="B131" s="210">
        <v>1.0770200000000001</v>
      </c>
      <c r="C131" s="211">
        <v>1.4730903999999999E-11</v>
      </c>
      <c r="D131" s="211">
        <v>4.9103013999999999E-9</v>
      </c>
      <c r="E131" s="210">
        <v>1.0467456E-2</v>
      </c>
      <c r="F131" s="210">
        <v>3.0000000000000001E-3</v>
      </c>
      <c r="G131" s="210">
        <v>1.0724928E-3</v>
      </c>
      <c r="H131" s="210">
        <v>1</v>
      </c>
      <c r="I131" s="211">
        <v>4.9103013999999999E-9</v>
      </c>
      <c r="J131" s="211">
        <v>4.9103013999999999E-9</v>
      </c>
      <c r="K131" s="211">
        <v>4.9103013999999999E-9</v>
      </c>
      <c r="L131" s="2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5"/>
  <sheetViews>
    <sheetView zoomScale="85" zoomScaleNormal="85" workbookViewId="0">
      <pane ySplit="1" topLeftCell="A2" activePane="bottomLeft" state="frozenSplit"/>
      <selection pane="bottomLeft" activeCell="I13" sqref="I13"/>
    </sheetView>
  </sheetViews>
  <sheetFormatPr defaultRowHeight="15" x14ac:dyDescent="0.25"/>
  <cols>
    <col min="1" max="1" width="7.85546875" style="8" customWidth="1"/>
    <col min="2" max="2" width="11.42578125" style="8" customWidth="1"/>
    <col min="3" max="3" width="10.7109375" style="8" customWidth="1"/>
    <col min="4" max="5" width="12.5703125" style="8" customWidth="1"/>
    <col min="6" max="6" width="12.5703125" style="156" customWidth="1"/>
    <col min="7" max="7" width="9.85546875" style="8" customWidth="1"/>
    <col min="8" max="8" width="9.5703125" style="8" customWidth="1"/>
    <col min="9" max="9" width="10" style="8" customWidth="1"/>
    <col min="10" max="10" width="12.5703125" style="8" customWidth="1"/>
    <col min="11" max="11" width="9" style="8" customWidth="1"/>
    <col min="12" max="12" width="8.7109375" style="8" customWidth="1"/>
    <col min="13" max="13" width="10" style="8" customWidth="1"/>
    <col min="14" max="14" width="9.5703125" style="8" customWidth="1"/>
    <col min="15" max="15" width="12.5703125" style="8" customWidth="1"/>
    <col min="16" max="16" width="15" style="163" customWidth="1"/>
    <col min="18" max="18" width="12.28515625" bestFit="1" customWidth="1"/>
    <col min="258" max="271" width="15" customWidth="1"/>
    <col min="514" max="527" width="15" customWidth="1"/>
    <col min="770" max="783" width="15" customWidth="1"/>
    <col min="1026" max="1039" width="15" customWidth="1"/>
    <col min="1282" max="1295" width="15" customWidth="1"/>
    <col min="1538" max="1551" width="15" customWidth="1"/>
    <col min="1794" max="1807" width="15" customWidth="1"/>
    <col min="2050" max="2063" width="15" customWidth="1"/>
    <col min="2306" max="2319" width="15" customWidth="1"/>
    <col min="2562" max="2575" width="15" customWidth="1"/>
    <col min="2818" max="2831" width="15" customWidth="1"/>
    <col min="3074" max="3087" width="15" customWidth="1"/>
    <col min="3330" max="3343" width="15" customWidth="1"/>
    <col min="3586" max="3599" width="15" customWidth="1"/>
    <col min="3842" max="3855" width="15" customWidth="1"/>
    <col min="4098" max="4111" width="15" customWidth="1"/>
    <col min="4354" max="4367" width="15" customWidth="1"/>
    <col min="4610" max="4623" width="15" customWidth="1"/>
    <col min="4866" max="4879" width="15" customWidth="1"/>
    <col min="5122" max="5135" width="15" customWidth="1"/>
    <col min="5378" max="5391" width="15" customWidth="1"/>
    <col min="5634" max="5647" width="15" customWidth="1"/>
    <col min="5890" max="5903" width="15" customWidth="1"/>
    <col min="6146" max="6159" width="15" customWidth="1"/>
    <col min="6402" max="6415" width="15" customWidth="1"/>
    <col min="6658" max="6671" width="15" customWidth="1"/>
    <col min="6914" max="6927" width="15" customWidth="1"/>
    <col min="7170" max="7183" width="15" customWidth="1"/>
    <col min="7426" max="7439" width="15" customWidth="1"/>
    <col min="7682" max="7695" width="15" customWidth="1"/>
    <col min="7938" max="7951" width="15" customWidth="1"/>
    <col min="8194" max="8207" width="15" customWidth="1"/>
    <col min="8450" max="8463" width="15" customWidth="1"/>
    <col min="8706" max="8719" width="15" customWidth="1"/>
    <col min="8962" max="8975" width="15" customWidth="1"/>
    <col min="9218" max="9231" width="15" customWidth="1"/>
    <col min="9474" max="9487" width="15" customWidth="1"/>
    <col min="9730" max="9743" width="15" customWidth="1"/>
    <col min="9986" max="9999" width="15" customWidth="1"/>
    <col min="10242" max="10255" width="15" customWidth="1"/>
    <col min="10498" max="10511" width="15" customWidth="1"/>
    <col min="10754" max="10767" width="15" customWidth="1"/>
    <col min="11010" max="11023" width="15" customWidth="1"/>
    <col min="11266" max="11279" width="15" customWidth="1"/>
    <col min="11522" max="11535" width="15" customWidth="1"/>
    <col min="11778" max="11791" width="15" customWidth="1"/>
    <col min="12034" max="12047" width="15" customWidth="1"/>
    <col min="12290" max="12303" width="15" customWidth="1"/>
    <col min="12546" max="12559" width="15" customWidth="1"/>
    <col min="12802" max="12815" width="15" customWidth="1"/>
    <col min="13058" max="13071" width="15" customWidth="1"/>
    <col min="13314" max="13327" width="15" customWidth="1"/>
    <col min="13570" max="13583" width="15" customWidth="1"/>
    <col min="13826" max="13839" width="15" customWidth="1"/>
    <col min="14082" max="14095" width="15" customWidth="1"/>
    <col min="14338" max="14351" width="15" customWidth="1"/>
    <col min="14594" max="14607" width="15" customWidth="1"/>
    <col min="14850" max="14863" width="15" customWidth="1"/>
    <col min="15106" max="15119" width="15" customWidth="1"/>
    <col min="15362" max="15375" width="15" customWidth="1"/>
    <col min="15618" max="15631" width="15" customWidth="1"/>
    <col min="15874" max="15887" width="15" customWidth="1"/>
    <col min="16130" max="16143" width="15" customWidth="1"/>
  </cols>
  <sheetData>
    <row r="1" spans="1:16" s="53" customFormat="1" ht="15.75" x14ac:dyDescent="0.25">
      <c r="A1" s="164" t="s">
        <v>752</v>
      </c>
      <c r="B1" s="164" t="s">
        <v>192</v>
      </c>
      <c r="C1" s="164" t="s">
        <v>193</v>
      </c>
      <c r="D1" s="164" t="s">
        <v>194</v>
      </c>
      <c r="E1" s="164" t="s">
        <v>195</v>
      </c>
      <c r="F1" s="165" t="s">
        <v>196</v>
      </c>
      <c r="G1" s="164" t="s">
        <v>197</v>
      </c>
      <c r="H1" s="164" t="s">
        <v>198</v>
      </c>
      <c r="I1" s="164" t="s">
        <v>199</v>
      </c>
      <c r="J1" s="164" t="s">
        <v>200</v>
      </c>
      <c r="K1" s="164" t="s">
        <v>201</v>
      </c>
      <c r="L1" s="164" t="s">
        <v>202</v>
      </c>
      <c r="M1" s="164" t="s">
        <v>80</v>
      </c>
      <c r="N1" s="164" t="s">
        <v>203</v>
      </c>
      <c r="O1" s="164" t="s">
        <v>204</v>
      </c>
      <c r="P1" s="166" t="s">
        <v>706</v>
      </c>
    </row>
    <row r="2" spans="1:16" x14ac:dyDescent="0.25">
      <c r="A2" s="8">
        <v>1</v>
      </c>
      <c r="B2" s="8">
        <v>11.98</v>
      </c>
      <c r="C2" s="153">
        <v>15.3139</v>
      </c>
      <c r="D2" s="85">
        <v>130.24680000000001</v>
      </c>
      <c r="E2" s="85">
        <v>-23.456499999999998</v>
      </c>
      <c r="F2" s="156" t="s">
        <v>693</v>
      </c>
      <c r="G2" s="85">
        <v>2</v>
      </c>
      <c r="H2" s="85">
        <v>12.945</v>
      </c>
      <c r="I2" s="8">
        <v>0.4</v>
      </c>
      <c r="J2" s="8">
        <v>10000</v>
      </c>
      <c r="K2" s="8">
        <v>30</v>
      </c>
      <c r="L2" s="8">
        <v>0.81</v>
      </c>
      <c r="M2" s="84">
        <v>1.9590000000000001</v>
      </c>
      <c r="N2" s="84">
        <v>3.5457999999999998</v>
      </c>
      <c r="O2" s="8" t="s">
        <v>694</v>
      </c>
      <c r="P2" s="163">
        <f>(K2*AU)/(C2*pc)/FWHMsky</f>
        <v>43.170555191647281</v>
      </c>
    </row>
    <row r="3" spans="1:16" x14ac:dyDescent="0.25">
      <c r="A3" s="8">
        <v>2</v>
      </c>
      <c r="B3" s="8">
        <v>3.73</v>
      </c>
      <c r="C3" s="153">
        <v>3.2161</v>
      </c>
      <c r="D3" s="85">
        <v>53.232700000000001</v>
      </c>
      <c r="E3" s="85">
        <v>-9.4582999999999995</v>
      </c>
      <c r="F3" s="156" t="s">
        <v>218</v>
      </c>
      <c r="G3" s="85">
        <v>1.55</v>
      </c>
      <c r="H3" s="85">
        <v>12.913</v>
      </c>
      <c r="I3" s="8">
        <v>0.4</v>
      </c>
      <c r="J3" s="8">
        <v>2502</v>
      </c>
      <c r="K3" s="8">
        <v>3.39</v>
      </c>
      <c r="L3" s="8">
        <v>0.7</v>
      </c>
      <c r="M3" s="84">
        <v>1.0541</v>
      </c>
      <c r="N3" s="84">
        <v>1.7919</v>
      </c>
      <c r="O3" s="8" t="s">
        <v>219</v>
      </c>
      <c r="P3" s="163">
        <f t="shared" ref="P3:P65" si="0">(K3*AU)/(C3*pc)/FWHMsky</f>
        <v>23.228562812685706</v>
      </c>
    </row>
    <row r="4" spans="1:16" x14ac:dyDescent="0.25">
      <c r="A4" s="8">
        <v>3</v>
      </c>
      <c r="B4" s="8">
        <v>5.04</v>
      </c>
      <c r="C4" s="153">
        <v>14.0627</v>
      </c>
      <c r="D4" s="85">
        <v>164.86660000000001</v>
      </c>
      <c r="E4" s="85">
        <v>40.430300000000003</v>
      </c>
      <c r="F4" s="156" t="s">
        <v>252</v>
      </c>
      <c r="G4" s="85">
        <v>1.64</v>
      </c>
      <c r="H4" s="85">
        <v>12.919</v>
      </c>
      <c r="I4" s="8">
        <v>0.4</v>
      </c>
      <c r="J4" s="8">
        <v>14002</v>
      </c>
      <c r="K4" s="8">
        <v>11.6</v>
      </c>
      <c r="L4" s="8">
        <v>0.16</v>
      </c>
      <c r="M4" s="84">
        <v>0.82487999999999995</v>
      </c>
      <c r="N4" s="84">
        <v>0.95686000000000004</v>
      </c>
      <c r="O4" s="8" t="s">
        <v>253</v>
      </c>
      <c r="P4" s="163">
        <f t="shared" si="0"/>
        <v>18.177805958866745</v>
      </c>
    </row>
    <row r="5" spans="1:16" x14ac:dyDescent="0.25">
      <c r="A5" s="8">
        <v>4</v>
      </c>
      <c r="B5" s="8">
        <v>8.6720000000000006</v>
      </c>
      <c r="C5" s="153">
        <v>4.9537000000000004</v>
      </c>
      <c r="D5" s="85">
        <v>323.39159999999998</v>
      </c>
      <c r="E5" s="85">
        <v>-49.009</v>
      </c>
      <c r="F5" s="156" t="s">
        <v>607</v>
      </c>
      <c r="G5" s="85">
        <v>0.64</v>
      </c>
      <c r="H5" s="85">
        <v>12.766999999999999</v>
      </c>
      <c r="I5" s="8">
        <v>0.4</v>
      </c>
      <c r="J5" s="8">
        <v>3416</v>
      </c>
      <c r="K5" s="8">
        <v>3.4</v>
      </c>
      <c r="L5" s="8">
        <v>0.12</v>
      </c>
      <c r="M5" s="84">
        <v>0.68635999999999997</v>
      </c>
      <c r="N5" s="84">
        <v>0.76871999999999996</v>
      </c>
      <c r="O5" s="8" t="s">
        <v>608</v>
      </c>
      <c r="P5" s="163">
        <f t="shared" si="0"/>
        <v>15.125209584134746</v>
      </c>
    </row>
    <row r="6" spans="1:16" x14ac:dyDescent="0.25">
      <c r="A6" s="8">
        <v>5</v>
      </c>
      <c r="B6" s="8">
        <v>5.95</v>
      </c>
      <c r="C6" s="153">
        <v>12.341100000000001</v>
      </c>
      <c r="D6" s="85">
        <v>133.14920000000001</v>
      </c>
      <c r="E6" s="85">
        <v>28.3308</v>
      </c>
      <c r="F6" s="156" t="s">
        <v>300</v>
      </c>
      <c r="G6" s="85">
        <v>3.835</v>
      </c>
      <c r="H6" s="85">
        <v>13.129</v>
      </c>
      <c r="I6" s="8">
        <v>0.4</v>
      </c>
      <c r="J6" s="8">
        <v>5218</v>
      </c>
      <c r="K6" s="8">
        <v>5.76</v>
      </c>
      <c r="L6" s="8">
        <v>0.03</v>
      </c>
      <c r="M6" s="84">
        <v>0.46672999999999998</v>
      </c>
      <c r="N6" s="84">
        <v>0.48072999999999999</v>
      </c>
      <c r="O6" s="8" t="s">
        <v>226</v>
      </c>
      <c r="P6" s="163">
        <f t="shared" si="0"/>
        <v>10.28539080865389</v>
      </c>
    </row>
    <row r="7" spans="1:16" x14ac:dyDescent="0.25">
      <c r="A7" s="8">
        <v>6</v>
      </c>
      <c r="B7" s="8">
        <v>10.375999999999999</v>
      </c>
      <c r="C7" s="153">
        <v>23.573799999999999</v>
      </c>
      <c r="D7" s="85">
        <v>217.32730000000001</v>
      </c>
      <c r="E7" s="85">
        <v>-46.463799999999999</v>
      </c>
      <c r="F7" s="156" t="s">
        <v>679</v>
      </c>
      <c r="G7" s="85">
        <v>9</v>
      </c>
      <c r="H7" s="85">
        <v>12.851000000000001</v>
      </c>
      <c r="I7" s="8">
        <v>0.4</v>
      </c>
      <c r="J7" s="8">
        <v>10000</v>
      </c>
      <c r="K7" s="8">
        <v>10</v>
      </c>
      <c r="L7" s="8">
        <v>0.6</v>
      </c>
      <c r="M7" s="84">
        <v>0.42420000000000002</v>
      </c>
      <c r="N7" s="84">
        <v>0.67871999999999999</v>
      </c>
      <c r="O7" s="8" t="s">
        <v>680</v>
      </c>
      <c r="P7" s="163">
        <f t="shared" si="0"/>
        <v>9.3480836797541809</v>
      </c>
    </row>
    <row r="8" spans="1:16" x14ac:dyDescent="0.25">
      <c r="A8" s="8">
        <v>7</v>
      </c>
      <c r="B8" s="8">
        <v>9.8130000000000006</v>
      </c>
      <c r="C8" s="153">
        <v>8.8826000000000001</v>
      </c>
      <c r="D8" s="85">
        <v>173.8623</v>
      </c>
      <c r="E8" s="85">
        <v>-32.54</v>
      </c>
      <c r="F8" s="156" t="s">
        <v>657</v>
      </c>
      <c r="G8" s="85">
        <v>0.14000000000000001</v>
      </c>
      <c r="H8" s="85">
        <v>11.249000000000001</v>
      </c>
      <c r="I8" s="8">
        <v>0.4</v>
      </c>
      <c r="J8" s="8">
        <v>3693</v>
      </c>
      <c r="K8" s="8">
        <v>3.6</v>
      </c>
      <c r="L8" s="8">
        <v>0.17</v>
      </c>
      <c r="M8" s="84">
        <v>0.40528999999999998</v>
      </c>
      <c r="N8" s="84">
        <v>0.47419</v>
      </c>
      <c r="O8" s="8" t="s">
        <v>608</v>
      </c>
      <c r="P8" s="163">
        <f t="shared" si="0"/>
        <v>8.9312980228676366</v>
      </c>
    </row>
    <row r="9" spans="1:16" x14ac:dyDescent="0.25">
      <c r="A9" s="8">
        <v>8</v>
      </c>
      <c r="B9" s="8">
        <v>4.0999999999999996</v>
      </c>
      <c r="C9" s="153">
        <v>13.4916</v>
      </c>
      <c r="D9" s="85">
        <v>24.199300000000001</v>
      </c>
      <c r="E9" s="85">
        <v>41.405500000000004</v>
      </c>
      <c r="F9" s="156" t="s">
        <v>222</v>
      </c>
      <c r="G9" s="85">
        <v>1.0589999999999999</v>
      </c>
      <c r="H9" s="85">
        <v>12.85</v>
      </c>
      <c r="I9" s="8">
        <v>0.4</v>
      </c>
      <c r="J9" s="8">
        <v>3848.9</v>
      </c>
      <c r="K9" s="8">
        <v>5.25</v>
      </c>
      <c r="L9" s="8">
        <v>0.01</v>
      </c>
      <c r="M9" s="84">
        <v>0.38912999999999998</v>
      </c>
      <c r="N9" s="84">
        <v>0.39301999999999998</v>
      </c>
      <c r="O9" s="8" t="s">
        <v>223</v>
      </c>
      <c r="P9" s="163">
        <f t="shared" si="0"/>
        <v>8.5752745338684289</v>
      </c>
    </row>
    <row r="10" spans="1:16" x14ac:dyDescent="0.25">
      <c r="A10" s="8">
        <v>9</v>
      </c>
      <c r="B10" s="8">
        <v>5.15</v>
      </c>
      <c r="C10" s="153">
        <v>15.511100000000001</v>
      </c>
      <c r="D10" s="85">
        <v>266.03629999999998</v>
      </c>
      <c r="E10" s="85">
        <v>-51.834099999999999</v>
      </c>
      <c r="F10" s="156" t="s">
        <v>258</v>
      </c>
      <c r="G10" s="85">
        <v>1.8140000000000001</v>
      </c>
      <c r="H10" s="85">
        <v>12.932</v>
      </c>
      <c r="I10" s="8">
        <v>0.4</v>
      </c>
      <c r="J10" s="8">
        <v>4205.8</v>
      </c>
      <c r="K10" s="8">
        <v>5.24</v>
      </c>
      <c r="L10" s="8">
        <v>0.1</v>
      </c>
      <c r="M10" s="84">
        <v>0.33782000000000001</v>
      </c>
      <c r="N10" s="84">
        <v>0.37161</v>
      </c>
      <c r="O10" s="8" t="s">
        <v>259</v>
      </c>
      <c r="P10" s="163">
        <f t="shared" si="0"/>
        <v>7.4445915535384</v>
      </c>
    </row>
    <row r="11" spans="1:16" x14ac:dyDescent="0.25">
      <c r="A11" s="8">
        <v>10</v>
      </c>
      <c r="B11" s="8">
        <v>7.53</v>
      </c>
      <c r="C11" s="153">
        <v>17.956499999999998</v>
      </c>
      <c r="D11" s="85">
        <v>171.69280000000001</v>
      </c>
      <c r="E11" s="85">
        <v>3.0063</v>
      </c>
      <c r="F11" s="156" t="s">
        <v>445</v>
      </c>
      <c r="G11" s="85">
        <v>0.36</v>
      </c>
      <c r="H11" s="85">
        <v>12.382999999999999</v>
      </c>
      <c r="I11" s="8">
        <v>0.4</v>
      </c>
      <c r="J11" s="8">
        <v>4970</v>
      </c>
      <c r="K11" s="8">
        <v>5.4</v>
      </c>
      <c r="L11" s="8">
        <v>0.11</v>
      </c>
      <c r="M11" s="84">
        <v>0.30073</v>
      </c>
      <c r="N11" s="84">
        <v>0.33381</v>
      </c>
      <c r="O11" s="8" t="s">
        <v>446</v>
      </c>
      <c r="P11" s="163">
        <f t="shared" si="0"/>
        <v>6.6271111701548806</v>
      </c>
    </row>
    <row r="12" spans="1:16" x14ac:dyDescent="0.25">
      <c r="A12" s="8">
        <v>11</v>
      </c>
      <c r="B12" s="8">
        <v>6.18</v>
      </c>
      <c r="C12" s="153">
        <v>19.856999999999999</v>
      </c>
      <c r="D12" s="85">
        <v>344.56479999999999</v>
      </c>
      <c r="E12" s="85">
        <v>-2.3954</v>
      </c>
      <c r="F12" s="156" t="s">
        <v>315</v>
      </c>
      <c r="G12" s="85">
        <v>2.4900000000000002</v>
      </c>
      <c r="H12" s="85">
        <v>12.984999999999999</v>
      </c>
      <c r="I12" s="8">
        <v>0.4</v>
      </c>
      <c r="J12" s="8">
        <v>4210</v>
      </c>
      <c r="K12" s="8">
        <v>5.27</v>
      </c>
      <c r="L12" s="8">
        <v>0.52</v>
      </c>
      <c r="M12" s="84">
        <v>0.26540000000000002</v>
      </c>
      <c r="N12" s="84">
        <v>0.40339999999999998</v>
      </c>
      <c r="O12" s="8" t="s">
        <v>316</v>
      </c>
      <c r="P12" s="163">
        <f t="shared" si="0"/>
        <v>5.848562905335088</v>
      </c>
    </row>
    <row r="13" spans="1:16" x14ac:dyDescent="0.25">
      <c r="A13" s="8">
        <v>12</v>
      </c>
      <c r="B13" s="8">
        <v>5.7</v>
      </c>
      <c r="C13" s="153">
        <v>25.7136</v>
      </c>
      <c r="D13" s="85">
        <v>1.5799000000000001</v>
      </c>
      <c r="E13" s="85">
        <v>-49.075200000000002</v>
      </c>
      <c r="F13" s="156" t="s">
        <v>283</v>
      </c>
      <c r="G13" s="85">
        <v>5.3</v>
      </c>
      <c r="H13" s="85">
        <v>13.09</v>
      </c>
      <c r="I13" s="8">
        <v>0.4</v>
      </c>
      <c r="J13" s="8">
        <v>6005</v>
      </c>
      <c r="K13" s="8">
        <v>6.8</v>
      </c>
      <c r="L13" s="8">
        <v>0.21</v>
      </c>
      <c r="M13" s="84">
        <v>0.26445000000000002</v>
      </c>
      <c r="N13" s="84">
        <v>0.31999</v>
      </c>
      <c r="O13" s="8" t="s">
        <v>284</v>
      </c>
      <c r="P13" s="163">
        <f t="shared" si="0"/>
        <v>5.827713794795617</v>
      </c>
    </row>
    <row r="14" spans="1:16" x14ac:dyDescent="0.25">
      <c r="A14" s="8">
        <v>13</v>
      </c>
      <c r="B14" s="8">
        <v>10.366</v>
      </c>
      <c r="C14" s="153">
        <v>9.0959000000000003</v>
      </c>
      <c r="D14" s="85">
        <v>332.41809999999998</v>
      </c>
      <c r="E14" s="85">
        <v>-4.6406999999999998</v>
      </c>
      <c r="F14" s="156" t="s">
        <v>677</v>
      </c>
      <c r="G14" s="85">
        <v>0.99</v>
      </c>
      <c r="H14" s="85">
        <v>12.839</v>
      </c>
      <c r="I14" s="8">
        <v>0.4</v>
      </c>
      <c r="J14" s="8">
        <v>1852</v>
      </c>
      <c r="K14" s="8">
        <v>2.35</v>
      </c>
      <c r="L14" s="8">
        <v>0.04</v>
      </c>
      <c r="M14" s="84">
        <v>0.25835999999999998</v>
      </c>
      <c r="N14" s="84">
        <v>0.26868999999999998</v>
      </c>
      <c r="O14" s="8" t="s">
        <v>678</v>
      </c>
      <c r="P14" s="163">
        <f t="shared" si="0"/>
        <v>5.6934350571906505</v>
      </c>
    </row>
    <row r="15" spans="1:16" x14ac:dyDescent="0.25">
      <c r="A15" s="8">
        <v>14</v>
      </c>
      <c r="B15" s="8">
        <v>5.04</v>
      </c>
      <c r="C15" s="153">
        <v>14.0627</v>
      </c>
      <c r="D15" s="85">
        <v>164.86660000000001</v>
      </c>
      <c r="E15" s="85">
        <v>40.430300000000003</v>
      </c>
      <c r="F15" s="156" t="s">
        <v>252</v>
      </c>
      <c r="G15" s="85">
        <v>0.54</v>
      </c>
      <c r="H15" s="85">
        <v>12.659000000000001</v>
      </c>
      <c r="I15" s="8">
        <v>0.4</v>
      </c>
      <c r="J15" s="8">
        <v>2391</v>
      </c>
      <c r="K15" s="8">
        <v>3.6</v>
      </c>
      <c r="L15" s="8">
        <v>0.1</v>
      </c>
      <c r="M15" s="84">
        <v>0.25600000000000001</v>
      </c>
      <c r="N15" s="84">
        <v>0.28160000000000002</v>
      </c>
      <c r="O15" s="8" t="s">
        <v>253</v>
      </c>
      <c r="P15" s="163">
        <f t="shared" si="0"/>
        <v>5.6413880562000243</v>
      </c>
    </row>
    <row r="16" spans="1:16" x14ac:dyDescent="0.25">
      <c r="A16" s="8">
        <v>15</v>
      </c>
      <c r="B16" s="8">
        <v>5.71</v>
      </c>
      <c r="C16" s="153">
        <v>15.857900000000001</v>
      </c>
      <c r="D16" s="85">
        <v>300.90589999999997</v>
      </c>
      <c r="E16" s="85">
        <v>29.896799999999999</v>
      </c>
      <c r="F16" s="156" t="s">
        <v>285</v>
      </c>
      <c r="G16" s="85">
        <v>1.502</v>
      </c>
      <c r="H16" s="85">
        <v>12.909000000000001</v>
      </c>
      <c r="I16" s="8">
        <v>0.4</v>
      </c>
      <c r="J16" s="8">
        <v>2891</v>
      </c>
      <c r="K16" s="8">
        <v>3.92</v>
      </c>
      <c r="L16" s="8">
        <v>0.36</v>
      </c>
      <c r="M16" s="84">
        <v>0.2472</v>
      </c>
      <c r="N16" s="84">
        <v>0.33618999999999999</v>
      </c>
      <c r="O16" s="8" t="s">
        <v>286</v>
      </c>
      <c r="P16" s="163">
        <f t="shared" si="0"/>
        <v>5.4474415388870732</v>
      </c>
    </row>
    <row r="17" spans="1:16" x14ac:dyDescent="0.25">
      <c r="A17" s="8">
        <v>16</v>
      </c>
      <c r="B17" s="8">
        <v>7.0289999999999999</v>
      </c>
      <c r="C17" s="153">
        <v>28.224699999999999</v>
      </c>
      <c r="D17" s="85">
        <v>247.82329999999999</v>
      </c>
      <c r="E17" s="85">
        <v>79.7898</v>
      </c>
      <c r="F17" s="156" t="s">
        <v>386</v>
      </c>
      <c r="G17" s="85">
        <v>2.71</v>
      </c>
      <c r="H17" s="85">
        <v>13.009</v>
      </c>
      <c r="I17" s="8">
        <v>0.4</v>
      </c>
      <c r="J17" s="8">
        <v>5894</v>
      </c>
      <c r="K17" s="8">
        <v>6.7</v>
      </c>
      <c r="L17" s="8">
        <v>0.38</v>
      </c>
      <c r="M17" s="84">
        <v>0.23738000000000001</v>
      </c>
      <c r="N17" s="84">
        <v>0.32758999999999999</v>
      </c>
      <c r="O17" s="8" t="s">
        <v>387</v>
      </c>
      <c r="P17" s="163">
        <f t="shared" si="0"/>
        <v>5.2311557920317568</v>
      </c>
    </row>
    <row r="18" spans="1:16" x14ac:dyDescent="0.25">
      <c r="A18" s="8">
        <v>17</v>
      </c>
      <c r="B18" s="8">
        <v>6.74</v>
      </c>
      <c r="C18" s="153">
        <v>18.587399999999999</v>
      </c>
      <c r="D18" s="85">
        <v>255.65170000000001</v>
      </c>
      <c r="E18" s="85">
        <v>47.081899999999997</v>
      </c>
      <c r="F18" s="156" t="s">
        <v>367</v>
      </c>
      <c r="G18" s="85">
        <v>1</v>
      </c>
      <c r="H18" s="85">
        <v>12.840999999999999</v>
      </c>
      <c r="I18" s="8">
        <v>0.4</v>
      </c>
      <c r="J18" s="8">
        <v>3538</v>
      </c>
      <c r="K18" s="8">
        <v>4.3</v>
      </c>
      <c r="L18" s="8">
        <v>0.26</v>
      </c>
      <c r="M18" s="84">
        <v>0.23133999999999999</v>
      </c>
      <c r="N18" s="84">
        <v>0.29149000000000003</v>
      </c>
      <c r="O18" s="8" t="s">
        <v>226</v>
      </c>
      <c r="P18" s="163">
        <f t="shared" si="0"/>
        <v>5.098025418907933</v>
      </c>
    </row>
    <row r="19" spans="1:16" x14ac:dyDescent="0.25">
      <c r="A19" s="8">
        <v>18</v>
      </c>
      <c r="B19" s="8">
        <v>6.46</v>
      </c>
      <c r="C19" s="153">
        <v>26.205500000000001</v>
      </c>
      <c r="D19" s="85">
        <v>228.36940000000001</v>
      </c>
      <c r="E19" s="85">
        <v>-25.3093</v>
      </c>
      <c r="F19" s="156" t="s">
        <v>339</v>
      </c>
      <c r="G19" s="85">
        <v>0.82</v>
      </c>
      <c r="H19" s="85">
        <v>12.808999999999999</v>
      </c>
      <c r="I19" s="8">
        <v>0.4</v>
      </c>
      <c r="J19" s="8">
        <v>5000</v>
      </c>
      <c r="K19" s="8">
        <v>5.8</v>
      </c>
      <c r="L19" s="8">
        <v>0.12</v>
      </c>
      <c r="M19" s="84">
        <v>0.22133</v>
      </c>
      <c r="N19" s="84">
        <v>0.24789</v>
      </c>
      <c r="O19" s="8" t="s">
        <v>340</v>
      </c>
      <c r="P19" s="163">
        <f t="shared" si="0"/>
        <v>4.8773927583475869</v>
      </c>
    </row>
    <row r="20" spans="1:16" x14ac:dyDescent="0.25">
      <c r="A20" s="8">
        <v>19</v>
      </c>
      <c r="B20" s="8">
        <v>7.55</v>
      </c>
      <c r="C20" s="153">
        <v>18.204999999999998</v>
      </c>
      <c r="D20" s="85">
        <v>152.1797</v>
      </c>
      <c r="E20" s="85">
        <v>34.2423</v>
      </c>
      <c r="F20" s="156" t="s">
        <v>450</v>
      </c>
      <c r="G20" s="85">
        <v>12.1</v>
      </c>
      <c r="H20" s="85">
        <v>12.605</v>
      </c>
      <c r="I20" s="8">
        <v>0.4</v>
      </c>
      <c r="J20" s="8">
        <v>2754</v>
      </c>
      <c r="K20" s="8">
        <v>3.6</v>
      </c>
      <c r="L20" s="8">
        <v>0.53</v>
      </c>
      <c r="M20" s="84">
        <v>0.19775000000000001</v>
      </c>
      <c r="N20" s="84">
        <v>0.30254999999999999</v>
      </c>
      <c r="O20" s="8" t="s">
        <v>296</v>
      </c>
      <c r="P20" s="163">
        <f t="shared" si="0"/>
        <v>4.3577669770900345</v>
      </c>
    </row>
    <row r="21" spans="1:16" x14ac:dyDescent="0.25">
      <c r="A21" s="8">
        <v>20</v>
      </c>
      <c r="B21" s="8">
        <v>12.018000000000001</v>
      </c>
      <c r="C21" s="153">
        <v>12.288</v>
      </c>
      <c r="D21" s="85">
        <v>73.023499999999999</v>
      </c>
      <c r="E21" s="85">
        <v>6.4772999999999996</v>
      </c>
      <c r="F21" s="156" t="s">
        <v>695</v>
      </c>
      <c r="G21" s="85">
        <v>0.82</v>
      </c>
      <c r="H21" s="85">
        <v>12.808999999999999</v>
      </c>
      <c r="I21" s="8">
        <v>0.4</v>
      </c>
      <c r="J21" s="8">
        <v>2288</v>
      </c>
      <c r="K21" s="8">
        <v>2.41</v>
      </c>
      <c r="L21" s="8">
        <v>0.21</v>
      </c>
      <c r="M21" s="84">
        <v>0.19613</v>
      </c>
      <c r="N21" s="84">
        <v>0.23730999999999999</v>
      </c>
      <c r="O21" s="8" t="s">
        <v>694</v>
      </c>
      <c r="P21" s="163">
        <f t="shared" si="0"/>
        <v>4.3220324761555311</v>
      </c>
    </row>
    <row r="22" spans="1:16" x14ac:dyDescent="0.25">
      <c r="A22" s="8">
        <v>21</v>
      </c>
      <c r="B22" s="8">
        <v>4.0999999999999996</v>
      </c>
      <c r="C22" s="153">
        <v>13.4916</v>
      </c>
      <c r="D22" s="85">
        <v>24.199300000000001</v>
      </c>
      <c r="E22" s="85">
        <v>41.405500000000004</v>
      </c>
      <c r="F22" s="156" t="s">
        <v>222</v>
      </c>
      <c r="G22" s="85">
        <v>10.19</v>
      </c>
      <c r="H22" s="85">
        <v>12.757</v>
      </c>
      <c r="I22" s="8">
        <v>0.4</v>
      </c>
      <c r="J22" s="8">
        <v>1302.5999999999999</v>
      </c>
      <c r="K22" s="8">
        <v>2.5499999999999998</v>
      </c>
      <c r="L22" s="8">
        <v>0.27</v>
      </c>
      <c r="M22" s="84">
        <v>0.18901000000000001</v>
      </c>
      <c r="N22" s="84">
        <v>0.24004</v>
      </c>
      <c r="O22" s="8" t="s">
        <v>223</v>
      </c>
      <c r="P22" s="163">
        <f t="shared" si="0"/>
        <v>4.1651333450218075</v>
      </c>
    </row>
    <row r="23" spans="1:16" x14ac:dyDescent="0.25">
      <c r="A23" s="8">
        <v>22</v>
      </c>
      <c r="B23" s="8">
        <v>10.210000000000001</v>
      </c>
      <c r="C23" s="153">
        <v>41.186199999999999</v>
      </c>
      <c r="D23" s="85">
        <v>16.508500000000002</v>
      </c>
      <c r="E23" s="85">
        <v>-22.453199999999999</v>
      </c>
      <c r="F23" s="156" t="s">
        <v>672</v>
      </c>
      <c r="G23" s="85">
        <v>15.04</v>
      </c>
      <c r="H23" s="85">
        <v>12.371</v>
      </c>
      <c r="I23" s="8">
        <v>0.4</v>
      </c>
      <c r="J23" s="8">
        <v>9018</v>
      </c>
      <c r="K23" s="8">
        <v>7.7</v>
      </c>
      <c r="L23" s="8">
        <v>0.14000000000000001</v>
      </c>
      <c r="M23" s="84">
        <v>0.18695999999999999</v>
      </c>
      <c r="N23" s="84">
        <v>0.21312999999999999</v>
      </c>
      <c r="O23" s="8" t="s">
        <v>553</v>
      </c>
      <c r="P23" s="163">
        <f t="shared" si="0"/>
        <v>4.1199428058023706</v>
      </c>
    </row>
    <row r="24" spans="1:16" x14ac:dyDescent="0.25">
      <c r="A24" s="8">
        <v>23</v>
      </c>
      <c r="B24" s="8">
        <v>5.67</v>
      </c>
      <c r="C24" s="153">
        <v>18.315000000000001</v>
      </c>
      <c r="D24" s="85">
        <v>84.291200000000003</v>
      </c>
      <c r="E24" s="85">
        <v>-80.469099999999997</v>
      </c>
      <c r="F24" s="156" t="s">
        <v>281</v>
      </c>
      <c r="G24" s="85">
        <v>10.3</v>
      </c>
      <c r="H24" s="85">
        <v>12.747999999999999</v>
      </c>
      <c r="I24" s="8">
        <v>0.4</v>
      </c>
      <c r="J24" s="8">
        <v>2049</v>
      </c>
      <c r="K24" s="8">
        <v>3.28</v>
      </c>
      <c r="L24" s="8">
        <v>0.61</v>
      </c>
      <c r="M24" s="84">
        <v>0.17909</v>
      </c>
      <c r="N24" s="84">
        <v>0.28832999999999998</v>
      </c>
      <c r="O24" s="8" t="s">
        <v>282</v>
      </c>
      <c r="P24" s="163">
        <f t="shared" si="0"/>
        <v>3.9465636066792689</v>
      </c>
    </row>
    <row r="25" spans="1:16" x14ac:dyDescent="0.25">
      <c r="A25" s="8">
        <v>24</v>
      </c>
      <c r="B25" s="8">
        <v>1.1499999999999999</v>
      </c>
      <c r="C25" s="153">
        <v>10.3584</v>
      </c>
      <c r="D25" s="85">
        <v>116.32899999999999</v>
      </c>
      <c r="E25" s="85">
        <v>28.026199999999999</v>
      </c>
      <c r="F25" s="156" t="s">
        <v>205</v>
      </c>
      <c r="G25" s="85">
        <v>2.9</v>
      </c>
      <c r="H25" s="85">
        <v>13.029</v>
      </c>
      <c r="I25" s="8">
        <v>0.4</v>
      </c>
      <c r="J25" s="8">
        <v>589.6</v>
      </c>
      <c r="K25" s="8">
        <v>1.69</v>
      </c>
      <c r="L25" s="8">
        <v>0.02</v>
      </c>
      <c r="M25" s="84">
        <v>0.16314999999999999</v>
      </c>
      <c r="N25" s="84">
        <v>0.16642000000000001</v>
      </c>
      <c r="O25" s="8" t="s">
        <v>206</v>
      </c>
      <c r="P25" s="163">
        <f t="shared" si="0"/>
        <v>3.5953917114046918</v>
      </c>
    </row>
    <row r="26" spans="1:16" x14ac:dyDescent="0.25">
      <c r="A26" s="8">
        <v>25</v>
      </c>
      <c r="B26" s="8">
        <v>6.67</v>
      </c>
      <c r="C26" s="153">
        <v>17.5716</v>
      </c>
      <c r="D26" s="85">
        <v>242.60130000000001</v>
      </c>
      <c r="E26" s="85">
        <v>43.817599999999999</v>
      </c>
      <c r="F26" s="156" t="s">
        <v>357</v>
      </c>
      <c r="G26" s="85">
        <v>4.6399999999999997</v>
      </c>
      <c r="H26" s="85">
        <v>13.113</v>
      </c>
      <c r="I26" s="8">
        <v>0.4</v>
      </c>
      <c r="J26" s="8">
        <v>1773.4</v>
      </c>
      <c r="K26" s="8">
        <v>2.77</v>
      </c>
      <c r="L26" s="8">
        <v>0.37</v>
      </c>
      <c r="M26" s="84">
        <v>0.15764</v>
      </c>
      <c r="N26" s="84">
        <v>0.21597</v>
      </c>
      <c r="O26" s="8" t="s">
        <v>296</v>
      </c>
      <c r="P26" s="163">
        <f t="shared" si="0"/>
        <v>3.4739266685328358</v>
      </c>
    </row>
    <row r="27" spans="1:16" x14ac:dyDescent="0.25">
      <c r="A27" s="8">
        <v>26</v>
      </c>
      <c r="B27" s="8">
        <v>9.0570000000000004</v>
      </c>
      <c r="C27" s="153">
        <v>15.865500000000001</v>
      </c>
      <c r="D27" s="85">
        <v>196.23949999999999</v>
      </c>
      <c r="E27" s="85">
        <v>-52.442900000000002</v>
      </c>
      <c r="F27" s="156" t="s">
        <v>636</v>
      </c>
      <c r="G27" s="85">
        <v>0.71</v>
      </c>
      <c r="H27" s="85">
        <v>12.79</v>
      </c>
      <c r="I27" s="8">
        <v>0.4</v>
      </c>
      <c r="J27" s="8">
        <v>1657</v>
      </c>
      <c r="K27" s="8">
        <v>2.4300000000000002</v>
      </c>
      <c r="L27" s="8">
        <v>0.32</v>
      </c>
      <c r="M27" s="84">
        <v>0.15315999999999999</v>
      </c>
      <c r="N27" s="84">
        <v>0.20218</v>
      </c>
      <c r="O27" s="8" t="s">
        <v>637</v>
      </c>
      <c r="P27" s="163">
        <f t="shared" si="0"/>
        <v>3.3752402872332263</v>
      </c>
    </row>
    <row r="28" spans="1:16" x14ac:dyDescent="0.25">
      <c r="A28" s="8">
        <v>27</v>
      </c>
      <c r="B28" s="8">
        <v>5.04</v>
      </c>
      <c r="C28" s="153">
        <v>14.0627</v>
      </c>
      <c r="D28" s="85">
        <v>164.86660000000001</v>
      </c>
      <c r="E28" s="85">
        <v>40.430300000000003</v>
      </c>
      <c r="F28" s="156" t="s">
        <v>252</v>
      </c>
      <c r="G28" s="85">
        <v>2.5299999999999998</v>
      </c>
      <c r="H28" s="85">
        <v>12.989000000000001</v>
      </c>
      <c r="I28" s="8">
        <v>0.4</v>
      </c>
      <c r="J28" s="8">
        <v>1078</v>
      </c>
      <c r="K28" s="8">
        <v>2.1</v>
      </c>
      <c r="L28" s="8">
        <v>0.03</v>
      </c>
      <c r="M28" s="84">
        <v>0.14932999999999999</v>
      </c>
      <c r="N28" s="84">
        <v>0.15381</v>
      </c>
      <c r="O28" s="8" t="s">
        <v>253</v>
      </c>
      <c r="P28" s="163">
        <f t="shared" si="0"/>
        <v>3.2908096994500142</v>
      </c>
    </row>
    <row r="29" spans="1:16" x14ac:dyDescent="0.25">
      <c r="A29" s="8">
        <v>28</v>
      </c>
      <c r="B29" s="8">
        <v>3.22</v>
      </c>
      <c r="C29" s="153">
        <v>14.102399999999999</v>
      </c>
      <c r="D29" s="85">
        <v>354.83690000000001</v>
      </c>
      <c r="E29" s="85">
        <v>77.632300000000001</v>
      </c>
      <c r="F29" s="156" t="s">
        <v>211</v>
      </c>
      <c r="G29" s="85">
        <v>1.85</v>
      </c>
      <c r="H29" s="85">
        <v>12.933999999999999</v>
      </c>
      <c r="I29" s="8">
        <v>0.4</v>
      </c>
      <c r="J29" s="8">
        <v>903.3</v>
      </c>
      <c r="K29" s="8">
        <v>2.0499999999999998</v>
      </c>
      <c r="L29" s="8">
        <v>0.05</v>
      </c>
      <c r="M29" s="84">
        <v>0.14537</v>
      </c>
      <c r="N29" s="84">
        <v>0.15262999999999999</v>
      </c>
      <c r="O29" s="8" t="s">
        <v>212</v>
      </c>
      <c r="P29" s="163">
        <f t="shared" si="0"/>
        <v>3.2034136235822817</v>
      </c>
    </row>
    <row r="30" spans="1:16" x14ac:dyDescent="0.25">
      <c r="A30" s="8">
        <v>29</v>
      </c>
      <c r="B30" s="8">
        <v>5.7229999999999999</v>
      </c>
      <c r="C30" s="153">
        <v>8.9110999999999994</v>
      </c>
      <c r="D30" s="85">
        <v>303.82249999999999</v>
      </c>
      <c r="E30" s="85">
        <v>-27.033000000000001</v>
      </c>
      <c r="F30" s="156" t="s">
        <v>289</v>
      </c>
      <c r="G30" s="85">
        <v>7.4999999999999997E-2</v>
      </c>
      <c r="H30" s="85">
        <v>9.673</v>
      </c>
      <c r="I30" s="8">
        <v>0.4</v>
      </c>
      <c r="J30" s="8">
        <v>525.79999999999995</v>
      </c>
      <c r="K30" s="8">
        <v>1.18</v>
      </c>
      <c r="L30" s="8">
        <v>0.32</v>
      </c>
      <c r="M30" s="84">
        <v>0.13242000000000001</v>
      </c>
      <c r="N30" s="84">
        <v>0.17479</v>
      </c>
      <c r="O30" s="8" t="s">
        <v>288</v>
      </c>
      <c r="P30" s="163">
        <f t="shared" si="0"/>
        <v>2.9181181779887013</v>
      </c>
    </row>
    <row r="31" spans="1:16" x14ac:dyDescent="0.25">
      <c r="A31" s="8">
        <v>30</v>
      </c>
      <c r="B31" s="8">
        <v>3.3090000000000002</v>
      </c>
      <c r="C31" s="153">
        <v>46.210700000000003</v>
      </c>
      <c r="D31" s="85">
        <v>269.75659999999999</v>
      </c>
      <c r="E31" s="85">
        <v>-9.7736000000000001</v>
      </c>
      <c r="F31" s="156" t="s">
        <v>213</v>
      </c>
      <c r="G31" s="85">
        <v>27</v>
      </c>
      <c r="H31" s="85">
        <v>11.419</v>
      </c>
      <c r="I31" s="8">
        <v>0.4</v>
      </c>
      <c r="J31" s="8">
        <v>3186</v>
      </c>
      <c r="K31" s="8">
        <v>6.1</v>
      </c>
      <c r="L31" s="8">
        <v>0.18</v>
      </c>
      <c r="M31" s="84">
        <v>0.13200000000000001</v>
      </c>
      <c r="N31" s="84">
        <v>0.15576000000000001</v>
      </c>
      <c r="O31" s="8" t="s">
        <v>214</v>
      </c>
      <c r="P31" s="163">
        <f t="shared" si="0"/>
        <v>2.9089715494543764</v>
      </c>
    </row>
    <row r="32" spans="1:16" x14ac:dyDescent="0.25">
      <c r="A32" s="8">
        <v>31</v>
      </c>
      <c r="B32" s="8">
        <v>7.48</v>
      </c>
      <c r="C32" s="153">
        <v>38.925699999999999</v>
      </c>
      <c r="D32" s="85">
        <v>18.622199999999999</v>
      </c>
      <c r="E32" s="85">
        <v>-5.0473999999999997</v>
      </c>
      <c r="F32" s="156" t="s">
        <v>437</v>
      </c>
      <c r="G32" s="85">
        <v>2</v>
      </c>
      <c r="H32" s="85">
        <v>12.945</v>
      </c>
      <c r="I32" s="8">
        <v>0.4</v>
      </c>
      <c r="J32" s="8">
        <v>4046</v>
      </c>
      <c r="K32" s="8">
        <v>4.96</v>
      </c>
      <c r="L32" s="8">
        <v>0.53</v>
      </c>
      <c r="M32" s="84">
        <v>0.12742000000000001</v>
      </c>
      <c r="N32" s="84">
        <v>0.19495999999999999</v>
      </c>
      <c r="O32" s="8" t="s">
        <v>364</v>
      </c>
      <c r="P32" s="163">
        <f t="shared" si="0"/>
        <v>2.808002119543012</v>
      </c>
    </row>
    <row r="33" spans="1:16" x14ac:dyDescent="0.25">
      <c r="A33" s="8">
        <v>32</v>
      </c>
      <c r="B33" s="8">
        <v>7.35</v>
      </c>
      <c r="C33" s="153">
        <v>35.186500000000002</v>
      </c>
      <c r="D33" s="85">
        <v>183.7774</v>
      </c>
      <c r="E33" s="85">
        <v>-7.2572999999999999</v>
      </c>
      <c r="F33" s="156" t="s">
        <v>417</v>
      </c>
      <c r="G33" s="85">
        <v>9.33</v>
      </c>
      <c r="H33" s="85">
        <v>12.824999999999999</v>
      </c>
      <c r="I33" s="8">
        <v>0.4</v>
      </c>
      <c r="J33" s="8">
        <v>3567</v>
      </c>
      <c r="K33" s="8">
        <v>4.43</v>
      </c>
      <c r="L33" s="8">
        <v>0.6</v>
      </c>
      <c r="M33" s="84">
        <v>0.12590000000000001</v>
      </c>
      <c r="N33" s="84">
        <v>0.20144000000000001</v>
      </c>
      <c r="O33" s="8" t="s">
        <v>337</v>
      </c>
      <c r="P33" s="163">
        <f t="shared" si="0"/>
        <v>2.7744687816934492</v>
      </c>
    </row>
    <row r="34" spans="1:16" x14ac:dyDescent="0.25">
      <c r="A34" s="8">
        <v>33</v>
      </c>
      <c r="B34" s="8">
        <v>5.25</v>
      </c>
      <c r="C34" s="153">
        <v>14.8721</v>
      </c>
      <c r="D34" s="85">
        <v>284.25670000000002</v>
      </c>
      <c r="E34" s="85">
        <v>32.901299999999999</v>
      </c>
      <c r="F34" s="156" t="s">
        <v>262</v>
      </c>
      <c r="G34" s="85">
        <v>1.5</v>
      </c>
      <c r="H34" s="85">
        <v>12.909000000000001</v>
      </c>
      <c r="I34" s="8">
        <v>0.4</v>
      </c>
      <c r="J34" s="8">
        <v>1016</v>
      </c>
      <c r="K34" s="8">
        <v>1.76</v>
      </c>
      <c r="L34" s="8">
        <v>0</v>
      </c>
      <c r="M34" s="84">
        <v>0.11834</v>
      </c>
      <c r="N34" s="84">
        <v>0.11834</v>
      </c>
      <c r="O34" s="8" t="s">
        <v>263</v>
      </c>
      <c r="P34" s="163">
        <f t="shared" si="0"/>
        <v>2.6079097429927769</v>
      </c>
    </row>
    <row r="35" spans="1:16" x14ac:dyDescent="0.25">
      <c r="A35" s="8">
        <v>34</v>
      </c>
      <c r="B35" s="8">
        <v>7.18</v>
      </c>
      <c r="C35" s="153">
        <v>28.066199999999998</v>
      </c>
      <c r="D35" s="85">
        <v>125.3672</v>
      </c>
      <c r="E35" s="85">
        <v>-39.705399999999997</v>
      </c>
      <c r="F35" s="156" t="s">
        <v>399</v>
      </c>
      <c r="G35" s="85">
        <v>2</v>
      </c>
      <c r="H35" s="85">
        <v>12.945</v>
      </c>
      <c r="I35" s="8">
        <v>0.4</v>
      </c>
      <c r="J35" s="8">
        <v>2231</v>
      </c>
      <c r="K35" s="8">
        <v>3.3</v>
      </c>
      <c r="L35" s="8">
        <v>0.1</v>
      </c>
      <c r="M35" s="84">
        <v>0.11758</v>
      </c>
      <c r="N35" s="84">
        <v>0.12934000000000001</v>
      </c>
      <c r="O35" s="8" t="s">
        <v>400</v>
      </c>
      <c r="P35" s="163">
        <f t="shared" si="0"/>
        <v>2.5910900715604681</v>
      </c>
    </row>
    <row r="36" spans="1:16" x14ac:dyDescent="0.25">
      <c r="A36" s="8">
        <v>35</v>
      </c>
      <c r="B36" s="8">
        <v>7.6</v>
      </c>
      <c r="C36" s="153">
        <v>44.228200000000001</v>
      </c>
      <c r="D36" s="85">
        <v>34.197400000000002</v>
      </c>
      <c r="E36" s="85">
        <v>43.773000000000003</v>
      </c>
      <c r="F36" s="156" t="s">
        <v>454</v>
      </c>
      <c r="G36" s="85">
        <v>1.88</v>
      </c>
      <c r="H36" s="85">
        <v>12.936</v>
      </c>
      <c r="I36" s="8">
        <v>0.4</v>
      </c>
      <c r="J36" s="8">
        <v>4218</v>
      </c>
      <c r="K36" s="8">
        <v>5.15</v>
      </c>
      <c r="L36" s="8">
        <v>0.02</v>
      </c>
      <c r="M36" s="84">
        <v>0.11644</v>
      </c>
      <c r="N36" s="84">
        <v>0.11877</v>
      </c>
      <c r="O36" s="8" t="s">
        <v>331</v>
      </c>
      <c r="P36" s="163">
        <f t="shared" si="0"/>
        <v>2.566020668954228</v>
      </c>
    </row>
    <row r="37" spans="1:16" x14ac:dyDescent="0.25">
      <c r="A37" s="8">
        <v>36</v>
      </c>
      <c r="B37" s="8">
        <v>5.52</v>
      </c>
      <c r="C37" s="153">
        <v>17.433800000000002</v>
      </c>
      <c r="D37" s="85">
        <v>25.6221</v>
      </c>
      <c r="E37" s="85">
        <v>-53.7408</v>
      </c>
      <c r="F37" s="156" t="s">
        <v>275</v>
      </c>
      <c r="G37" s="85">
        <v>0.93</v>
      </c>
      <c r="H37" s="85">
        <v>12.829000000000001</v>
      </c>
      <c r="I37" s="8">
        <v>0.4</v>
      </c>
      <c r="J37" s="8">
        <v>1003</v>
      </c>
      <c r="K37" s="8">
        <v>2.0299999999999998</v>
      </c>
      <c r="L37" s="8">
        <v>0.1</v>
      </c>
      <c r="M37" s="84">
        <v>0.11644</v>
      </c>
      <c r="N37" s="84">
        <v>0.12808</v>
      </c>
      <c r="O37" s="8" t="s">
        <v>223</v>
      </c>
      <c r="P37" s="163">
        <f t="shared" si="0"/>
        <v>2.5659971191081223</v>
      </c>
    </row>
    <row r="38" spans="1:16" x14ac:dyDescent="0.25">
      <c r="A38" s="8">
        <v>37</v>
      </c>
      <c r="B38" s="8">
        <v>7.25</v>
      </c>
      <c r="C38" s="153">
        <v>33.046900000000001</v>
      </c>
      <c r="D38" s="85">
        <v>202.33799999999999</v>
      </c>
      <c r="E38" s="85">
        <v>-35.570999999999998</v>
      </c>
      <c r="F38" s="156" t="s">
        <v>408</v>
      </c>
      <c r="G38" s="85">
        <v>2.06</v>
      </c>
      <c r="H38" s="85">
        <v>12.949</v>
      </c>
      <c r="I38" s="8">
        <v>0.4</v>
      </c>
      <c r="J38" s="8">
        <v>2627.1</v>
      </c>
      <c r="K38" s="8">
        <v>3.78</v>
      </c>
      <c r="L38" s="8">
        <v>0.16</v>
      </c>
      <c r="M38" s="84">
        <v>0.11438</v>
      </c>
      <c r="N38" s="84">
        <v>0.13267999999999999</v>
      </c>
      <c r="O38" s="8" t="s">
        <v>286</v>
      </c>
      <c r="P38" s="163">
        <f t="shared" si="0"/>
        <v>2.5206541372661362</v>
      </c>
    </row>
    <row r="39" spans="1:16" x14ac:dyDescent="0.25">
      <c r="A39" s="8">
        <v>38</v>
      </c>
      <c r="B39" s="8">
        <v>8.3800000000000008</v>
      </c>
      <c r="C39" s="153">
        <v>26.759399999999999</v>
      </c>
      <c r="D39" s="85">
        <v>291.28989999999999</v>
      </c>
      <c r="E39" s="85">
        <v>-66.468800000000002</v>
      </c>
      <c r="F39" s="156" t="s">
        <v>585</v>
      </c>
      <c r="G39" s="85">
        <v>0.54</v>
      </c>
      <c r="H39" s="85">
        <v>12.659000000000001</v>
      </c>
      <c r="I39" s="8">
        <v>0.4</v>
      </c>
      <c r="J39" s="8">
        <v>2172</v>
      </c>
      <c r="K39" s="8">
        <v>3</v>
      </c>
      <c r="L39" s="8">
        <v>0.48</v>
      </c>
      <c r="M39" s="84">
        <v>0.11211</v>
      </c>
      <c r="N39" s="84">
        <v>0.16592000000000001</v>
      </c>
      <c r="O39" s="8" t="s">
        <v>586</v>
      </c>
      <c r="P39" s="163">
        <f t="shared" si="0"/>
        <v>2.470569463999071</v>
      </c>
    </row>
    <row r="40" spans="1:16" x14ac:dyDescent="0.25">
      <c r="A40" s="8">
        <v>39</v>
      </c>
      <c r="B40" s="8">
        <v>9.6549999999999994</v>
      </c>
      <c r="C40" s="153">
        <v>10.3445</v>
      </c>
      <c r="D40" s="85">
        <v>254.5369</v>
      </c>
      <c r="E40" s="85">
        <v>25.744199999999999</v>
      </c>
      <c r="F40" s="156" t="s">
        <v>653</v>
      </c>
      <c r="G40" s="85">
        <v>0.32800000000000001</v>
      </c>
      <c r="H40" s="85">
        <v>12.262</v>
      </c>
      <c r="I40" s="8">
        <v>0.4</v>
      </c>
      <c r="J40" s="8">
        <v>598.29999999999995</v>
      </c>
      <c r="K40" s="8">
        <v>1.1399999999999999</v>
      </c>
      <c r="L40" s="8">
        <v>0.3</v>
      </c>
      <c r="M40" s="84">
        <v>0.11020000000000001</v>
      </c>
      <c r="N40" s="84">
        <v>0.14326</v>
      </c>
      <c r="O40" s="8" t="s">
        <v>654</v>
      </c>
      <c r="P40" s="163">
        <f t="shared" si="0"/>
        <v>2.4285527068177255</v>
      </c>
    </row>
    <row r="41" spans="1:16" x14ac:dyDescent="0.25">
      <c r="A41" s="8">
        <v>40</v>
      </c>
      <c r="B41" s="8">
        <v>7.4459999999999997</v>
      </c>
      <c r="C41" s="153">
        <v>16.5017</v>
      </c>
      <c r="D41" s="85">
        <v>219.00229999999999</v>
      </c>
      <c r="E41" s="85">
        <v>9.7464999999999993</v>
      </c>
      <c r="F41" s="156" t="s">
        <v>428</v>
      </c>
      <c r="G41" s="85">
        <v>3.21</v>
      </c>
      <c r="H41" s="85">
        <v>13.061999999999999</v>
      </c>
      <c r="I41" s="8">
        <v>0.4</v>
      </c>
      <c r="J41" s="8">
        <v>919</v>
      </c>
      <c r="K41" s="8">
        <v>1.76</v>
      </c>
      <c r="L41" s="8">
        <v>0.17</v>
      </c>
      <c r="M41" s="84">
        <v>0.10666</v>
      </c>
      <c r="N41" s="84">
        <v>0.12479</v>
      </c>
      <c r="O41" s="8" t="s">
        <v>429</v>
      </c>
      <c r="P41" s="163">
        <f t="shared" si="0"/>
        <v>2.3503696279027544</v>
      </c>
    </row>
    <row r="42" spans="1:16" x14ac:dyDescent="0.25">
      <c r="A42" s="8">
        <v>41</v>
      </c>
      <c r="B42" s="8">
        <v>7.52</v>
      </c>
      <c r="C42" s="153">
        <v>46.598300000000002</v>
      </c>
      <c r="D42" s="85">
        <v>57.595700000000001</v>
      </c>
      <c r="E42" s="85">
        <v>17.476400000000002</v>
      </c>
      <c r="F42" s="156" t="s">
        <v>444</v>
      </c>
      <c r="G42" s="85">
        <v>4.01</v>
      </c>
      <c r="H42" s="85">
        <v>13.134</v>
      </c>
      <c r="I42" s="8">
        <v>0.4</v>
      </c>
      <c r="J42" s="8">
        <v>3668</v>
      </c>
      <c r="K42" s="8">
        <v>4.92</v>
      </c>
      <c r="L42" s="8">
        <v>0.04</v>
      </c>
      <c r="M42" s="84">
        <v>0.10557999999999999</v>
      </c>
      <c r="N42" s="84">
        <v>0.10981</v>
      </c>
      <c r="O42" s="8" t="s">
        <v>331</v>
      </c>
      <c r="P42" s="163">
        <f t="shared" si="0"/>
        <v>2.3267365694563158</v>
      </c>
    </row>
    <row r="43" spans="1:16" x14ac:dyDescent="0.25">
      <c r="A43" s="8">
        <v>42</v>
      </c>
      <c r="B43" s="8">
        <v>7.12</v>
      </c>
      <c r="C43" s="153">
        <v>49.067700000000002</v>
      </c>
      <c r="D43" s="85">
        <v>354.50130000000001</v>
      </c>
      <c r="E43" s="85">
        <v>48.996499999999997</v>
      </c>
      <c r="F43" s="156" t="s">
        <v>392</v>
      </c>
      <c r="G43" s="85">
        <v>1.9</v>
      </c>
      <c r="H43" s="85">
        <v>12.938000000000001</v>
      </c>
      <c r="I43" s="8">
        <v>0.4</v>
      </c>
      <c r="J43" s="8">
        <v>3999</v>
      </c>
      <c r="K43" s="8">
        <v>5.0999999999999996</v>
      </c>
      <c r="L43" s="8">
        <v>0.16</v>
      </c>
      <c r="M43" s="84">
        <v>0.10394</v>
      </c>
      <c r="N43" s="84">
        <v>0.12057</v>
      </c>
      <c r="O43" s="8" t="s">
        <v>331</v>
      </c>
      <c r="P43" s="163">
        <f t="shared" si="0"/>
        <v>2.2904808270082442</v>
      </c>
    </row>
    <row r="44" spans="1:16" x14ac:dyDescent="0.25">
      <c r="A44" s="8">
        <v>43</v>
      </c>
      <c r="B44" s="8">
        <v>5.3760000000000003</v>
      </c>
      <c r="C44" s="153">
        <v>12.777900000000001</v>
      </c>
      <c r="D44" s="85">
        <v>246.00540000000001</v>
      </c>
      <c r="E44" s="85">
        <v>-39.192999999999998</v>
      </c>
      <c r="F44" s="156" t="s">
        <v>265</v>
      </c>
      <c r="G44" s="85">
        <v>1.21</v>
      </c>
      <c r="H44" s="85">
        <v>12.872999999999999</v>
      </c>
      <c r="I44" s="8">
        <v>0.4</v>
      </c>
      <c r="J44" s="8">
        <v>528.4</v>
      </c>
      <c r="K44" s="8">
        <v>1.32</v>
      </c>
      <c r="L44" s="8">
        <v>0.26</v>
      </c>
      <c r="M44" s="84">
        <v>0.1033</v>
      </c>
      <c r="N44" s="84">
        <v>0.13016</v>
      </c>
      <c r="O44" s="8" t="s">
        <v>266</v>
      </c>
      <c r="P44" s="163">
        <f t="shared" si="0"/>
        <v>2.2764946404786515</v>
      </c>
    </row>
    <row r="45" spans="1:16" x14ac:dyDescent="0.25">
      <c r="A45" s="8">
        <v>44</v>
      </c>
      <c r="B45" s="8">
        <v>7.03</v>
      </c>
      <c r="C45" s="153">
        <v>32.362499999999997</v>
      </c>
      <c r="D45" s="85">
        <v>154.58869999999999</v>
      </c>
      <c r="E45" s="85">
        <v>12.6211</v>
      </c>
      <c r="F45" s="156" t="s">
        <v>388</v>
      </c>
      <c r="G45" s="85">
        <v>2</v>
      </c>
      <c r="H45" s="85">
        <v>12.945</v>
      </c>
      <c r="I45" s="8">
        <v>0.4</v>
      </c>
      <c r="J45" s="8">
        <v>2199</v>
      </c>
      <c r="K45" s="8">
        <v>3.34</v>
      </c>
      <c r="L45" s="8">
        <v>0.25</v>
      </c>
      <c r="M45" s="84">
        <v>0.10321</v>
      </c>
      <c r="N45" s="84">
        <v>0.12901000000000001</v>
      </c>
      <c r="O45" s="8" t="s">
        <v>282</v>
      </c>
      <c r="P45" s="163">
        <f t="shared" si="0"/>
        <v>2.2743462830939998</v>
      </c>
    </row>
    <row r="46" spans="1:16" x14ac:dyDescent="0.25">
      <c r="A46" s="8">
        <v>45</v>
      </c>
      <c r="B46" s="8">
        <v>7.83</v>
      </c>
      <c r="C46" s="153">
        <v>48.262500000000003</v>
      </c>
      <c r="D46" s="85">
        <v>296.74209999999999</v>
      </c>
      <c r="E46" s="85">
        <v>34.419499999999999</v>
      </c>
      <c r="F46" s="156" t="s">
        <v>493</v>
      </c>
      <c r="G46" s="85">
        <v>1.99</v>
      </c>
      <c r="H46" s="85">
        <v>12.944000000000001</v>
      </c>
      <c r="I46" s="8">
        <v>0.4</v>
      </c>
      <c r="J46" s="8">
        <v>3810</v>
      </c>
      <c r="K46" s="8">
        <v>4.8899999999999997</v>
      </c>
      <c r="L46" s="8">
        <v>0.25</v>
      </c>
      <c r="M46" s="84">
        <v>0.10131999999999999</v>
      </c>
      <c r="N46" s="84">
        <v>0.12665000000000001</v>
      </c>
      <c r="O46" s="8" t="s">
        <v>337</v>
      </c>
      <c r="P46" s="163">
        <f t="shared" si="0"/>
        <v>2.2328072337601008</v>
      </c>
    </row>
    <row r="47" spans="1:16" x14ac:dyDescent="0.25">
      <c r="A47" s="8">
        <v>46</v>
      </c>
      <c r="B47" s="8">
        <v>5.9109999999999996</v>
      </c>
      <c r="C47" s="153">
        <v>36.603200000000001</v>
      </c>
      <c r="D47" s="85">
        <v>276.95620000000002</v>
      </c>
      <c r="E47" s="85">
        <v>-29.8169</v>
      </c>
      <c r="F47" s="156" t="s">
        <v>297</v>
      </c>
      <c r="G47" s="85">
        <v>4.04</v>
      </c>
      <c r="H47" s="85">
        <v>13.132999999999999</v>
      </c>
      <c r="I47" s="8">
        <v>0.4</v>
      </c>
      <c r="J47" s="8">
        <v>2102</v>
      </c>
      <c r="K47" s="8">
        <v>3.6</v>
      </c>
      <c r="L47" s="8">
        <v>0.33</v>
      </c>
      <c r="M47" s="84">
        <v>9.8351999999999995E-2</v>
      </c>
      <c r="N47" s="84">
        <v>0.13081000000000001</v>
      </c>
      <c r="O47" s="8" t="s">
        <v>284</v>
      </c>
      <c r="P47" s="163">
        <f t="shared" si="0"/>
        <v>2.1673828467982053</v>
      </c>
    </row>
    <row r="48" spans="1:16" x14ac:dyDescent="0.25">
      <c r="A48" s="8">
        <v>47</v>
      </c>
      <c r="B48" s="8">
        <v>7.1</v>
      </c>
      <c r="C48" s="153">
        <v>50.890599999999999</v>
      </c>
      <c r="D48" s="85">
        <v>351.61439999999999</v>
      </c>
      <c r="E48" s="85">
        <v>8.6438000000000006</v>
      </c>
      <c r="F48" s="156" t="s">
        <v>389</v>
      </c>
      <c r="G48" s="85">
        <v>1.45</v>
      </c>
      <c r="H48" s="85">
        <v>12.906000000000001</v>
      </c>
      <c r="I48" s="8">
        <v>0.4</v>
      </c>
      <c r="J48" s="8">
        <v>3724.7</v>
      </c>
      <c r="K48" s="8">
        <v>4.9400000000000004</v>
      </c>
      <c r="L48" s="8">
        <v>0.51</v>
      </c>
      <c r="M48" s="84">
        <v>9.7071000000000005E-2</v>
      </c>
      <c r="N48" s="84">
        <v>0.14657999999999999</v>
      </c>
      <c r="O48" s="8" t="s">
        <v>331</v>
      </c>
      <c r="P48" s="163">
        <f t="shared" si="0"/>
        <v>2.139151599599844</v>
      </c>
    </row>
    <row r="49" spans="1:16" x14ac:dyDescent="0.25">
      <c r="A49" s="8">
        <v>48</v>
      </c>
      <c r="B49" s="8">
        <v>5.15</v>
      </c>
      <c r="C49" s="153">
        <v>15.511100000000001</v>
      </c>
      <c r="D49" s="85">
        <v>266.03629999999998</v>
      </c>
      <c r="E49" s="85">
        <v>-51.834099999999999</v>
      </c>
      <c r="F49" s="156" t="s">
        <v>258</v>
      </c>
      <c r="G49" s="85">
        <v>1.6759999999999999</v>
      </c>
      <c r="H49" s="85">
        <v>12.922000000000001</v>
      </c>
      <c r="I49" s="8">
        <v>0.4</v>
      </c>
      <c r="J49" s="8">
        <v>643.20000000000005</v>
      </c>
      <c r="K49" s="8">
        <v>1.5</v>
      </c>
      <c r="L49" s="8">
        <v>0.13</v>
      </c>
      <c r="M49" s="84">
        <v>9.6704999999999999E-2</v>
      </c>
      <c r="N49" s="84">
        <v>0.10928</v>
      </c>
      <c r="O49" s="8" t="s">
        <v>259</v>
      </c>
      <c r="P49" s="163">
        <f t="shared" si="0"/>
        <v>2.1310853683793129</v>
      </c>
    </row>
    <row r="50" spans="1:16" x14ac:dyDescent="0.25">
      <c r="A50" s="8">
        <v>49</v>
      </c>
      <c r="B50" s="8">
        <v>3.95</v>
      </c>
      <c r="C50" s="153">
        <v>19.751100000000001</v>
      </c>
      <c r="D50" s="85">
        <v>99.171000000000006</v>
      </c>
      <c r="E50" s="85">
        <v>-19.2559</v>
      </c>
      <c r="F50" s="156" t="s">
        <v>220</v>
      </c>
      <c r="G50" s="85">
        <v>2.6</v>
      </c>
      <c r="H50" s="85">
        <v>12.997</v>
      </c>
      <c r="I50" s="8">
        <v>0.4</v>
      </c>
      <c r="J50" s="8">
        <v>763</v>
      </c>
      <c r="K50" s="8">
        <v>1.9</v>
      </c>
      <c r="L50" s="8">
        <v>0.14000000000000001</v>
      </c>
      <c r="M50" s="84">
        <v>9.6197000000000005E-2</v>
      </c>
      <c r="N50" s="84">
        <v>0.10965999999999999</v>
      </c>
      <c r="O50" s="8" t="s">
        <v>221</v>
      </c>
      <c r="P50" s="163">
        <f t="shared" si="0"/>
        <v>2.1198957252740316</v>
      </c>
    </row>
    <row r="51" spans="1:16" x14ac:dyDescent="0.25">
      <c r="A51" s="8">
        <v>50</v>
      </c>
      <c r="B51" s="8">
        <v>6.42</v>
      </c>
      <c r="C51" s="153">
        <v>32.851500000000001</v>
      </c>
      <c r="D51" s="85">
        <v>29.29</v>
      </c>
      <c r="E51" s="85">
        <v>-10.2424</v>
      </c>
      <c r="F51" s="156" t="s">
        <v>332</v>
      </c>
      <c r="G51" s="85">
        <v>0.622</v>
      </c>
      <c r="H51" s="85">
        <v>12.747</v>
      </c>
      <c r="I51" s="8">
        <v>0.4</v>
      </c>
      <c r="J51" s="8">
        <v>1945</v>
      </c>
      <c r="K51" s="8">
        <v>3.16</v>
      </c>
      <c r="L51" s="8">
        <v>0.04</v>
      </c>
      <c r="M51" s="84">
        <v>9.6189999999999998E-2</v>
      </c>
      <c r="N51" s="84">
        <v>0.10004</v>
      </c>
      <c r="O51" s="8" t="s">
        <v>333</v>
      </c>
      <c r="P51" s="163">
        <f t="shared" si="0"/>
        <v>2.1197471712321616</v>
      </c>
    </row>
    <row r="52" spans="1:16" x14ac:dyDescent="0.25">
      <c r="A52" s="8">
        <v>51</v>
      </c>
      <c r="B52" s="8">
        <v>6.99</v>
      </c>
      <c r="C52" s="153">
        <v>22.119</v>
      </c>
      <c r="D52" s="85">
        <v>270.62860000000001</v>
      </c>
      <c r="E52" s="85">
        <v>26.312999999999999</v>
      </c>
      <c r="F52" s="156" t="s">
        <v>383</v>
      </c>
      <c r="G52" s="85">
        <v>0.36</v>
      </c>
      <c r="H52" s="85">
        <v>12.382999999999999</v>
      </c>
      <c r="I52" s="8">
        <v>0.4</v>
      </c>
      <c r="J52" s="8">
        <v>1155</v>
      </c>
      <c r="K52" s="8">
        <v>2.11</v>
      </c>
      <c r="L52" s="8">
        <v>0.05</v>
      </c>
      <c r="M52" s="84">
        <v>9.5393000000000006E-2</v>
      </c>
      <c r="N52" s="84">
        <v>0.10016</v>
      </c>
      <c r="O52" s="8" t="s">
        <v>296</v>
      </c>
      <c r="P52" s="163">
        <f t="shared" si="0"/>
        <v>2.1021763829967677</v>
      </c>
    </row>
    <row r="53" spans="1:16" x14ac:dyDescent="0.25">
      <c r="A53" s="8">
        <v>52</v>
      </c>
      <c r="B53" s="8">
        <v>8.48</v>
      </c>
      <c r="C53" s="153">
        <v>26.903400000000001</v>
      </c>
      <c r="D53" s="85">
        <v>323.09800000000001</v>
      </c>
      <c r="E53" s="85">
        <v>-20.9574</v>
      </c>
      <c r="F53" s="156" t="s">
        <v>596</v>
      </c>
      <c r="G53" s="85">
        <v>0.26600000000000001</v>
      </c>
      <c r="H53" s="85">
        <v>12.029</v>
      </c>
      <c r="I53" s="8">
        <v>0.4</v>
      </c>
      <c r="J53" s="8">
        <v>1733</v>
      </c>
      <c r="K53" s="8">
        <v>2.56</v>
      </c>
      <c r="L53" s="8">
        <v>0.37</v>
      </c>
      <c r="M53" s="84">
        <v>9.5155000000000003E-2</v>
      </c>
      <c r="N53" s="84">
        <v>0.13036</v>
      </c>
      <c r="O53" s="8" t="s">
        <v>446</v>
      </c>
      <c r="P53" s="163">
        <f t="shared" si="0"/>
        <v>2.0969350674169811</v>
      </c>
    </row>
    <row r="54" spans="1:16" x14ac:dyDescent="0.25">
      <c r="A54" s="8">
        <v>53</v>
      </c>
      <c r="B54" s="8">
        <v>7.47</v>
      </c>
      <c r="C54" s="153">
        <v>49.825600000000001</v>
      </c>
      <c r="D54" s="85">
        <v>128.51329999999999</v>
      </c>
      <c r="E54" s="85">
        <v>-1.5682</v>
      </c>
      <c r="F54" s="156" t="s">
        <v>436</v>
      </c>
      <c r="G54" s="85">
        <v>3.15</v>
      </c>
      <c r="H54" s="85">
        <v>13.055999999999999</v>
      </c>
      <c r="I54" s="8">
        <v>0.4</v>
      </c>
      <c r="J54" s="8">
        <v>3658</v>
      </c>
      <c r="K54" s="8">
        <v>4.74</v>
      </c>
      <c r="L54" s="8">
        <v>0.22</v>
      </c>
      <c r="M54" s="84">
        <v>9.5131999999999994E-2</v>
      </c>
      <c r="N54" s="84">
        <v>0.11606</v>
      </c>
      <c r="O54" s="8" t="s">
        <v>331</v>
      </c>
      <c r="P54" s="163">
        <f t="shared" si="0"/>
        <v>2.0964185337176078</v>
      </c>
    </row>
    <row r="55" spans="1:16" x14ac:dyDescent="0.25">
      <c r="A55" s="8">
        <v>54</v>
      </c>
      <c r="B55" s="8">
        <v>5.9379999999999997</v>
      </c>
      <c r="C55" s="153">
        <v>39.277299999999997</v>
      </c>
      <c r="D55" s="85">
        <v>86.645499999999998</v>
      </c>
      <c r="E55" s="85">
        <v>1.1681999999999999</v>
      </c>
      <c r="F55" s="156" t="s">
        <v>298</v>
      </c>
      <c r="G55" s="85">
        <v>17.7</v>
      </c>
      <c r="H55" s="85">
        <v>12.159000000000001</v>
      </c>
      <c r="I55" s="8">
        <v>0.4</v>
      </c>
      <c r="J55" s="8">
        <v>2134.8000000000002</v>
      </c>
      <c r="K55" s="8">
        <v>3.7</v>
      </c>
      <c r="L55" s="8">
        <v>0.36</v>
      </c>
      <c r="M55" s="84">
        <v>9.4201999999999994E-2</v>
      </c>
      <c r="N55" s="84">
        <v>0.12811</v>
      </c>
      <c r="O55" s="8" t="s">
        <v>249</v>
      </c>
      <c r="P55" s="163">
        <f t="shared" si="0"/>
        <v>2.0759279881362001</v>
      </c>
    </row>
    <row r="56" spans="1:16" x14ac:dyDescent="0.25">
      <c r="A56" s="8">
        <v>55</v>
      </c>
      <c r="B56" s="8">
        <v>6.2850000000000001</v>
      </c>
      <c r="C56" s="153">
        <v>24.2014</v>
      </c>
      <c r="D56" s="85">
        <v>227.68639999999999</v>
      </c>
      <c r="E56" s="85">
        <v>-61.4223</v>
      </c>
      <c r="F56" s="156" t="s">
        <v>318</v>
      </c>
      <c r="G56" s="85">
        <v>0.151</v>
      </c>
      <c r="H56" s="85">
        <v>11.324</v>
      </c>
      <c r="I56" s="8">
        <v>0.4</v>
      </c>
      <c r="J56" s="8">
        <v>1160.9000000000001</v>
      </c>
      <c r="K56" s="8">
        <v>2.23</v>
      </c>
      <c r="L56" s="8">
        <v>0.75</v>
      </c>
      <c r="M56" s="84">
        <v>9.2144000000000004E-2</v>
      </c>
      <c r="N56" s="84">
        <v>0.16125</v>
      </c>
      <c r="O56" s="8" t="s">
        <v>319</v>
      </c>
      <c r="P56" s="163">
        <f t="shared" si="0"/>
        <v>2.0305634250953655</v>
      </c>
    </row>
    <row r="57" spans="1:16" x14ac:dyDescent="0.25">
      <c r="A57" s="8">
        <v>56</v>
      </c>
      <c r="B57" s="8">
        <v>6.63</v>
      </c>
      <c r="C57" s="153">
        <v>38.022799999999997</v>
      </c>
      <c r="D57" s="85">
        <v>341.5335</v>
      </c>
      <c r="E57" s="85">
        <v>-48.9788</v>
      </c>
      <c r="F57" s="156" t="s">
        <v>355</v>
      </c>
      <c r="G57" s="85">
        <v>0.246</v>
      </c>
      <c r="H57" s="85">
        <v>11.952999999999999</v>
      </c>
      <c r="I57" s="8">
        <v>0.4</v>
      </c>
      <c r="J57" s="8">
        <v>2277</v>
      </c>
      <c r="K57" s="8">
        <v>3.39</v>
      </c>
      <c r="L57" s="8">
        <v>0.19</v>
      </c>
      <c r="M57" s="84">
        <v>8.9157E-2</v>
      </c>
      <c r="N57" s="84">
        <v>0.1061</v>
      </c>
      <c r="O57" s="8" t="s">
        <v>356</v>
      </c>
      <c r="P57" s="163">
        <f t="shared" si="0"/>
        <v>1.9647522239782054</v>
      </c>
    </row>
    <row r="58" spans="1:16" x14ac:dyDescent="0.25">
      <c r="A58" s="8">
        <v>57</v>
      </c>
      <c r="B58" s="8">
        <v>7.69</v>
      </c>
      <c r="C58" s="153">
        <v>34.328899999999997</v>
      </c>
      <c r="D58" s="85">
        <v>242.5626</v>
      </c>
      <c r="E58" s="85">
        <v>-84.2316</v>
      </c>
      <c r="F58" s="156" t="s">
        <v>467</v>
      </c>
      <c r="G58" s="85">
        <v>5.0999999999999996</v>
      </c>
      <c r="H58" s="85">
        <v>13.097</v>
      </c>
      <c r="I58" s="8">
        <v>0.4</v>
      </c>
      <c r="J58" s="8">
        <v>1928</v>
      </c>
      <c r="K58" s="8">
        <v>3.03</v>
      </c>
      <c r="L58" s="8">
        <v>0.53</v>
      </c>
      <c r="M58" s="84">
        <v>8.8263999999999995E-2</v>
      </c>
      <c r="N58" s="84">
        <v>0.13503999999999999</v>
      </c>
      <c r="O58" s="8" t="s">
        <v>468</v>
      </c>
      <c r="P58" s="163">
        <f t="shared" si="0"/>
        <v>1.9450686179891026</v>
      </c>
    </row>
    <row r="59" spans="1:16" x14ac:dyDescent="0.25">
      <c r="A59" s="8">
        <v>58</v>
      </c>
      <c r="B59" s="8">
        <v>7.32</v>
      </c>
      <c r="C59" s="153">
        <v>39.016800000000003</v>
      </c>
      <c r="D59" s="85">
        <v>24.473199999999999</v>
      </c>
      <c r="E59" s="85">
        <v>-60.511499999999998</v>
      </c>
      <c r="F59" s="156" t="s">
        <v>414</v>
      </c>
      <c r="G59" s="85">
        <v>0.20300000000000001</v>
      </c>
      <c r="H59" s="85">
        <v>11.69</v>
      </c>
      <c r="I59" s="8">
        <v>0.4</v>
      </c>
      <c r="J59" s="8">
        <v>2222</v>
      </c>
      <c r="K59" s="8">
        <v>3.4</v>
      </c>
      <c r="L59" s="8">
        <v>0.08</v>
      </c>
      <c r="M59" s="84">
        <v>8.7141999999999997E-2</v>
      </c>
      <c r="N59" s="84">
        <v>9.4113000000000002E-2</v>
      </c>
      <c r="O59" s="8" t="s">
        <v>253</v>
      </c>
      <c r="P59" s="163">
        <f t="shared" si="0"/>
        <v>1.9203458693928841</v>
      </c>
    </row>
    <row r="60" spans="1:16" x14ac:dyDescent="0.25">
      <c r="A60" s="8">
        <v>59</v>
      </c>
      <c r="B60" s="8">
        <v>5.77</v>
      </c>
      <c r="C60" s="153">
        <v>26.420100000000001</v>
      </c>
      <c r="D60" s="85">
        <v>72.151600000000002</v>
      </c>
      <c r="E60" s="85">
        <v>-5.6740000000000004</v>
      </c>
      <c r="F60" s="156" t="s">
        <v>291</v>
      </c>
      <c r="G60" s="85">
        <v>1.29</v>
      </c>
      <c r="H60" s="85">
        <v>12.885</v>
      </c>
      <c r="I60" s="8">
        <v>0.4</v>
      </c>
      <c r="J60" s="8">
        <v>1157</v>
      </c>
      <c r="K60" s="8">
        <v>2.2999999999999998</v>
      </c>
      <c r="L60" s="8">
        <v>0.76</v>
      </c>
      <c r="M60" s="84">
        <v>8.7054999999999993E-2</v>
      </c>
      <c r="N60" s="84">
        <v>0.15322</v>
      </c>
      <c r="O60" s="8" t="s">
        <v>255</v>
      </c>
      <c r="P60" s="163">
        <f t="shared" si="0"/>
        <v>1.9184282671697492</v>
      </c>
    </row>
    <row r="61" spans="1:16" x14ac:dyDescent="0.25">
      <c r="A61" s="8">
        <v>60</v>
      </c>
      <c r="B61" s="8">
        <v>8.69</v>
      </c>
      <c r="C61" s="153">
        <v>43.9754</v>
      </c>
      <c r="D61" s="85">
        <v>85.007199999999997</v>
      </c>
      <c r="E61" s="85">
        <v>6.0606</v>
      </c>
      <c r="F61" s="156" t="s">
        <v>610</v>
      </c>
      <c r="G61" s="85">
        <v>3.379</v>
      </c>
      <c r="H61" s="85">
        <v>13.08</v>
      </c>
      <c r="I61" s="8">
        <v>0.4</v>
      </c>
      <c r="J61" s="8">
        <v>2720</v>
      </c>
      <c r="K61" s="8">
        <v>3.82</v>
      </c>
      <c r="L61" s="8">
        <v>0.01</v>
      </c>
      <c r="M61" s="84">
        <v>8.6867E-2</v>
      </c>
      <c r="N61" s="84">
        <v>8.7734999999999994E-2</v>
      </c>
      <c r="O61" s="8" t="s">
        <v>343</v>
      </c>
      <c r="P61" s="163">
        <f t="shared" si="0"/>
        <v>1.9142812715522644</v>
      </c>
    </row>
    <row r="62" spans="1:16" x14ac:dyDescent="0.25">
      <c r="A62" s="8">
        <v>61</v>
      </c>
      <c r="B62" s="8">
        <v>6.0640000000000001</v>
      </c>
      <c r="C62" s="153">
        <v>26.745100000000001</v>
      </c>
      <c r="D62" s="85">
        <v>343.66449999999998</v>
      </c>
      <c r="E62" s="85">
        <v>-70.073700000000002</v>
      </c>
      <c r="F62" s="156" t="s">
        <v>310</v>
      </c>
      <c r="G62" s="85">
        <v>1.82</v>
      </c>
      <c r="H62" s="85">
        <v>12.932</v>
      </c>
      <c r="I62" s="8">
        <v>0.4</v>
      </c>
      <c r="J62" s="8">
        <v>1256</v>
      </c>
      <c r="K62" s="8">
        <v>2.3199999999999998</v>
      </c>
      <c r="L62" s="8">
        <v>0.28999999999999998</v>
      </c>
      <c r="M62" s="84">
        <v>8.6745000000000003E-2</v>
      </c>
      <c r="N62" s="84">
        <v>0.1119</v>
      </c>
      <c r="O62" s="8" t="s">
        <v>311</v>
      </c>
      <c r="P62" s="163">
        <f t="shared" si="0"/>
        <v>1.911595259376524</v>
      </c>
    </row>
    <row r="63" spans="1:16" x14ac:dyDescent="0.25">
      <c r="A63" s="8">
        <v>62</v>
      </c>
      <c r="B63" s="8">
        <v>4.7960000000000003</v>
      </c>
      <c r="C63" s="153">
        <v>30.4971</v>
      </c>
      <c r="D63" s="85">
        <v>237.80799999999999</v>
      </c>
      <c r="E63" s="85">
        <v>35.657400000000003</v>
      </c>
      <c r="F63" s="156" t="s">
        <v>242</v>
      </c>
      <c r="G63" s="85">
        <v>1.6</v>
      </c>
      <c r="H63" s="85">
        <v>12.916</v>
      </c>
      <c r="I63" s="8">
        <v>0.4</v>
      </c>
      <c r="J63" s="8">
        <v>1251</v>
      </c>
      <c r="K63" s="8">
        <v>2.6</v>
      </c>
      <c r="L63" s="8">
        <v>0.19</v>
      </c>
      <c r="M63" s="84">
        <v>8.5253999999999996E-2</v>
      </c>
      <c r="N63" s="84">
        <v>0.10145</v>
      </c>
      <c r="O63" s="8" t="s">
        <v>243</v>
      </c>
      <c r="P63" s="163">
        <f t="shared" si="0"/>
        <v>1.8787413332069334</v>
      </c>
    </row>
    <row r="64" spans="1:16" x14ac:dyDescent="0.25">
      <c r="A64" s="8">
        <v>63</v>
      </c>
      <c r="B64" s="8">
        <v>6.31</v>
      </c>
      <c r="C64" s="153">
        <v>36.061999999999998</v>
      </c>
      <c r="D64" s="85">
        <v>21.5366</v>
      </c>
      <c r="E64" s="85">
        <v>34.579700000000003</v>
      </c>
      <c r="F64" s="156" t="s">
        <v>323</v>
      </c>
      <c r="G64" s="85">
        <v>14.2</v>
      </c>
      <c r="H64" s="85">
        <v>12.438000000000001</v>
      </c>
      <c r="I64" s="8">
        <v>0.4</v>
      </c>
      <c r="J64" s="8">
        <v>1634</v>
      </c>
      <c r="K64" s="8">
        <v>3.02</v>
      </c>
      <c r="L64" s="8">
        <v>0.72</v>
      </c>
      <c r="M64" s="84">
        <v>8.3745E-2</v>
      </c>
      <c r="N64" s="84">
        <v>0.14404</v>
      </c>
      <c r="O64" s="8" t="s">
        <v>284</v>
      </c>
      <c r="P64" s="163">
        <f t="shared" si="0"/>
        <v>1.8454799019753843</v>
      </c>
    </row>
    <row r="65" spans="1:16" x14ac:dyDescent="0.25">
      <c r="A65" s="8">
        <v>64</v>
      </c>
      <c r="B65" s="8">
        <v>7.2</v>
      </c>
      <c r="C65" s="153">
        <v>46.125500000000002</v>
      </c>
      <c r="D65" s="85">
        <v>103.00839999999999</v>
      </c>
      <c r="E65" s="85">
        <v>-33.915599999999998</v>
      </c>
      <c r="F65" s="156" t="s">
        <v>402</v>
      </c>
      <c r="G65" s="85">
        <v>1.71</v>
      </c>
      <c r="H65" s="85">
        <v>12.923999999999999</v>
      </c>
      <c r="I65" s="8">
        <v>0.4</v>
      </c>
      <c r="J65" s="8">
        <v>2482.6999999999998</v>
      </c>
      <c r="K65" s="8">
        <v>3.86</v>
      </c>
      <c r="L65" s="8">
        <v>0.23</v>
      </c>
      <c r="M65" s="84">
        <v>8.3684999999999996E-2</v>
      </c>
      <c r="N65" s="84">
        <v>0.10292999999999999</v>
      </c>
      <c r="O65" s="8" t="s">
        <v>253</v>
      </c>
      <c r="P65" s="163">
        <f t="shared" si="0"/>
        <v>1.8441591754933517</v>
      </c>
    </row>
    <row r="66" spans="1:16" x14ac:dyDescent="0.25">
      <c r="A66" s="8">
        <v>65</v>
      </c>
      <c r="B66" s="8">
        <v>7.68</v>
      </c>
      <c r="C66" s="153">
        <v>33.67</v>
      </c>
      <c r="D66" s="85">
        <v>84.260400000000004</v>
      </c>
      <c r="E66" s="85">
        <v>20.730799999999999</v>
      </c>
      <c r="F66" s="156" t="s">
        <v>465</v>
      </c>
      <c r="G66" s="85">
        <v>0.69599999999999995</v>
      </c>
      <c r="H66" s="85">
        <v>12.787000000000001</v>
      </c>
      <c r="I66" s="8">
        <v>0.4</v>
      </c>
      <c r="J66" s="8">
        <v>1862</v>
      </c>
      <c r="K66" s="8">
        <v>2.81</v>
      </c>
      <c r="L66" s="8">
        <v>0.16</v>
      </c>
      <c r="M66" s="84">
        <v>8.3457000000000003E-2</v>
      </c>
      <c r="N66" s="84">
        <v>9.6809999999999993E-2</v>
      </c>
      <c r="O66" s="8" t="s">
        <v>466</v>
      </c>
      <c r="P66" s="163">
        <f t="shared" ref="P66:P129" si="1">(K66*AU)/(C66*pc)/FWHMsky</f>
        <v>1.8391425384315634</v>
      </c>
    </row>
    <row r="67" spans="1:16" x14ac:dyDescent="0.25">
      <c r="A67" s="8">
        <v>66</v>
      </c>
      <c r="B67" s="8">
        <v>8.02</v>
      </c>
      <c r="C67" s="153">
        <v>47.370899999999999</v>
      </c>
      <c r="D67" s="85">
        <v>322.05090000000001</v>
      </c>
      <c r="E67" s="85">
        <v>-21.726299999999998</v>
      </c>
      <c r="F67" s="156" t="s">
        <v>525</v>
      </c>
      <c r="G67" s="85">
        <v>1.68</v>
      </c>
      <c r="H67" s="85">
        <v>12.922000000000001</v>
      </c>
      <c r="I67" s="8">
        <v>0.4</v>
      </c>
      <c r="J67" s="8">
        <v>2831.6</v>
      </c>
      <c r="K67" s="8">
        <v>3.93</v>
      </c>
      <c r="L67" s="8">
        <v>0.28000000000000003</v>
      </c>
      <c r="M67" s="84">
        <v>8.2961999999999994E-2</v>
      </c>
      <c r="N67" s="84">
        <v>0.10619000000000001</v>
      </c>
      <c r="O67" s="8" t="s">
        <v>266</v>
      </c>
      <c r="P67" s="163">
        <f t="shared" si="1"/>
        <v>1.828239552859817</v>
      </c>
    </row>
    <row r="68" spans="1:16" x14ac:dyDescent="0.25">
      <c r="A68" s="8">
        <v>67</v>
      </c>
      <c r="B68" s="8">
        <v>6.84</v>
      </c>
      <c r="C68" s="153">
        <v>29.9133</v>
      </c>
      <c r="D68" s="85">
        <v>103.6784</v>
      </c>
      <c r="E68" s="85">
        <v>24.2456</v>
      </c>
      <c r="F68" s="156" t="s">
        <v>373</v>
      </c>
      <c r="G68" s="85">
        <v>5.16</v>
      </c>
      <c r="H68" s="85">
        <v>13.095000000000001</v>
      </c>
      <c r="I68" s="8">
        <v>0.4</v>
      </c>
      <c r="J68" s="8">
        <v>1293</v>
      </c>
      <c r="K68" s="8">
        <v>2.41</v>
      </c>
      <c r="L68" s="8">
        <v>0.5</v>
      </c>
      <c r="M68" s="84">
        <v>8.0565999999999999E-2</v>
      </c>
      <c r="N68" s="84">
        <v>0.12085</v>
      </c>
      <c r="O68" s="8" t="s">
        <v>255</v>
      </c>
      <c r="P68" s="163">
        <f t="shared" si="1"/>
        <v>1.7754355108596902</v>
      </c>
    </row>
    <row r="69" spans="1:16" x14ac:dyDescent="0.25">
      <c r="A69" s="8">
        <v>68</v>
      </c>
      <c r="B69" s="8">
        <v>6.03</v>
      </c>
      <c r="C69" s="153">
        <v>32.6158</v>
      </c>
      <c r="D69" s="85">
        <v>343.40800000000002</v>
      </c>
      <c r="E69" s="85">
        <v>-48.598300000000002</v>
      </c>
      <c r="F69" s="156" t="s">
        <v>307</v>
      </c>
      <c r="G69" s="85">
        <v>1.26</v>
      </c>
      <c r="H69" s="85">
        <v>12.88</v>
      </c>
      <c r="I69" s="8">
        <v>0.4</v>
      </c>
      <c r="J69" s="8">
        <v>1311</v>
      </c>
      <c r="K69" s="8">
        <v>2.56</v>
      </c>
      <c r="L69" s="8">
        <v>7.0000000000000007E-2</v>
      </c>
      <c r="M69" s="84">
        <v>7.8490000000000004E-2</v>
      </c>
      <c r="N69" s="84">
        <v>8.3984000000000003E-2</v>
      </c>
      <c r="O69" s="8" t="s">
        <v>282</v>
      </c>
      <c r="P69" s="163">
        <f t="shared" si="1"/>
        <v>1.7296734371913616</v>
      </c>
    </row>
    <row r="70" spans="1:16" x14ac:dyDescent="0.25">
      <c r="A70" s="8">
        <v>69</v>
      </c>
      <c r="B70" s="8">
        <v>6.3849999999999998</v>
      </c>
      <c r="C70" s="153">
        <v>33.523299999999999</v>
      </c>
      <c r="D70" s="85">
        <v>309.96609999999998</v>
      </c>
      <c r="E70" s="85">
        <v>11.249700000000001</v>
      </c>
      <c r="F70" s="156" t="s">
        <v>328</v>
      </c>
      <c r="G70" s="85">
        <v>2.98</v>
      </c>
      <c r="H70" s="85">
        <v>13.038</v>
      </c>
      <c r="I70" s="8">
        <v>0.4</v>
      </c>
      <c r="J70" s="8">
        <v>1326</v>
      </c>
      <c r="K70" s="8">
        <v>2.6</v>
      </c>
      <c r="L70" s="8">
        <v>0.48</v>
      </c>
      <c r="M70" s="84">
        <v>7.7558000000000002E-2</v>
      </c>
      <c r="N70" s="84">
        <v>0.11479</v>
      </c>
      <c r="O70" s="8" t="s">
        <v>329</v>
      </c>
      <c r="P70" s="163">
        <f t="shared" si="1"/>
        <v>1.7091444551385206</v>
      </c>
    </row>
    <row r="71" spans="1:16" x14ac:dyDescent="0.25">
      <c r="A71" s="8">
        <v>70</v>
      </c>
      <c r="B71" s="8">
        <v>8.32</v>
      </c>
      <c r="C71" s="153">
        <v>54.200499999999998</v>
      </c>
      <c r="D71" s="85">
        <v>215.22300000000001</v>
      </c>
      <c r="E71" s="85">
        <v>-17.4815</v>
      </c>
      <c r="F71" s="156" t="s">
        <v>575</v>
      </c>
      <c r="G71" s="85">
        <v>7.2</v>
      </c>
      <c r="H71" s="85">
        <v>12.994</v>
      </c>
      <c r="I71" s="8">
        <v>0.4</v>
      </c>
      <c r="J71" s="8">
        <v>3008</v>
      </c>
      <c r="K71" s="8">
        <v>4.2</v>
      </c>
      <c r="L71" s="8">
        <v>0.28000000000000003</v>
      </c>
      <c r="M71" s="84">
        <v>7.7490000000000003E-2</v>
      </c>
      <c r="N71" s="84">
        <v>9.9186999999999997E-2</v>
      </c>
      <c r="O71" s="8" t="s">
        <v>387</v>
      </c>
      <c r="P71" s="163">
        <f t="shared" si="1"/>
        <v>1.7076473302074968</v>
      </c>
    </row>
    <row r="72" spans="1:16" x14ac:dyDescent="0.25">
      <c r="A72" s="8">
        <v>71</v>
      </c>
      <c r="B72" s="8">
        <v>7.86</v>
      </c>
      <c r="C72" s="153">
        <v>55.096400000000003</v>
      </c>
      <c r="D72" s="85">
        <v>292.10239999999999</v>
      </c>
      <c r="E72" s="85">
        <v>8.3581000000000003</v>
      </c>
      <c r="F72" s="156" t="s">
        <v>500</v>
      </c>
      <c r="G72" s="85">
        <v>3.82</v>
      </c>
      <c r="H72" s="85">
        <v>13.127000000000001</v>
      </c>
      <c r="I72" s="8">
        <v>0.4</v>
      </c>
      <c r="J72" s="8">
        <v>2950</v>
      </c>
      <c r="K72" s="8">
        <v>4.25</v>
      </c>
      <c r="L72" s="8">
        <v>0.25</v>
      </c>
      <c r="M72" s="84">
        <v>7.7136999999999997E-2</v>
      </c>
      <c r="N72" s="84">
        <v>9.6421999999999994E-2</v>
      </c>
      <c r="O72" s="8" t="s">
        <v>501</v>
      </c>
      <c r="P72" s="163">
        <f t="shared" si="1"/>
        <v>1.6998785473490166</v>
      </c>
    </row>
    <row r="73" spans="1:16" x14ac:dyDescent="0.25">
      <c r="A73" s="8">
        <v>72</v>
      </c>
      <c r="B73" s="8">
        <v>6.92</v>
      </c>
      <c r="C73" s="153">
        <v>37.4251</v>
      </c>
      <c r="D73" s="85">
        <v>275.01639999999998</v>
      </c>
      <c r="E73" s="85">
        <v>-9.5957000000000008</v>
      </c>
      <c r="F73" s="156" t="s">
        <v>380</v>
      </c>
      <c r="G73" s="85">
        <v>17.193000000000001</v>
      </c>
      <c r="H73" s="85">
        <v>12.199</v>
      </c>
      <c r="I73" s="8">
        <v>0.4</v>
      </c>
      <c r="J73" s="8">
        <v>1749.8</v>
      </c>
      <c r="K73" s="8">
        <v>2.84</v>
      </c>
      <c r="L73" s="8">
        <v>0.21</v>
      </c>
      <c r="M73" s="84">
        <v>7.5884999999999994E-2</v>
      </c>
      <c r="N73" s="84">
        <v>9.1821E-2</v>
      </c>
      <c r="O73" s="8" t="s">
        <v>381</v>
      </c>
      <c r="P73" s="163">
        <f t="shared" si="1"/>
        <v>1.6722744584287044</v>
      </c>
    </row>
    <row r="74" spans="1:16" x14ac:dyDescent="0.25">
      <c r="A74" s="8">
        <v>73</v>
      </c>
      <c r="B74" s="8">
        <v>11.98</v>
      </c>
      <c r="C74" s="153">
        <v>15.3139</v>
      </c>
      <c r="D74" s="85">
        <v>130.24680000000001</v>
      </c>
      <c r="E74" s="85">
        <v>-23.456499999999998</v>
      </c>
      <c r="F74" s="156" t="s">
        <v>693</v>
      </c>
      <c r="G74" s="85">
        <v>1.8</v>
      </c>
      <c r="H74" s="85">
        <v>12.930999999999999</v>
      </c>
      <c r="I74" s="8">
        <v>0.4</v>
      </c>
      <c r="J74" s="8">
        <v>691.8</v>
      </c>
      <c r="K74" s="8">
        <v>1.1499999999999999</v>
      </c>
      <c r="L74" s="8">
        <v>0.11</v>
      </c>
      <c r="M74" s="84">
        <v>7.5094999999999995E-2</v>
      </c>
      <c r="N74" s="84">
        <v>8.3354999999999999E-2</v>
      </c>
      <c r="O74" s="8" t="s">
        <v>694</v>
      </c>
      <c r="P74" s="163">
        <f t="shared" si="1"/>
        <v>1.6548712823464791</v>
      </c>
    </row>
    <row r="75" spans="1:16" x14ac:dyDescent="0.25">
      <c r="A75" s="8">
        <v>74</v>
      </c>
      <c r="B75" s="8">
        <v>7.44</v>
      </c>
      <c r="C75" s="153">
        <v>34.952800000000003</v>
      </c>
      <c r="D75" s="85">
        <v>31.142900000000001</v>
      </c>
      <c r="E75" s="85">
        <v>25.414300000000001</v>
      </c>
      <c r="F75" s="156" t="s">
        <v>427</v>
      </c>
      <c r="G75" s="85">
        <v>1.57</v>
      </c>
      <c r="H75" s="85">
        <v>12.914</v>
      </c>
      <c r="I75" s="8">
        <v>0.4</v>
      </c>
      <c r="J75" s="8">
        <v>1708</v>
      </c>
      <c r="K75" s="8">
        <v>2.56</v>
      </c>
      <c r="L75" s="8">
        <v>0.03</v>
      </c>
      <c r="M75" s="84">
        <v>7.3242000000000002E-2</v>
      </c>
      <c r="N75" s="84">
        <v>7.5439000000000006E-2</v>
      </c>
      <c r="O75" s="8" t="s">
        <v>296</v>
      </c>
      <c r="P75" s="163">
        <f t="shared" si="1"/>
        <v>1.6140247102591496</v>
      </c>
    </row>
    <row r="76" spans="1:16" x14ac:dyDescent="0.25">
      <c r="A76" s="8">
        <v>75</v>
      </c>
      <c r="B76" s="8">
        <v>7.36</v>
      </c>
      <c r="C76" s="153">
        <v>37.7074</v>
      </c>
      <c r="D76" s="85">
        <v>183.37299999999999</v>
      </c>
      <c r="E76" s="85">
        <v>10.041600000000001</v>
      </c>
      <c r="F76" s="156" t="s">
        <v>418</v>
      </c>
      <c r="G76" s="85">
        <v>7.56</v>
      </c>
      <c r="H76" s="85">
        <v>12.965999999999999</v>
      </c>
      <c r="I76" s="8">
        <v>0.4</v>
      </c>
      <c r="J76" s="8">
        <v>1600</v>
      </c>
      <c r="K76" s="8">
        <v>2.7</v>
      </c>
      <c r="L76" s="8">
        <v>0.47</v>
      </c>
      <c r="M76" s="84">
        <v>7.1604000000000001E-2</v>
      </c>
      <c r="N76" s="84">
        <v>0.10526000000000001</v>
      </c>
      <c r="O76" s="8" t="s">
        <v>331</v>
      </c>
      <c r="P76" s="163">
        <f t="shared" si="1"/>
        <v>1.5779359187704021</v>
      </c>
    </row>
    <row r="77" spans="1:16" x14ac:dyDescent="0.25">
      <c r="A77" s="8">
        <v>76</v>
      </c>
      <c r="B77" s="8">
        <v>5.9660000000000002</v>
      </c>
      <c r="C77" s="153">
        <v>15.1768</v>
      </c>
      <c r="D77" s="85">
        <v>87.145600000000002</v>
      </c>
      <c r="E77" s="85">
        <v>-4.0945999999999998</v>
      </c>
      <c r="F77" s="156" t="s">
        <v>304</v>
      </c>
      <c r="G77" s="85">
        <v>9.6000000000000002E-2</v>
      </c>
      <c r="H77" s="85">
        <v>10.507</v>
      </c>
      <c r="I77" s="8">
        <v>0.4</v>
      </c>
      <c r="J77" s="8">
        <v>407.1</v>
      </c>
      <c r="K77" s="8">
        <v>1.04</v>
      </c>
      <c r="L77" s="8">
        <v>0.27</v>
      </c>
      <c r="M77" s="84">
        <v>6.8526000000000004E-2</v>
      </c>
      <c r="N77" s="84">
        <v>8.7027999999999994E-2</v>
      </c>
      <c r="O77" s="8" t="s">
        <v>249</v>
      </c>
      <c r="P77" s="163">
        <f t="shared" si="1"/>
        <v>1.5100986324638965</v>
      </c>
    </row>
    <row r="78" spans="1:16" x14ac:dyDescent="0.25">
      <c r="A78" s="8">
        <v>77</v>
      </c>
      <c r="B78" s="8">
        <v>8.02</v>
      </c>
      <c r="C78" s="153">
        <v>46.104199999999999</v>
      </c>
      <c r="D78" s="85">
        <v>138.78919999999999</v>
      </c>
      <c r="E78" s="85">
        <v>23.375599999999999</v>
      </c>
      <c r="F78" s="156" t="s">
        <v>527</v>
      </c>
      <c r="G78" s="85">
        <v>1.34</v>
      </c>
      <c r="H78" s="85">
        <v>12.891999999999999</v>
      </c>
      <c r="I78" s="8">
        <v>0.4</v>
      </c>
      <c r="J78" s="8">
        <v>1966</v>
      </c>
      <c r="K78" s="8">
        <v>3.13</v>
      </c>
      <c r="L78" s="8">
        <v>0.59</v>
      </c>
      <c r="M78" s="84">
        <v>6.7890000000000006E-2</v>
      </c>
      <c r="N78" s="84">
        <v>0.10793999999999999</v>
      </c>
      <c r="O78" s="8" t="s">
        <v>337</v>
      </c>
      <c r="P78" s="163">
        <f t="shared" si="1"/>
        <v>1.4960841882211162</v>
      </c>
    </row>
    <row r="79" spans="1:16" x14ac:dyDescent="0.25">
      <c r="A79" s="8">
        <v>78</v>
      </c>
      <c r="B79" s="8">
        <v>7.61</v>
      </c>
      <c r="C79" s="153">
        <v>29.342700000000001</v>
      </c>
      <c r="D79" s="85">
        <v>192.21559999999999</v>
      </c>
      <c r="E79" s="85">
        <v>-68.425200000000004</v>
      </c>
      <c r="F79" s="156" t="s">
        <v>456</v>
      </c>
      <c r="G79" s="85">
        <v>6.8</v>
      </c>
      <c r="H79" s="85">
        <v>13.026</v>
      </c>
      <c r="I79" s="8">
        <v>0.4</v>
      </c>
      <c r="J79" s="8">
        <v>1143</v>
      </c>
      <c r="K79" s="8">
        <v>1.97</v>
      </c>
      <c r="L79" s="8">
        <v>0.2</v>
      </c>
      <c r="M79" s="84">
        <v>6.7138000000000003E-2</v>
      </c>
      <c r="N79" s="84">
        <v>8.0564999999999998E-2</v>
      </c>
      <c r="O79" s="8" t="s">
        <v>457</v>
      </c>
      <c r="P79" s="163">
        <f t="shared" si="1"/>
        <v>1.4795114779760707</v>
      </c>
    </row>
    <row r="80" spans="1:16" x14ac:dyDescent="0.25">
      <c r="A80" s="8">
        <v>79</v>
      </c>
      <c r="B80" s="8">
        <v>7.4459999999999997</v>
      </c>
      <c r="C80" s="153">
        <v>16.5017</v>
      </c>
      <c r="D80" s="85">
        <v>219.00229999999999</v>
      </c>
      <c r="E80" s="85">
        <v>9.7464999999999993</v>
      </c>
      <c r="F80" s="156" t="s">
        <v>428</v>
      </c>
      <c r="G80" s="85">
        <v>2.1800000000000002</v>
      </c>
      <c r="H80" s="85">
        <v>12.958</v>
      </c>
      <c r="I80" s="8">
        <v>0.4</v>
      </c>
      <c r="J80" s="8">
        <v>448.6</v>
      </c>
      <c r="K80" s="8">
        <v>1.1000000000000001</v>
      </c>
      <c r="L80" s="8">
        <v>0.25</v>
      </c>
      <c r="M80" s="84">
        <v>6.6659999999999997E-2</v>
      </c>
      <c r="N80" s="84">
        <v>8.3324999999999996E-2</v>
      </c>
      <c r="O80" s="8" t="s">
        <v>429</v>
      </c>
      <c r="P80" s="163">
        <f t="shared" si="1"/>
        <v>1.4689810174392215</v>
      </c>
    </row>
    <row r="81" spans="1:16" x14ac:dyDescent="0.25">
      <c r="A81" s="8">
        <v>80</v>
      </c>
      <c r="B81" s="8">
        <v>6.2919999999999998</v>
      </c>
      <c r="C81" s="153">
        <v>32.573300000000003</v>
      </c>
      <c r="D81" s="85">
        <v>26.232600000000001</v>
      </c>
      <c r="E81" s="85">
        <v>20.083100000000002</v>
      </c>
      <c r="F81" s="156" t="s">
        <v>320</v>
      </c>
      <c r="G81" s="85">
        <v>6.38</v>
      </c>
      <c r="H81" s="85">
        <v>13.053000000000001</v>
      </c>
      <c r="I81" s="8">
        <v>0.4</v>
      </c>
      <c r="J81" s="8">
        <v>1076.4000000000001</v>
      </c>
      <c r="K81" s="8">
        <v>2.16</v>
      </c>
      <c r="L81" s="8">
        <v>0.1</v>
      </c>
      <c r="M81" s="84">
        <v>6.6311999999999996E-2</v>
      </c>
      <c r="N81" s="84">
        <v>7.2942999999999994E-2</v>
      </c>
      <c r="O81" s="8" t="s">
        <v>321</v>
      </c>
      <c r="P81" s="163">
        <f t="shared" si="1"/>
        <v>1.4613161297981612</v>
      </c>
    </row>
    <row r="82" spans="1:16" x14ac:dyDescent="0.25">
      <c r="A82" s="8">
        <v>81</v>
      </c>
      <c r="B82" s="8">
        <v>8.3800000000000008</v>
      </c>
      <c r="C82" s="153">
        <v>26.759399999999999</v>
      </c>
      <c r="D82" s="85">
        <v>291.28989999999999</v>
      </c>
      <c r="E82" s="85">
        <v>-66.468800000000002</v>
      </c>
      <c r="F82" s="156" t="s">
        <v>585</v>
      </c>
      <c r="G82" s="85">
        <v>0.64</v>
      </c>
      <c r="H82" s="85">
        <v>12.766999999999999</v>
      </c>
      <c r="I82" s="8">
        <v>0.4</v>
      </c>
      <c r="J82" s="8">
        <v>962</v>
      </c>
      <c r="K82" s="8">
        <v>1.76</v>
      </c>
      <c r="L82" s="8">
        <v>0.28000000000000003</v>
      </c>
      <c r="M82" s="84">
        <v>6.5770999999999996E-2</v>
      </c>
      <c r="N82" s="84">
        <v>8.4186999999999998E-2</v>
      </c>
      <c r="O82" s="8" t="s">
        <v>586</v>
      </c>
      <c r="P82" s="163">
        <f t="shared" si="1"/>
        <v>1.4494007522127883</v>
      </c>
    </row>
    <row r="83" spans="1:16" x14ac:dyDescent="0.25">
      <c r="A83" s="8">
        <v>82</v>
      </c>
      <c r="B83" s="8">
        <v>7.22</v>
      </c>
      <c r="C83" s="153">
        <v>29.568300000000001</v>
      </c>
      <c r="D83" s="85">
        <v>250.2842</v>
      </c>
      <c r="E83" s="85">
        <v>-2.8573</v>
      </c>
      <c r="F83" s="156" t="s">
        <v>404</v>
      </c>
      <c r="G83" s="85">
        <v>0.16800000000000001</v>
      </c>
      <c r="H83" s="85">
        <v>11.446</v>
      </c>
      <c r="I83" s="8">
        <v>0.4</v>
      </c>
      <c r="J83" s="8">
        <v>1096.2</v>
      </c>
      <c r="K83" s="8">
        <v>1.93</v>
      </c>
      <c r="L83" s="8">
        <v>0</v>
      </c>
      <c r="M83" s="84">
        <v>6.5272999999999998E-2</v>
      </c>
      <c r="N83" s="84">
        <v>6.5272999999999998E-2</v>
      </c>
      <c r="O83" s="8" t="s">
        <v>331</v>
      </c>
      <c r="P83" s="163">
        <f t="shared" si="1"/>
        <v>1.4384114752829651</v>
      </c>
    </row>
    <row r="84" spans="1:16" x14ac:dyDescent="0.25">
      <c r="A84" s="8">
        <v>83</v>
      </c>
      <c r="B84" s="8">
        <v>8.4499999999999993</v>
      </c>
      <c r="C84" s="153">
        <v>54.854599999999998</v>
      </c>
      <c r="D84" s="85">
        <v>16.9528</v>
      </c>
      <c r="E84" s="85">
        <v>-8.2337000000000007</v>
      </c>
      <c r="F84" s="156" t="s">
        <v>595</v>
      </c>
      <c r="G84" s="85">
        <v>1.56</v>
      </c>
      <c r="H84" s="85">
        <v>12.913</v>
      </c>
      <c r="I84" s="8">
        <v>0.4</v>
      </c>
      <c r="J84" s="8">
        <v>2496</v>
      </c>
      <c r="K84" s="8">
        <v>3.56</v>
      </c>
      <c r="L84" s="8">
        <v>0.1</v>
      </c>
      <c r="M84" s="84">
        <v>6.4898999999999998E-2</v>
      </c>
      <c r="N84" s="84">
        <v>7.1388999999999994E-2</v>
      </c>
      <c r="O84" s="8" t="s">
        <v>331</v>
      </c>
      <c r="P84" s="163">
        <f t="shared" si="1"/>
        <v>1.4301748330627684</v>
      </c>
    </row>
    <row r="85" spans="1:16" x14ac:dyDescent="0.25">
      <c r="A85" s="8">
        <v>84</v>
      </c>
      <c r="B85" s="8">
        <v>8.02</v>
      </c>
      <c r="C85" s="153">
        <v>47.370899999999999</v>
      </c>
      <c r="D85" s="85">
        <v>322.05090000000001</v>
      </c>
      <c r="E85" s="85">
        <v>-21.726299999999998</v>
      </c>
      <c r="F85" s="156" t="s">
        <v>525</v>
      </c>
      <c r="G85" s="85">
        <v>3.55</v>
      </c>
      <c r="H85" s="85">
        <v>13.099</v>
      </c>
      <c r="I85" s="8">
        <v>0.4</v>
      </c>
      <c r="J85" s="8">
        <v>1920.1</v>
      </c>
      <c r="K85" s="8">
        <v>3.04</v>
      </c>
      <c r="L85" s="8">
        <v>0.23</v>
      </c>
      <c r="M85" s="84">
        <v>6.4173999999999995E-2</v>
      </c>
      <c r="N85" s="84">
        <v>7.8935000000000005E-2</v>
      </c>
      <c r="O85" s="8" t="s">
        <v>266</v>
      </c>
      <c r="P85" s="163">
        <f t="shared" si="1"/>
        <v>1.4142107482681536</v>
      </c>
    </row>
    <row r="86" spans="1:16" x14ac:dyDescent="0.25">
      <c r="A86" s="8">
        <v>85</v>
      </c>
      <c r="B86" s="8">
        <v>6.8129999999999997</v>
      </c>
      <c r="C86" s="153">
        <v>32.331099999999999</v>
      </c>
      <c r="D86" s="85">
        <v>309.88729999999998</v>
      </c>
      <c r="E86" s="85">
        <v>42.248600000000003</v>
      </c>
      <c r="F86" s="156" t="s">
        <v>372</v>
      </c>
      <c r="G86" s="85">
        <v>0.79</v>
      </c>
      <c r="H86" s="85">
        <v>12.804</v>
      </c>
      <c r="I86" s="8">
        <v>0.4</v>
      </c>
      <c r="J86" s="8">
        <v>1035.7</v>
      </c>
      <c r="K86" s="8">
        <v>2.0699999999999998</v>
      </c>
      <c r="L86" s="8">
        <v>0.22</v>
      </c>
      <c r="M86" s="84">
        <v>6.4024999999999999E-2</v>
      </c>
      <c r="N86" s="84">
        <v>7.8111E-2</v>
      </c>
      <c r="O86" s="8" t="s">
        <v>331</v>
      </c>
      <c r="P86" s="163">
        <f t="shared" si="1"/>
        <v>1.4109188983766823</v>
      </c>
    </row>
    <row r="87" spans="1:16" x14ac:dyDescent="0.25">
      <c r="A87" s="8">
        <v>86</v>
      </c>
      <c r="B87" s="8">
        <v>4.0999999999999996</v>
      </c>
      <c r="C87" s="153">
        <v>13.4916</v>
      </c>
      <c r="D87" s="85">
        <v>24.199300000000001</v>
      </c>
      <c r="E87" s="85">
        <v>41.405500000000004</v>
      </c>
      <c r="F87" s="156" t="s">
        <v>222</v>
      </c>
      <c r="G87" s="85">
        <v>1.8</v>
      </c>
      <c r="H87" s="85">
        <v>12.930999999999999</v>
      </c>
      <c r="I87" s="8">
        <v>0.4</v>
      </c>
      <c r="J87" s="8">
        <v>237.7</v>
      </c>
      <c r="K87" s="8">
        <v>0.86</v>
      </c>
      <c r="L87" s="8">
        <v>0.24</v>
      </c>
      <c r="M87" s="84">
        <v>6.3742999999999994E-2</v>
      </c>
      <c r="N87" s="84">
        <v>7.9042000000000001E-2</v>
      </c>
      <c r="O87" s="8" t="s">
        <v>223</v>
      </c>
      <c r="P87" s="163">
        <f t="shared" si="1"/>
        <v>1.4047116379289235</v>
      </c>
    </row>
    <row r="88" spans="1:16" x14ac:dyDescent="0.25">
      <c r="A88" s="8">
        <v>87</v>
      </c>
      <c r="B88" s="8">
        <v>4.4420000000000002</v>
      </c>
      <c r="C88" s="153">
        <v>18.238199999999999</v>
      </c>
      <c r="D88" s="85">
        <v>64.120999999999995</v>
      </c>
      <c r="E88" s="85">
        <v>-59.302199999999999</v>
      </c>
      <c r="F88" s="156" t="s">
        <v>229</v>
      </c>
      <c r="G88" s="85">
        <v>1.35</v>
      </c>
      <c r="H88" s="85">
        <v>12.894</v>
      </c>
      <c r="I88" s="8">
        <v>0.4</v>
      </c>
      <c r="J88" s="8">
        <v>415.2</v>
      </c>
      <c r="K88" s="8">
        <v>1.1599999999999999</v>
      </c>
      <c r="L88" s="8">
        <v>0.06</v>
      </c>
      <c r="M88" s="84">
        <v>6.3603000000000007E-2</v>
      </c>
      <c r="N88" s="84">
        <v>6.7419000000000007E-2</v>
      </c>
      <c r="O88" s="8" t="s">
        <v>208</v>
      </c>
      <c r="P88" s="163">
        <f t="shared" si="1"/>
        <v>1.401613272459757</v>
      </c>
    </row>
    <row r="89" spans="1:16" x14ac:dyDescent="0.25">
      <c r="A89" s="8">
        <v>88</v>
      </c>
      <c r="B89" s="8">
        <v>5.95</v>
      </c>
      <c r="C89" s="153">
        <v>12.341100000000001</v>
      </c>
      <c r="D89" s="85">
        <v>133.14920000000001</v>
      </c>
      <c r="E89" s="85">
        <v>28.3308</v>
      </c>
      <c r="F89" s="156" t="s">
        <v>300</v>
      </c>
      <c r="G89" s="85">
        <v>0.14399999999999999</v>
      </c>
      <c r="H89" s="85">
        <v>11.276999999999999</v>
      </c>
      <c r="I89" s="8">
        <v>0.4</v>
      </c>
      <c r="J89" s="8">
        <v>260.7</v>
      </c>
      <c r="K89" s="8">
        <v>0.78</v>
      </c>
      <c r="L89" s="8">
        <v>0</v>
      </c>
      <c r="M89" s="84">
        <v>6.3202999999999995E-2</v>
      </c>
      <c r="N89" s="84">
        <v>6.3202999999999995E-2</v>
      </c>
      <c r="O89" s="8" t="s">
        <v>226</v>
      </c>
      <c r="P89" s="163">
        <f t="shared" si="1"/>
        <v>1.3928133386718808</v>
      </c>
    </row>
    <row r="90" spans="1:16" x14ac:dyDescent="0.25">
      <c r="A90" s="8">
        <v>89</v>
      </c>
      <c r="B90" s="8">
        <v>5.08</v>
      </c>
      <c r="C90" s="153">
        <v>22.578499999999998</v>
      </c>
      <c r="D90" s="85">
        <v>48.1935</v>
      </c>
      <c r="E90" s="85">
        <v>-1.1960999999999999</v>
      </c>
      <c r="F90" s="156" t="s">
        <v>254</v>
      </c>
      <c r="G90" s="85">
        <v>1.68</v>
      </c>
      <c r="H90" s="85">
        <v>12.922000000000001</v>
      </c>
      <c r="I90" s="8">
        <v>0.4</v>
      </c>
      <c r="J90" s="8">
        <v>535.70000000000005</v>
      </c>
      <c r="K90" s="8">
        <v>1.42</v>
      </c>
      <c r="L90" s="8">
        <v>0.3</v>
      </c>
      <c r="M90" s="84">
        <v>6.2892000000000003E-2</v>
      </c>
      <c r="N90" s="84">
        <v>8.1758999999999998E-2</v>
      </c>
      <c r="O90" s="8" t="s">
        <v>255</v>
      </c>
      <c r="P90" s="163">
        <f t="shared" si="1"/>
        <v>1.3859432387922161</v>
      </c>
    </row>
    <row r="91" spans="1:16" x14ac:dyDescent="0.25">
      <c r="A91" s="8">
        <v>90</v>
      </c>
      <c r="B91" s="8">
        <v>4.3899999999999997</v>
      </c>
      <c r="C91" s="153">
        <v>25.2972</v>
      </c>
      <c r="D91" s="85">
        <v>113.5133</v>
      </c>
      <c r="E91" s="85">
        <v>-22.296099999999999</v>
      </c>
      <c r="F91" s="156" t="s">
        <v>227</v>
      </c>
      <c r="G91" s="85">
        <v>7.46</v>
      </c>
      <c r="H91" s="85">
        <v>12.974</v>
      </c>
      <c r="I91" s="8">
        <v>0.4</v>
      </c>
      <c r="J91" s="8">
        <v>607.1</v>
      </c>
      <c r="K91" s="8">
        <v>1.58</v>
      </c>
      <c r="L91" s="8">
        <v>0.04</v>
      </c>
      <c r="M91" s="84">
        <v>6.2456999999999999E-2</v>
      </c>
      <c r="N91" s="84">
        <v>6.4956E-2</v>
      </c>
      <c r="O91" s="8" t="s">
        <v>228</v>
      </c>
      <c r="P91" s="163">
        <f t="shared" si="1"/>
        <v>1.3763751362943992</v>
      </c>
    </row>
    <row r="92" spans="1:16" x14ac:dyDescent="0.25">
      <c r="A92" s="8">
        <v>91</v>
      </c>
      <c r="B92" s="8">
        <v>7.63</v>
      </c>
      <c r="C92" s="153">
        <v>39.588299999999997</v>
      </c>
      <c r="D92" s="85">
        <v>99.036600000000007</v>
      </c>
      <c r="E92" s="85">
        <v>-27.622299999999999</v>
      </c>
      <c r="F92" s="156" t="s">
        <v>459</v>
      </c>
      <c r="G92" s="85">
        <v>0.35099999999999998</v>
      </c>
      <c r="H92" s="85">
        <v>12.347</v>
      </c>
      <c r="I92" s="8">
        <v>0.4</v>
      </c>
      <c r="J92" s="8">
        <v>1353.6</v>
      </c>
      <c r="K92" s="8">
        <v>2.4</v>
      </c>
      <c r="L92" s="8">
        <v>0.25</v>
      </c>
      <c r="M92" s="84">
        <v>6.0623999999999997E-2</v>
      </c>
      <c r="N92" s="84">
        <v>7.578E-2</v>
      </c>
      <c r="O92" s="8" t="s">
        <v>381</v>
      </c>
      <c r="P92" s="163">
        <f t="shared" si="1"/>
        <v>1.3359695973797661</v>
      </c>
    </row>
    <row r="93" spans="1:16" x14ac:dyDescent="0.25">
      <c r="A93" s="8">
        <v>92</v>
      </c>
      <c r="B93" s="8">
        <v>8.94</v>
      </c>
      <c r="C93" s="153">
        <v>56.657200000000003</v>
      </c>
      <c r="D93" s="85">
        <v>80.8399</v>
      </c>
      <c r="E93" s="85">
        <v>-2.2776000000000001</v>
      </c>
      <c r="F93" s="156" t="s">
        <v>624</v>
      </c>
      <c r="G93" s="85">
        <v>2.54</v>
      </c>
      <c r="H93" s="85">
        <v>12.99</v>
      </c>
      <c r="I93" s="8">
        <v>0.4</v>
      </c>
      <c r="J93" s="8">
        <v>2443</v>
      </c>
      <c r="K93" s="8">
        <v>3.43</v>
      </c>
      <c r="L93" s="8">
        <v>0.08</v>
      </c>
      <c r="M93" s="84">
        <v>6.0539999999999997E-2</v>
      </c>
      <c r="N93" s="84">
        <v>6.5382999999999997E-2</v>
      </c>
      <c r="O93" s="8" t="s">
        <v>321</v>
      </c>
      <c r="P93" s="163">
        <f t="shared" si="1"/>
        <v>1.3341086443043013</v>
      </c>
    </row>
    <row r="94" spans="1:16" x14ac:dyDescent="0.25">
      <c r="A94" s="8">
        <v>93</v>
      </c>
      <c r="B94" s="8">
        <v>1.996</v>
      </c>
      <c r="C94" s="153">
        <v>20.177600000000002</v>
      </c>
      <c r="D94" s="85">
        <v>31.793399999999998</v>
      </c>
      <c r="E94" s="85">
        <v>23.462399999999999</v>
      </c>
      <c r="F94" s="156" t="s">
        <v>207</v>
      </c>
      <c r="G94" s="85">
        <v>1.8</v>
      </c>
      <c r="H94" s="85">
        <v>12.930999999999999</v>
      </c>
      <c r="I94" s="8">
        <v>0.4</v>
      </c>
      <c r="J94" s="8">
        <v>380.8</v>
      </c>
      <c r="K94" s="8">
        <v>1.2</v>
      </c>
      <c r="L94" s="8">
        <v>0.25</v>
      </c>
      <c r="M94" s="84">
        <v>5.9471999999999997E-2</v>
      </c>
      <c r="N94" s="84">
        <v>7.4340000000000003E-2</v>
      </c>
      <c r="O94" s="8" t="s">
        <v>208</v>
      </c>
      <c r="P94" s="163">
        <f t="shared" si="1"/>
        <v>1.3105811695134548</v>
      </c>
    </row>
    <row r="95" spans="1:16" x14ac:dyDescent="0.25">
      <c r="A95" s="8">
        <v>94</v>
      </c>
      <c r="B95" s="8">
        <v>5.15</v>
      </c>
      <c r="C95" s="153">
        <v>15.511100000000001</v>
      </c>
      <c r="D95" s="85">
        <v>266.03629999999998</v>
      </c>
      <c r="E95" s="85">
        <v>-51.834099999999999</v>
      </c>
      <c r="F95" s="156" t="s">
        <v>258</v>
      </c>
      <c r="G95" s="85">
        <v>0.52200000000000002</v>
      </c>
      <c r="H95" s="85">
        <v>12.64</v>
      </c>
      <c r="I95" s="8">
        <v>0.4</v>
      </c>
      <c r="J95" s="8">
        <v>310.5</v>
      </c>
      <c r="K95" s="8">
        <v>0.92</v>
      </c>
      <c r="L95" s="8">
        <v>7.0000000000000007E-2</v>
      </c>
      <c r="M95" s="84">
        <v>5.9311999999999997E-2</v>
      </c>
      <c r="N95" s="84">
        <v>6.3464000000000007E-2</v>
      </c>
      <c r="O95" s="8" t="s">
        <v>259</v>
      </c>
      <c r="P95" s="163">
        <f t="shared" si="1"/>
        <v>1.3070656926059787</v>
      </c>
    </row>
    <row r="96" spans="1:16" x14ac:dyDescent="0.25">
      <c r="A96" s="8">
        <v>95</v>
      </c>
      <c r="B96" s="8">
        <v>7.48</v>
      </c>
      <c r="C96" s="153">
        <v>38.925699999999999</v>
      </c>
      <c r="D96" s="85">
        <v>18.622199999999999</v>
      </c>
      <c r="E96" s="85">
        <v>-5.0473999999999997</v>
      </c>
      <c r="F96" s="156" t="s">
        <v>437</v>
      </c>
      <c r="G96" s="85">
        <v>1.1100000000000001</v>
      </c>
      <c r="H96" s="85">
        <v>12.856999999999999</v>
      </c>
      <c r="I96" s="8">
        <v>0.4</v>
      </c>
      <c r="J96" s="8">
        <v>1275</v>
      </c>
      <c r="K96" s="8">
        <v>2.2999999999999998</v>
      </c>
      <c r="L96" s="8">
        <v>0.82</v>
      </c>
      <c r="M96" s="84">
        <v>5.9087000000000001E-2</v>
      </c>
      <c r="N96" s="84">
        <v>0.10754</v>
      </c>
      <c r="O96" s="8" t="s">
        <v>364</v>
      </c>
      <c r="P96" s="163">
        <f t="shared" si="1"/>
        <v>1.3020977570461545</v>
      </c>
    </row>
    <row r="97" spans="1:16" x14ac:dyDescent="0.25">
      <c r="A97" s="8">
        <v>96</v>
      </c>
      <c r="B97" s="8">
        <v>7.73</v>
      </c>
      <c r="C97" s="153">
        <v>33.1126</v>
      </c>
      <c r="D97" s="85">
        <v>140.9462</v>
      </c>
      <c r="E97" s="85">
        <v>20.3645</v>
      </c>
      <c r="F97" s="156" t="s">
        <v>477</v>
      </c>
      <c r="G97" s="85">
        <v>6.86</v>
      </c>
      <c r="H97" s="85">
        <v>13.022</v>
      </c>
      <c r="I97" s="8">
        <v>0.4</v>
      </c>
      <c r="J97" s="8">
        <v>1001.7</v>
      </c>
      <c r="K97" s="8">
        <v>1.94</v>
      </c>
      <c r="L97" s="8">
        <v>0.53</v>
      </c>
      <c r="M97" s="84">
        <v>5.8588000000000001E-2</v>
      </c>
      <c r="N97" s="84">
        <v>8.9639999999999997E-2</v>
      </c>
      <c r="O97" s="8" t="s">
        <v>282</v>
      </c>
      <c r="P97" s="163">
        <f t="shared" si="1"/>
        <v>1.2911022353925419</v>
      </c>
    </row>
    <row r="98" spans="1:16" x14ac:dyDescent="0.25">
      <c r="A98" s="8">
        <v>97</v>
      </c>
      <c r="B98" s="8">
        <v>7.55</v>
      </c>
      <c r="C98" s="153">
        <v>20.5002</v>
      </c>
      <c r="D98" s="85">
        <v>198.1824</v>
      </c>
      <c r="E98" s="85">
        <v>-2.2650000000000001</v>
      </c>
      <c r="F98" s="156" t="s">
        <v>447</v>
      </c>
      <c r="G98" s="85">
        <v>1</v>
      </c>
      <c r="H98" s="85">
        <v>12.840999999999999</v>
      </c>
      <c r="I98" s="8">
        <v>0.4</v>
      </c>
      <c r="J98" s="8">
        <v>501</v>
      </c>
      <c r="K98" s="8">
        <v>1.2</v>
      </c>
      <c r="L98" s="8">
        <v>0.1</v>
      </c>
      <c r="M98" s="84">
        <v>5.8535999999999998E-2</v>
      </c>
      <c r="N98" s="84">
        <v>6.4390000000000003E-2</v>
      </c>
      <c r="O98" s="8" t="s">
        <v>448</v>
      </c>
      <c r="P98" s="163">
        <f t="shared" si="1"/>
        <v>1.2899572982690262</v>
      </c>
    </row>
    <row r="99" spans="1:16" x14ac:dyDescent="0.25">
      <c r="A99" s="8">
        <v>98</v>
      </c>
      <c r="B99" s="8">
        <v>4.2549999999999999</v>
      </c>
      <c r="C99" s="153">
        <v>6.0434000000000001</v>
      </c>
      <c r="D99" s="85">
        <v>49.981900000000003</v>
      </c>
      <c r="E99" s="85">
        <v>-43.069800000000001</v>
      </c>
      <c r="F99" s="156" t="s">
        <v>225</v>
      </c>
      <c r="G99" s="85">
        <v>1.4999999999999999E-2</v>
      </c>
      <c r="H99" s="85">
        <v>1.5189999999999999</v>
      </c>
      <c r="I99" s="8">
        <v>0.4</v>
      </c>
      <c r="J99" s="8">
        <v>90.3</v>
      </c>
      <c r="K99" s="8">
        <v>0.35</v>
      </c>
      <c r="L99" s="8">
        <v>0</v>
      </c>
      <c r="M99" s="84">
        <v>5.7915000000000001E-2</v>
      </c>
      <c r="N99" s="84">
        <v>5.7915000000000001E-2</v>
      </c>
      <c r="O99" s="8" t="s">
        <v>226</v>
      </c>
      <c r="P99" s="163">
        <f t="shared" si="1"/>
        <v>1.2762592128177217</v>
      </c>
    </row>
    <row r="100" spans="1:16" x14ac:dyDescent="0.25">
      <c r="A100" s="8">
        <v>99</v>
      </c>
      <c r="B100" s="8">
        <v>8.26</v>
      </c>
      <c r="C100" s="153">
        <v>54.914900000000003</v>
      </c>
      <c r="D100" s="85">
        <v>120.8694</v>
      </c>
      <c r="E100" s="85">
        <v>-1.1627000000000001</v>
      </c>
      <c r="F100" s="156" t="s">
        <v>569</v>
      </c>
      <c r="G100" s="85">
        <v>2.82</v>
      </c>
      <c r="H100" s="85">
        <v>13.02</v>
      </c>
      <c r="I100" s="8">
        <v>0.4</v>
      </c>
      <c r="J100" s="8">
        <v>1973</v>
      </c>
      <c r="K100" s="8">
        <v>3.18</v>
      </c>
      <c r="L100" s="8">
        <v>0.47</v>
      </c>
      <c r="M100" s="84">
        <v>5.7908000000000001E-2</v>
      </c>
      <c r="N100" s="84">
        <v>8.5124000000000005E-2</v>
      </c>
      <c r="O100" s="8" t="s">
        <v>337</v>
      </c>
      <c r="P100" s="163">
        <f t="shared" si="1"/>
        <v>1.2761129293840638</v>
      </c>
    </row>
    <row r="101" spans="1:16" x14ac:dyDescent="0.25">
      <c r="A101" s="8">
        <v>100</v>
      </c>
      <c r="B101" s="8">
        <v>7.93</v>
      </c>
      <c r="C101" s="153">
        <v>45.045000000000002</v>
      </c>
      <c r="D101" s="85">
        <v>149.12440000000001</v>
      </c>
      <c r="E101" s="85">
        <v>-24.099399999999999</v>
      </c>
      <c r="F101" s="156" t="s">
        <v>511</v>
      </c>
      <c r="G101" s="85">
        <v>1.5</v>
      </c>
      <c r="H101" s="85">
        <v>12.909000000000001</v>
      </c>
      <c r="I101" s="8">
        <v>0.4</v>
      </c>
      <c r="J101" s="8">
        <v>1534</v>
      </c>
      <c r="K101" s="8">
        <v>2.6</v>
      </c>
      <c r="L101" s="8">
        <v>0.73</v>
      </c>
      <c r="M101" s="84">
        <v>5.772E-2</v>
      </c>
      <c r="N101" s="84">
        <v>9.9856E-2</v>
      </c>
      <c r="O101" s="8" t="s">
        <v>247</v>
      </c>
      <c r="P101" s="163">
        <f t="shared" si="1"/>
        <v>1.2719760753234579</v>
      </c>
    </row>
    <row r="102" spans="1:16" x14ac:dyDescent="0.25">
      <c r="A102" s="8">
        <v>101</v>
      </c>
      <c r="B102" s="8">
        <v>6.69</v>
      </c>
      <c r="C102" s="153">
        <v>36.114100000000001</v>
      </c>
      <c r="D102" s="85">
        <v>198.18440000000001</v>
      </c>
      <c r="E102" s="85">
        <v>-31.8733</v>
      </c>
      <c r="F102" s="156" t="s">
        <v>362</v>
      </c>
      <c r="G102" s="85">
        <v>0.84</v>
      </c>
      <c r="H102" s="85">
        <v>12.813000000000001</v>
      </c>
      <c r="I102" s="8">
        <v>0.4</v>
      </c>
      <c r="J102" s="8">
        <v>1135</v>
      </c>
      <c r="K102" s="8">
        <v>2.08</v>
      </c>
      <c r="L102" s="8">
        <v>0.32</v>
      </c>
      <c r="M102" s="84">
        <v>5.7595E-2</v>
      </c>
      <c r="N102" s="84">
        <v>7.6025999999999996E-2</v>
      </c>
      <c r="O102" s="8" t="s">
        <v>282</v>
      </c>
      <c r="P102" s="163">
        <f t="shared" si="1"/>
        <v>1.2692253122840145</v>
      </c>
    </row>
    <row r="103" spans="1:16" x14ac:dyDescent="0.25">
      <c r="A103" s="8">
        <v>102</v>
      </c>
      <c r="B103" s="8">
        <v>7.24</v>
      </c>
      <c r="C103" s="153">
        <v>50.428600000000003</v>
      </c>
      <c r="D103" s="85">
        <v>57.001600000000003</v>
      </c>
      <c r="E103" s="85">
        <v>40.5306</v>
      </c>
      <c r="F103" s="156" t="s">
        <v>407</v>
      </c>
      <c r="G103" s="85">
        <v>8.1</v>
      </c>
      <c r="H103" s="85">
        <v>12.923</v>
      </c>
      <c r="I103" s="8">
        <v>0.4</v>
      </c>
      <c r="J103" s="8">
        <v>1565</v>
      </c>
      <c r="K103" s="8">
        <v>2.88</v>
      </c>
      <c r="L103" s="8">
        <v>0.28999999999999998</v>
      </c>
      <c r="M103" s="84">
        <v>5.7110000000000001E-2</v>
      </c>
      <c r="N103" s="84">
        <v>7.3672000000000001E-2</v>
      </c>
      <c r="O103" s="8" t="s">
        <v>366</v>
      </c>
      <c r="P103" s="163">
        <f t="shared" si="1"/>
        <v>1.2585421418468739</v>
      </c>
    </row>
    <row r="104" spans="1:16" x14ac:dyDescent="0.25">
      <c r="A104" s="8">
        <v>103</v>
      </c>
      <c r="B104" s="8">
        <v>8.07</v>
      </c>
      <c r="C104" s="153">
        <v>45.3309</v>
      </c>
      <c r="D104" s="85">
        <v>318.7407</v>
      </c>
      <c r="E104" s="85">
        <v>-20.789200000000001</v>
      </c>
      <c r="F104" s="156" t="s">
        <v>541</v>
      </c>
      <c r="G104" s="85">
        <v>2.44</v>
      </c>
      <c r="H104" s="85">
        <v>12.98</v>
      </c>
      <c r="I104" s="8">
        <v>0.4</v>
      </c>
      <c r="J104" s="8">
        <v>1383.4</v>
      </c>
      <c r="K104" s="8">
        <v>2.5499999999999998</v>
      </c>
      <c r="L104" s="8">
        <v>0.27</v>
      </c>
      <c r="M104" s="84">
        <v>5.6252999999999997E-2</v>
      </c>
      <c r="N104" s="84">
        <v>7.1441000000000004E-2</v>
      </c>
      <c r="O104" s="8" t="s">
        <v>381</v>
      </c>
      <c r="P104" s="163">
        <f t="shared" si="1"/>
        <v>1.2396469745294318</v>
      </c>
    </row>
    <row r="105" spans="1:16" x14ac:dyDescent="0.25">
      <c r="A105" s="8">
        <v>104</v>
      </c>
      <c r="B105" s="8">
        <v>4.74</v>
      </c>
      <c r="C105" s="153">
        <v>8.5550999999999995</v>
      </c>
      <c r="D105" s="85">
        <v>199.60130000000001</v>
      </c>
      <c r="E105" s="85">
        <v>-18.311199999999999</v>
      </c>
      <c r="F105" s="156" t="s">
        <v>240</v>
      </c>
      <c r="G105" s="85">
        <v>7.1999999999999995E-2</v>
      </c>
      <c r="H105" s="85">
        <v>9.4779999999999998</v>
      </c>
      <c r="I105" s="8">
        <v>0.4</v>
      </c>
      <c r="J105" s="8">
        <v>123</v>
      </c>
      <c r="K105" s="8">
        <v>0.48</v>
      </c>
      <c r="L105" s="8">
        <v>0.35</v>
      </c>
      <c r="M105" s="84">
        <v>5.6106999999999997E-2</v>
      </c>
      <c r="N105" s="84">
        <v>7.5745000000000007E-2</v>
      </c>
      <c r="O105" s="8" t="s">
        <v>241</v>
      </c>
      <c r="P105" s="163">
        <f t="shared" si="1"/>
        <v>1.2364265809154631</v>
      </c>
    </row>
    <row r="106" spans="1:16" x14ac:dyDescent="0.25">
      <c r="A106" s="8">
        <v>105</v>
      </c>
      <c r="B106" s="8">
        <v>7.78</v>
      </c>
      <c r="C106" s="153">
        <v>54.975299999999997</v>
      </c>
      <c r="D106" s="85">
        <v>58.956000000000003</v>
      </c>
      <c r="E106" s="85">
        <v>-65.186700000000002</v>
      </c>
      <c r="F106" s="156" t="s">
        <v>483</v>
      </c>
      <c r="G106" s="85">
        <v>0.95</v>
      </c>
      <c r="H106" s="85">
        <v>12.833</v>
      </c>
      <c r="I106" s="8">
        <v>0.4</v>
      </c>
      <c r="J106" s="8">
        <v>1845</v>
      </c>
      <c r="K106" s="8">
        <v>3.02</v>
      </c>
      <c r="L106" s="8">
        <v>0.08</v>
      </c>
      <c r="M106" s="84">
        <v>5.4933999999999997E-2</v>
      </c>
      <c r="N106" s="84">
        <v>5.9329E-2</v>
      </c>
      <c r="O106" s="8" t="s">
        <v>255</v>
      </c>
      <c r="P106" s="163">
        <f t="shared" si="1"/>
        <v>1.21057449845724</v>
      </c>
    </row>
    <row r="107" spans="1:16" x14ac:dyDescent="0.25">
      <c r="A107" s="8">
        <v>106</v>
      </c>
      <c r="B107" s="8">
        <v>5.4</v>
      </c>
      <c r="C107" s="153">
        <v>17.167400000000001</v>
      </c>
      <c r="D107" s="85">
        <v>40.639400000000002</v>
      </c>
      <c r="E107" s="85">
        <v>-50.8003</v>
      </c>
      <c r="F107" s="156" t="s">
        <v>267</v>
      </c>
      <c r="G107" s="85">
        <v>2.2599999999999998</v>
      </c>
      <c r="H107" s="85">
        <v>12.962999999999999</v>
      </c>
      <c r="I107" s="8">
        <v>0.4</v>
      </c>
      <c r="J107" s="8">
        <v>320.10000000000002</v>
      </c>
      <c r="K107" s="8">
        <v>0.93</v>
      </c>
      <c r="L107" s="8">
        <v>0.16</v>
      </c>
      <c r="M107" s="84">
        <v>5.4172999999999999E-2</v>
      </c>
      <c r="N107" s="84">
        <v>6.2839999999999993E-2</v>
      </c>
      <c r="O107" s="8" t="s">
        <v>255</v>
      </c>
      <c r="P107" s="163">
        <f t="shared" si="1"/>
        <v>1.193797343781259</v>
      </c>
    </row>
    <row r="108" spans="1:16" x14ac:dyDescent="0.25">
      <c r="A108" s="8">
        <v>107</v>
      </c>
      <c r="B108" s="8">
        <v>7.61</v>
      </c>
      <c r="C108" s="153">
        <v>64.433000000000007</v>
      </c>
      <c r="D108" s="85">
        <v>130.60470000000001</v>
      </c>
      <c r="E108" s="85">
        <v>4.5781000000000001</v>
      </c>
      <c r="F108" s="156" t="s">
        <v>458</v>
      </c>
      <c r="G108" s="85">
        <v>8.0299999999999994</v>
      </c>
      <c r="H108" s="85">
        <v>12.928000000000001</v>
      </c>
      <c r="I108" s="8">
        <v>0.4</v>
      </c>
      <c r="J108" s="8">
        <v>2476</v>
      </c>
      <c r="K108" s="8">
        <v>3.4</v>
      </c>
      <c r="L108" s="8">
        <v>0.43</v>
      </c>
      <c r="M108" s="84">
        <v>5.2768000000000002E-2</v>
      </c>
      <c r="N108" s="84">
        <v>7.5457999999999997E-2</v>
      </c>
      <c r="O108" s="8" t="s">
        <v>331</v>
      </c>
      <c r="P108" s="163">
        <f t="shared" si="1"/>
        <v>1.1628474650711327</v>
      </c>
    </row>
    <row r="109" spans="1:16" x14ac:dyDescent="0.25">
      <c r="A109" s="8">
        <v>108</v>
      </c>
      <c r="B109" s="8">
        <v>5.0949999999999998</v>
      </c>
      <c r="C109" s="153">
        <v>20.8855</v>
      </c>
      <c r="D109" s="85">
        <v>80.639700000000005</v>
      </c>
      <c r="E109" s="85">
        <v>79.231200000000001</v>
      </c>
      <c r="F109" s="156" t="s">
        <v>256</v>
      </c>
      <c r="G109" s="85">
        <v>9.1</v>
      </c>
      <c r="H109" s="85">
        <v>12.843</v>
      </c>
      <c r="I109" s="8">
        <v>0.4</v>
      </c>
      <c r="J109" s="8">
        <v>388</v>
      </c>
      <c r="K109" s="8">
        <v>1.1000000000000001</v>
      </c>
      <c r="L109" s="8">
        <v>0.34</v>
      </c>
      <c r="M109" s="84">
        <v>5.2668E-2</v>
      </c>
      <c r="N109" s="84">
        <v>7.0574999999999999E-2</v>
      </c>
      <c r="O109" s="8" t="s">
        <v>257</v>
      </c>
      <c r="P109" s="163">
        <f t="shared" si="1"/>
        <v>1.1606465756374902</v>
      </c>
    </row>
    <row r="110" spans="1:16" x14ac:dyDescent="0.25">
      <c r="A110" s="8">
        <v>109</v>
      </c>
      <c r="B110" s="8">
        <v>7.79</v>
      </c>
      <c r="C110" s="153">
        <v>32.372900000000001</v>
      </c>
      <c r="D110" s="85">
        <v>11.111000000000001</v>
      </c>
      <c r="E110" s="85">
        <v>-26.515699999999999</v>
      </c>
      <c r="F110" s="156" t="s">
        <v>484</v>
      </c>
      <c r="G110" s="85">
        <v>0.8</v>
      </c>
      <c r="H110" s="85">
        <v>12.805999999999999</v>
      </c>
      <c r="I110" s="8">
        <v>0.4</v>
      </c>
      <c r="J110" s="8">
        <v>829</v>
      </c>
      <c r="K110" s="8">
        <v>1.7</v>
      </c>
      <c r="L110" s="8">
        <v>0.04</v>
      </c>
      <c r="M110" s="84">
        <v>5.2512999999999997E-2</v>
      </c>
      <c r="N110" s="84">
        <v>5.4614000000000003E-2</v>
      </c>
      <c r="O110" s="8" t="s">
        <v>485</v>
      </c>
      <c r="P110" s="163">
        <f t="shared" si="1"/>
        <v>1.1572295147627845</v>
      </c>
    </row>
    <row r="111" spans="1:16" x14ac:dyDescent="0.25">
      <c r="A111" s="8">
        <v>110</v>
      </c>
      <c r="B111" s="8">
        <v>6.63</v>
      </c>
      <c r="C111" s="153">
        <v>21.561</v>
      </c>
      <c r="D111" s="85">
        <v>332.37439999999998</v>
      </c>
      <c r="E111" s="85">
        <v>-7.5487000000000002</v>
      </c>
      <c r="F111" s="156" t="s">
        <v>354</v>
      </c>
      <c r="G111" s="85">
        <v>1.23</v>
      </c>
      <c r="H111" s="85">
        <v>12.875999999999999</v>
      </c>
      <c r="I111" s="8">
        <v>0.4</v>
      </c>
      <c r="J111" s="8">
        <v>442.1</v>
      </c>
      <c r="K111" s="8">
        <v>1.1000000000000001</v>
      </c>
      <c r="L111" s="8">
        <v>0.47</v>
      </c>
      <c r="M111" s="84">
        <v>5.1018000000000001E-2</v>
      </c>
      <c r="N111" s="84">
        <v>7.4995999999999993E-2</v>
      </c>
      <c r="O111" s="8" t="s">
        <v>331</v>
      </c>
      <c r="P111" s="163">
        <f t="shared" si="1"/>
        <v>1.1242838484057696</v>
      </c>
    </row>
    <row r="112" spans="1:16" x14ac:dyDescent="0.25">
      <c r="A112" s="8">
        <v>111</v>
      </c>
      <c r="B112" s="8">
        <v>7.68</v>
      </c>
      <c r="C112" s="153">
        <v>33.67</v>
      </c>
      <c r="D112" s="85">
        <v>84.260400000000004</v>
      </c>
      <c r="E112" s="85">
        <v>20.730799999999999</v>
      </c>
      <c r="F112" s="156" t="s">
        <v>465</v>
      </c>
      <c r="G112" s="85">
        <v>0.65200000000000002</v>
      </c>
      <c r="H112" s="85">
        <v>12.779</v>
      </c>
      <c r="I112" s="8">
        <v>0.4</v>
      </c>
      <c r="J112" s="8">
        <v>885.5</v>
      </c>
      <c r="K112" s="8">
        <v>1.71</v>
      </c>
      <c r="L112" s="8">
        <v>0.13</v>
      </c>
      <c r="M112" s="84">
        <v>5.0786999999999999E-2</v>
      </c>
      <c r="N112" s="84">
        <v>5.7389000000000003E-2</v>
      </c>
      <c r="O112" s="8" t="s">
        <v>466</v>
      </c>
      <c r="P112" s="163">
        <f t="shared" si="1"/>
        <v>1.1191935020348658</v>
      </c>
    </row>
    <row r="113" spans="1:16" x14ac:dyDescent="0.25">
      <c r="A113" s="8">
        <v>112</v>
      </c>
      <c r="B113" s="8">
        <v>7.58</v>
      </c>
      <c r="C113" s="153">
        <v>84.889600000000002</v>
      </c>
      <c r="D113" s="85">
        <v>183.40539999999999</v>
      </c>
      <c r="E113" s="85">
        <v>-9.5134000000000007</v>
      </c>
      <c r="F113" s="156" t="s">
        <v>453</v>
      </c>
      <c r="G113" s="85">
        <v>11</v>
      </c>
      <c r="H113" s="85">
        <v>12.692</v>
      </c>
      <c r="I113" s="8">
        <v>0.4</v>
      </c>
      <c r="J113" s="8">
        <v>2890</v>
      </c>
      <c r="K113" s="8">
        <v>4.3</v>
      </c>
      <c r="L113" s="8">
        <v>0.4</v>
      </c>
      <c r="M113" s="84">
        <v>5.0653999999999998E-2</v>
      </c>
      <c r="N113" s="84">
        <v>7.0916000000000007E-2</v>
      </c>
      <c r="O113" s="8" t="s">
        <v>337</v>
      </c>
      <c r="P113" s="163">
        <f t="shared" si="1"/>
        <v>1.1162620352953638</v>
      </c>
    </row>
    <row r="114" spans="1:16" x14ac:dyDescent="0.25">
      <c r="A114" s="8">
        <v>113</v>
      </c>
      <c r="B114" s="8">
        <v>8.65</v>
      </c>
      <c r="C114" s="153">
        <v>50.276499999999999</v>
      </c>
      <c r="D114" s="85">
        <v>278.68200000000002</v>
      </c>
      <c r="E114" s="85">
        <v>-28.072299999999998</v>
      </c>
      <c r="F114" s="156" t="s">
        <v>604</v>
      </c>
      <c r="G114" s="85">
        <v>2.6</v>
      </c>
      <c r="H114" s="85">
        <v>12.997</v>
      </c>
      <c r="I114" s="8">
        <v>0.4</v>
      </c>
      <c r="J114" s="8">
        <v>1523</v>
      </c>
      <c r="K114" s="8">
        <v>2.54</v>
      </c>
      <c r="L114" s="8">
        <v>0.4</v>
      </c>
      <c r="M114" s="84">
        <v>5.0521000000000003E-2</v>
      </c>
      <c r="N114" s="84">
        <v>7.0729E-2</v>
      </c>
      <c r="O114" s="8" t="s">
        <v>226</v>
      </c>
      <c r="P114" s="163">
        <f t="shared" si="1"/>
        <v>1.1133221919315472</v>
      </c>
    </row>
    <row r="115" spans="1:16" x14ac:dyDescent="0.25">
      <c r="A115" s="8">
        <v>114</v>
      </c>
      <c r="B115" s="8">
        <v>5.95</v>
      </c>
      <c r="C115" s="153">
        <v>12.4938</v>
      </c>
      <c r="D115" s="85">
        <v>124.5998</v>
      </c>
      <c r="E115" s="85">
        <v>-12.632199999999999</v>
      </c>
      <c r="F115" s="156" t="s">
        <v>302</v>
      </c>
      <c r="G115" s="85">
        <v>5.8000000000000003E-2</v>
      </c>
      <c r="H115" s="85">
        <v>8.5649999999999995</v>
      </c>
      <c r="I115" s="8">
        <v>0.4</v>
      </c>
      <c r="J115" s="8">
        <v>197</v>
      </c>
      <c r="K115" s="8">
        <v>0.63</v>
      </c>
      <c r="L115" s="8">
        <v>7.0000000000000007E-2</v>
      </c>
      <c r="M115" s="84">
        <v>5.0424999999999998E-2</v>
      </c>
      <c r="N115" s="84">
        <v>5.3955000000000003E-2</v>
      </c>
      <c r="O115" s="8" t="s">
        <v>303</v>
      </c>
      <c r="P115" s="163">
        <f t="shared" si="1"/>
        <v>1.1112152322061113</v>
      </c>
    </row>
    <row r="116" spans="1:16" x14ac:dyDescent="0.25">
      <c r="A116" s="8">
        <v>115</v>
      </c>
      <c r="B116" s="8">
        <v>6.8</v>
      </c>
      <c r="C116" s="153">
        <v>40.633899999999997</v>
      </c>
      <c r="D116" s="85">
        <v>337.75150000000002</v>
      </c>
      <c r="E116" s="85">
        <v>-49.433300000000003</v>
      </c>
      <c r="F116" s="156" t="s">
        <v>370</v>
      </c>
      <c r="G116" s="85">
        <v>4.5</v>
      </c>
      <c r="H116" s="85">
        <v>13.118</v>
      </c>
      <c r="I116" s="8">
        <v>0.4</v>
      </c>
      <c r="J116" s="8">
        <v>951</v>
      </c>
      <c r="K116" s="8">
        <v>2.0299999999999998</v>
      </c>
      <c r="L116" s="8">
        <v>0.45</v>
      </c>
      <c r="M116" s="84">
        <v>4.9958000000000002E-2</v>
      </c>
      <c r="N116" s="84">
        <v>7.2440000000000004E-2</v>
      </c>
      <c r="O116" s="8" t="s">
        <v>371</v>
      </c>
      <c r="P116" s="163">
        <f t="shared" si="1"/>
        <v>1.1009300257939107</v>
      </c>
    </row>
    <row r="117" spans="1:16" x14ac:dyDescent="0.25">
      <c r="A117" s="8">
        <v>116</v>
      </c>
      <c r="B117" s="8">
        <v>4.8860000000000001</v>
      </c>
      <c r="C117" s="153">
        <v>9.2208000000000006</v>
      </c>
      <c r="D117" s="85">
        <v>176.62950000000001</v>
      </c>
      <c r="E117" s="85">
        <v>-40.500399999999999</v>
      </c>
      <c r="F117" s="156" t="s">
        <v>246</v>
      </c>
      <c r="G117" s="85">
        <v>0.05</v>
      </c>
      <c r="H117" s="85">
        <v>7.7930000000000001</v>
      </c>
      <c r="I117" s="8">
        <v>0.4</v>
      </c>
      <c r="J117" s="8">
        <v>122.1</v>
      </c>
      <c r="K117" s="8">
        <v>0.46</v>
      </c>
      <c r="L117" s="8">
        <v>0.34</v>
      </c>
      <c r="M117" s="84">
        <v>4.9887000000000001E-2</v>
      </c>
      <c r="N117" s="84">
        <v>6.6849000000000006E-2</v>
      </c>
      <c r="O117" s="8" t="s">
        <v>247</v>
      </c>
      <c r="P117" s="163">
        <f t="shared" si="1"/>
        <v>1.0993637571892134</v>
      </c>
    </row>
    <row r="118" spans="1:16" x14ac:dyDescent="0.25">
      <c r="A118" s="8">
        <v>117</v>
      </c>
      <c r="B118" s="8">
        <v>7.49</v>
      </c>
      <c r="C118" s="153">
        <v>49.975000000000001</v>
      </c>
      <c r="D118" s="85">
        <v>309.46550000000002</v>
      </c>
      <c r="E118" s="85">
        <v>-60.634500000000003</v>
      </c>
      <c r="F118" s="156" t="s">
        <v>441</v>
      </c>
      <c r="G118" s="85">
        <v>2.83</v>
      </c>
      <c r="H118" s="85">
        <v>13.021000000000001</v>
      </c>
      <c r="I118" s="8">
        <v>0.4</v>
      </c>
      <c r="J118" s="8">
        <v>1316.2</v>
      </c>
      <c r="K118" s="8">
        <v>2.4700000000000002</v>
      </c>
      <c r="L118" s="8">
        <v>0.21</v>
      </c>
      <c r="M118" s="84">
        <v>4.9424999999999997E-2</v>
      </c>
      <c r="N118" s="84">
        <v>5.9804000000000003E-2</v>
      </c>
      <c r="O118" s="8" t="s">
        <v>387</v>
      </c>
      <c r="P118" s="163">
        <f t="shared" si="1"/>
        <v>1.0891716697808487</v>
      </c>
    </row>
    <row r="119" spans="1:16" x14ac:dyDescent="0.25">
      <c r="A119" s="8">
        <v>118</v>
      </c>
      <c r="B119" s="8">
        <v>8.3699999999999992</v>
      </c>
      <c r="C119" s="153">
        <v>52.8262</v>
      </c>
      <c r="D119" s="85">
        <v>70.476600000000005</v>
      </c>
      <c r="E119" s="85">
        <v>-58.020800000000001</v>
      </c>
      <c r="F119" s="156" t="s">
        <v>583</v>
      </c>
      <c r="G119" s="85">
        <v>7.7</v>
      </c>
      <c r="H119" s="85">
        <v>12.955</v>
      </c>
      <c r="I119" s="8">
        <v>0.4</v>
      </c>
      <c r="J119" s="8">
        <v>1620</v>
      </c>
      <c r="K119" s="8">
        <v>2.6</v>
      </c>
      <c r="L119" s="8">
        <v>0.22</v>
      </c>
      <c r="M119" s="84">
        <v>4.9217999999999998E-2</v>
      </c>
      <c r="N119" s="84">
        <v>6.0046000000000002E-2</v>
      </c>
      <c r="O119" s="8" t="s">
        <v>226</v>
      </c>
      <c r="P119" s="163">
        <f t="shared" si="1"/>
        <v>1.0846163894610092</v>
      </c>
    </row>
    <row r="120" spans="1:16" x14ac:dyDescent="0.25">
      <c r="A120" s="8">
        <v>119</v>
      </c>
      <c r="B120" s="8">
        <v>7.85</v>
      </c>
      <c r="C120" s="153">
        <v>38.1098</v>
      </c>
      <c r="D120" s="85">
        <v>216.88740000000001</v>
      </c>
      <c r="E120" s="85">
        <v>-51.933100000000003</v>
      </c>
      <c r="F120" s="156" t="s">
        <v>495</v>
      </c>
      <c r="G120" s="85">
        <v>0.224</v>
      </c>
      <c r="H120" s="85">
        <v>11.84</v>
      </c>
      <c r="I120" s="8">
        <v>0.4</v>
      </c>
      <c r="J120" s="8">
        <v>948.1</v>
      </c>
      <c r="K120" s="8">
        <v>1.81</v>
      </c>
      <c r="L120" s="8">
        <v>0.13</v>
      </c>
      <c r="M120" s="84">
        <v>4.7494000000000001E-2</v>
      </c>
      <c r="N120" s="84">
        <v>5.3669000000000001E-2</v>
      </c>
      <c r="O120" s="8" t="s">
        <v>249</v>
      </c>
      <c r="P120" s="163">
        <f t="shared" si="1"/>
        <v>1.0466321986473774</v>
      </c>
    </row>
    <row r="121" spans="1:16" x14ac:dyDescent="0.25">
      <c r="A121" s="8">
        <v>120</v>
      </c>
      <c r="B121" s="8">
        <v>7.69</v>
      </c>
      <c r="C121" s="153">
        <v>51.599600000000002</v>
      </c>
      <c r="D121" s="85">
        <v>247.072</v>
      </c>
      <c r="E121" s="85">
        <v>-46.317599999999999</v>
      </c>
      <c r="F121" s="156" t="s">
        <v>469</v>
      </c>
      <c r="G121" s="85">
        <v>0.85</v>
      </c>
      <c r="H121" s="85">
        <v>12.815</v>
      </c>
      <c r="I121" s="8">
        <v>0.4</v>
      </c>
      <c r="J121" s="8">
        <v>1010</v>
      </c>
      <c r="K121" s="8">
        <v>2.4500000000000002</v>
      </c>
      <c r="L121" s="8">
        <v>0.52</v>
      </c>
      <c r="M121" s="84">
        <v>4.7481000000000002E-2</v>
      </c>
      <c r="N121" s="84">
        <v>7.2170999999999999E-2</v>
      </c>
      <c r="O121" s="8" t="s">
        <v>253</v>
      </c>
      <c r="P121" s="163">
        <f t="shared" si="1"/>
        <v>1.046337849270117</v>
      </c>
    </row>
    <row r="122" spans="1:16" x14ac:dyDescent="0.25">
      <c r="A122" s="8">
        <v>121</v>
      </c>
      <c r="B122" s="8">
        <v>7.25</v>
      </c>
      <c r="C122" s="153">
        <v>32.299700000000001</v>
      </c>
      <c r="D122" s="85">
        <v>238.07310000000001</v>
      </c>
      <c r="E122" s="85">
        <v>-18.4361</v>
      </c>
      <c r="F122" s="156" t="s">
        <v>409</v>
      </c>
      <c r="G122" s="85">
        <v>9.6999999999999993</v>
      </c>
      <c r="H122" s="85">
        <v>12.795999999999999</v>
      </c>
      <c r="I122" s="8">
        <v>0.4</v>
      </c>
      <c r="J122" s="8">
        <v>653.20000000000005</v>
      </c>
      <c r="K122" s="8">
        <v>1.52</v>
      </c>
      <c r="L122" s="8">
        <v>0.41</v>
      </c>
      <c r="M122" s="84">
        <v>4.7058999999999997E-2</v>
      </c>
      <c r="N122" s="84">
        <v>6.6352999999999995E-2</v>
      </c>
      <c r="O122" s="8" t="s">
        <v>253</v>
      </c>
      <c r="P122" s="163">
        <f t="shared" si="1"/>
        <v>1.0370442439888898</v>
      </c>
    </row>
    <row r="123" spans="1:16" x14ac:dyDescent="0.25">
      <c r="A123" s="8">
        <v>122</v>
      </c>
      <c r="B123" s="8">
        <v>7.51</v>
      </c>
      <c r="C123" s="153">
        <v>51.706299999999999</v>
      </c>
      <c r="D123" s="85">
        <v>28.210599999999999</v>
      </c>
      <c r="E123" s="85">
        <v>-19.507000000000001</v>
      </c>
      <c r="F123" s="156" t="s">
        <v>442</v>
      </c>
      <c r="G123" s="85">
        <v>3.44</v>
      </c>
      <c r="H123" s="85">
        <v>13.087</v>
      </c>
      <c r="I123" s="8">
        <v>0.4</v>
      </c>
      <c r="J123" s="8">
        <v>1270</v>
      </c>
      <c r="K123" s="8">
        <v>2.4300000000000002</v>
      </c>
      <c r="L123" s="8">
        <v>0.22</v>
      </c>
      <c r="M123" s="84">
        <v>4.6996000000000003E-2</v>
      </c>
      <c r="N123" s="84">
        <v>5.7334999999999997E-2</v>
      </c>
      <c r="O123" s="8" t="s">
        <v>282</v>
      </c>
      <c r="P123" s="163">
        <f t="shared" si="1"/>
        <v>1.035654741822539</v>
      </c>
    </row>
    <row r="124" spans="1:16" x14ac:dyDescent="0.25">
      <c r="A124" s="8">
        <v>123</v>
      </c>
      <c r="B124" s="8">
        <v>8.5500000000000007</v>
      </c>
      <c r="C124" s="153">
        <v>32.372900000000001</v>
      </c>
      <c r="D124" s="85">
        <v>147.5104</v>
      </c>
      <c r="E124" s="85">
        <v>-49.790300000000002</v>
      </c>
      <c r="F124" s="156" t="s">
        <v>600</v>
      </c>
      <c r="G124" s="85">
        <v>0.13200000000000001</v>
      </c>
      <c r="H124" s="85">
        <v>11.119</v>
      </c>
      <c r="I124" s="8">
        <v>0.4</v>
      </c>
      <c r="J124" s="8">
        <v>788</v>
      </c>
      <c r="K124" s="8">
        <v>1.52</v>
      </c>
      <c r="L124" s="8">
        <v>0.41</v>
      </c>
      <c r="M124" s="84">
        <v>4.6953000000000002E-2</v>
      </c>
      <c r="N124" s="84">
        <v>6.6202999999999998E-2</v>
      </c>
      <c r="O124" s="8" t="s">
        <v>601</v>
      </c>
      <c r="P124" s="163">
        <f t="shared" si="1"/>
        <v>1.0346993308467249</v>
      </c>
    </row>
    <row r="125" spans="1:16" x14ac:dyDescent="0.25">
      <c r="A125" s="8">
        <v>124</v>
      </c>
      <c r="B125" s="8">
        <v>6.41</v>
      </c>
      <c r="C125" s="153">
        <v>26.680900000000001</v>
      </c>
      <c r="D125" s="85">
        <v>49.416899999999998</v>
      </c>
      <c r="E125" s="85">
        <v>31.126999999999999</v>
      </c>
      <c r="F125" s="156" t="s">
        <v>330</v>
      </c>
      <c r="G125" s="85">
        <v>1.07</v>
      </c>
      <c r="H125" s="85">
        <v>12.851000000000001</v>
      </c>
      <c r="I125" s="8">
        <v>0.4</v>
      </c>
      <c r="J125" s="8">
        <v>500</v>
      </c>
      <c r="K125" s="8">
        <v>1.25</v>
      </c>
      <c r="L125" s="8">
        <v>0.23</v>
      </c>
      <c r="M125" s="84">
        <v>4.6850000000000003E-2</v>
      </c>
      <c r="N125" s="84">
        <v>5.7625000000000003E-2</v>
      </c>
      <c r="O125" s="8" t="s">
        <v>331</v>
      </c>
      <c r="P125" s="163">
        <f t="shared" si="1"/>
        <v>1.0324326346271542</v>
      </c>
    </row>
    <row r="126" spans="1:16" x14ac:dyDescent="0.25">
      <c r="A126" s="8">
        <v>125</v>
      </c>
      <c r="B126" s="8">
        <v>7.69</v>
      </c>
      <c r="C126" s="153">
        <v>52.5486</v>
      </c>
      <c r="D126" s="85">
        <v>20.905200000000001</v>
      </c>
      <c r="E126" s="85">
        <v>-41.269799999999996</v>
      </c>
      <c r="F126" s="156" t="s">
        <v>471</v>
      </c>
      <c r="G126" s="85">
        <v>0.68</v>
      </c>
      <c r="H126" s="85">
        <v>12.784000000000001</v>
      </c>
      <c r="I126" s="8">
        <v>0.4</v>
      </c>
      <c r="J126" s="8">
        <v>1313</v>
      </c>
      <c r="K126" s="8">
        <v>2.4500000000000002</v>
      </c>
      <c r="L126" s="8">
        <v>0.15</v>
      </c>
      <c r="M126" s="84">
        <v>4.6623999999999999E-2</v>
      </c>
      <c r="N126" s="84">
        <v>5.3616999999999998E-2</v>
      </c>
      <c r="O126" s="8" t="s">
        <v>282</v>
      </c>
      <c r="P126" s="163">
        <f t="shared" si="1"/>
        <v>1.0274415395880829</v>
      </c>
    </row>
    <row r="127" spans="1:16" x14ac:dyDescent="0.25">
      <c r="A127" s="8">
        <v>126</v>
      </c>
      <c r="B127" s="8">
        <v>7.21</v>
      </c>
      <c r="C127" s="153">
        <v>44.033499999999997</v>
      </c>
      <c r="D127" s="85">
        <v>297.39150000000001</v>
      </c>
      <c r="E127" s="85">
        <v>-37.780500000000004</v>
      </c>
      <c r="F127" s="156" t="s">
        <v>403</v>
      </c>
      <c r="G127" s="85">
        <v>0.75</v>
      </c>
      <c r="H127" s="85">
        <v>12.797000000000001</v>
      </c>
      <c r="I127" s="8">
        <v>0.4</v>
      </c>
      <c r="J127" s="8">
        <v>986</v>
      </c>
      <c r="K127" s="8">
        <v>2.0499999999999998</v>
      </c>
      <c r="L127" s="8">
        <v>0.47</v>
      </c>
      <c r="M127" s="84">
        <v>4.6554999999999999E-2</v>
      </c>
      <c r="N127" s="84">
        <v>6.8436999999999998E-2</v>
      </c>
      <c r="O127" s="8" t="s">
        <v>282</v>
      </c>
      <c r="P127" s="163">
        <f t="shared" si="1"/>
        <v>1.0259420733125182</v>
      </c>
    </row>
    <row r="128" spans="1:16" x14ac:dyDescent="0.25">
      <c r="A128" s="8">
        <v>127</v>
      </c>
      <c r="B128" s="8">
        <v>9.0570000000000004</v>
      </c>
      <c r="C128" s="153">
        <v>15.865500000000001</v>
      </c>
      <c r="D128" s="85">
        <v>196.23949999999999</v>
      </c>
      <c r="E128" s="85">
        <v>-52.442900000000002</v>
      </c>
      <c r="F128" s="156" t="s">
        <v>636</v>
      </c>
      <c r="G128" s="85">
        <v>0.27</v>
      </c>
      <c r="H128" s="85">
        <v>12.044</v>
      </c>
      <c r="I128" s="8">
        <v>0.4</v>
      </c>
      <c r="J128" s="8">
        <v>263.3</v>
      </c>
      <c r="K128" s="8">
        <v>0.71</v>
      </c>
      <c r="L128" s="8">
        <v>0.61</v>
      </c>
      <c r="M128" s="84">
        <v>4.4750999999999999E-2</v>
      </c>
      <c r="N128" s="84">
        <v>7.2050000000000003E-2</v>
      </c>
      <c r="O128" s="8" t="s">
        <v>637</v>
      </c>
      <c r="P128" s="163">
        <f t="shared" si="1"/>
        <v>0.98618131849201252</v>
      </c>
    </row>
    <row r="129" spans="1:16" x14ac:dyDescent="0.25">
      <c r="A129" s="8">
        <v>128</v>
      </c>
      <c r="B129" s="8">
        <v>8.3000000000000007</v>
      </c>
      <c r="C129" s="153">
        <v>42.955300000000001</v>
      </c>
      <c r="D129" s="85">
        <v>245.75059999999999</v>
      </c>
      <c r="E129" s="85">
        <v>-61.688800000000001</v>
      </c>
      <c r="F129" s="156" t="s">
        <v>574</v>
      </c>
      <c r="G129" s="85">
        <v>6.56</v>
      </c>
      <c r="H129" s="85">
        <v>13.045</v>
      </c>
      <c r="I129" s="8">
        <v>0.4</v>
      </c>
      <c r="J129" s="8">
        <v>1008</v>
      </c>
      <c r="K129" s="8">
        <v>1.92</v>
      </c>
      <c r="L129" s="8">
        <v>0.13</v>
      </c>
      <c r="M129" s="84">
        <v>4.4698000000000002E-2</v>
      </c>
      <c r="N129" s="84">
        <v>5.0507999999999997E-2</v>
      </c>
      <c r="O129" s="8" t="s">
        <v>314</v>
      </c>
      <c r="P129" s="163">
        <f t="shared" si="1"/>
        <v>0.98500097006794285</v>
      </c>
    </row>
    <row r="130" spans="1:16" x14ac:dyDescent="0.25">
      <c r="A130" s="8">
        <v>129</v>
      </c>
      <c r="B130" s="8">
        <v>7.33</v>
      </c>
      <c r="C130" s="153">
        <v>46.468400000000003</v>
      </c>
      <c r="D130" s="85">
        <v>79.4208</v>
      </c>
      <c r="E130" s="85">
        <v>7.3532999999999999</v>
      </c>
      <c r="F130" s="156" t="s">
        <v>415</v>
      </c>
      <c r="G130" s="85">
        <v>0.79</v>
      </c>
      <c r="H130" s="85">
        <v>12.804</v>
      </c>
      <c r="I130" s="8">
        <v>0.4</v>
      </c>
      <c r="J130" s="8">
        <v>1049</v>
      </c>
      <c r="K130" s="8">
        <v>2.0699999999999998</v>
      </c>
      <c r="L130" s="8">
        <v>0.27</v>
      </c>
      <c r="M130" s="84">
        <v>4.4546000000000002E-2</v>
      </c>
      <c r="N130" s="84">
        <v>5.6573999999999999E-2</v>
      </c>
      <c r="O130" s="8" t="s">
        <v>331</v>
      </c>
      <c r="P130" s="163">
        <f t="shared" ref="P130:P193" si="2">(K130*AU)/(C130*pc)/FWHMsky</f>
        <v>0.98166840251238141</v>
      </c>
    </row>
    <row r="131" spans="1:16" x14ac:dyDescent="0.25">
      <c r="A131" s="8">
        <v>130</v>
      </c>
      <c r="B131" s="8">
        <v>7.11</v>
      </c>
      <c r="C131" s="153">
        <v>33.886800000000001</v>
      </c>
      <c r="D131" s="85">
        <v>54.929600000000001</v>
      </c>
      <c r="E131" s="85">
        <v>-52.915799999999997</v>
      </c>
      <c r="F131" s="156" t="s">
        <v>390</v>
      </c>
      <c r="G131" s="85">
        <v>2.5</v>
      </c>
      <c r="H131" s="85">
        <v>12.986000000000001</v>
      </c>
      <c r="I131" s="8">
        <v>0.4</v>
      </c>
      <c r="J131" s="8">
        <v>626</v>
      </c>
      <c r="K131" s="8">
        <v>1.5</v>
      </c>
      <c r="L131" s="8">
        <v>0.02</v>
      </c>
      <c r="M131" s="84">
        <v>4.4264999999999999E-2</v>
      </c>
      <c r="N131" s="84">
        <v>4.5150000000000003E-2</v>
      </c>
      <c r="O131" s="8" t="s">
        <v>364</v>
      </c>
      <c r="P131" s="163">
        <f t="shared" si="2"/>
        <v>0.97546768232669834</v>
      </c>
    </row>
    <row r="132" spans="1:16" x14ac:dyDescent="0.25">
      <c r="A132" s="8">
        <v>131</v>
      </c>
      <c r="B132" s="8">
        <v>8.7899999999999991</v>
      </c>
      <c r="C132" s="153">
        <v>65.530799999999999</v>
      </c>
      <c r="D132" s="85">
        <v>221.5128</v>
      </c>
      <c r="E132" s="85">
        <v>-68.762699999999995</v>
      </c>
      <c r="F132" s="156" t="s">
        <v>622</v>
      </c>
      <c r="G132" s="85">
        <v>1.6</v>
      </c>
      <c r="H132" s="85">
        <v>12.916</v>
      </c>
      <c r="I132" s="8">
        <v>0.4</v>
      </c>
      <c r="J132" s="8">
        <v>1840</v>
      </c>
      <c r="K132" s="8">
        <v>2.9</v>
      </c>
      <c r="L132" s="8">
        <v>0.7</v>
      </c>
      <c r="M132" s="84">
        <v>4.4254000000000002E-2</v>
      </c>
      <c r="N132" s="84">
        <v>7.5231999999999993E-2</v>
      </c>
      <c r="O132" s="8" t="s">
        <v>381</v>
      </c>
      <c r="P132" s="163">
        <f t="shared" si="2"/>
        <v>0.97522474873553866</v>
      </c>
    </row>
    <row r="133" spans="1:16" x14ac:dyDescent="0.25">
      <c r="A133" s="8">
        <v>132</v>
      </c>
      <c r="B133" s="8">
        <v>6.8540000000000001</v>
      </c>
      <c r="C133" s="153">
        <v>26.4971</v>
      </c>
      <c r="D133" s="85">
        <v>228.81270000000001</v>
      </c>
      <c r="E133" s="85">
        <v>-70.519599999999997</v>
      </c>
      <c r="F133" s="156" t="s">
        <v>374</v>
      </c>
      <c r="G133" s="85">
        <v>0.121</v>
      </c>
      <c r="H133" s="85">
        <v>10.930999999999999</v>
      </c>
      <c r="I133" s="8">
        <v>0.4</v>
      </c>
      <c r="J133" s="8">
        <v>459.3</v>
      </c>
      <c r="K133" s="8">
        <v>1.1599999999999999</v>
      </c>
      <c r="L133" s="8">
        <v>0.46</v>
      </c>
      <c r="M133" s="84">
        <v>4.3777999999999997E-2</v>
      </c>
      <c r="N133" s="84">
        <v>6.3916000000000001E-2</v>
      </c>
      <c r="O133" s="8" t="s">
        <v>375</v>
      </c>
      <c r="P133" s="163">
        <f t="shared" si="2"/>
        <v>0.96474343176330768</v>
      </c>
    </row>
    <row r="134" spans="1:16" x14ac:dyDescent="0.25">
      <c r="A134" s="8">
        <v>133</v>
      </c>
      <c r="B134" s="8">
        <v>7.7789999999999999</v>
      </c>
      <c r="C134" s="153">
        <v>54.854599999999998</v>
      </c>
      <c r="D134" s="85">
        <v>345.7842</v>
      </c>
      <c r="E134" s="85">
        <v>-0.42963000000000001</v>
      </c>
      <c r="F134" s="156" t="s">
        <v>480</v>
      </c>
      <c r="G134" s="85">
        <v>13</v>
      </c>
      <c r="H134" s="85">
        <v>12.532999999999999</v>
      </c>
      <c r="I134" s="8">
        <v>0.4</v>
      </c>
      <c r="J134" s="8">
        <v>1319</v>
      </c>
      <c r="K134" s="8">
        <v>2.38</v>
      </c>
      <c r="L134" s="8">
        <v>0.4</v>
      </c>
      <c r="M134" s="84">
        <v>4.3387000000000002E-2</v>
      </c>
      <c r="N134" s="84">
        <v>6.0741999999999997E-2</v>
      </c>
      <c r="O134" s="8" t="s">
        <v>255</v>
      </c>
      <c r="P134" s="163">
        <f t="shared" si="2"/>
        <v>0.95612811873297421</v>
      </c>
    </row>
    <row r="135" spans="1:16" x14ac:dyDescent="0.25">
      <c r="A135" s="8">
        <v>134</v>
      </c>
      <c r="B135" s="8">
        <v>6.53</v>
      </c>
      <c r="C135" s="153">
        <v>27.4725</v>
      </c>
      <c r="D135" s="85">
        <v>143.7114</v>
      </c>
      <c r="E135" s="85">
        <v>-12.1295</v>
      </c>
      <c r="F135" s="156" t="s">
        <v>345</v>
      </c>
      <c r="G135" s="85">
        <v>1.75</v>
      </c>
      <c r="H135" s="85">
        <v>12.927</v>
      </c>
      <c r="I135" s="8">
        <v>0.4</v>
      </c>
      <c r="J135" s="8">
        <v>441.2</v>
      </c>
      <c r="K135" s="8">
        <v>1.19</v>
      </c>
      <c r="L135" s="8">
        <v>0.22</v>
      </c>
      <c r="M135" s="84">
        <v>4.3316E-2</v>
      </c>
      <c r="N135" s="84">
        <v>5.2845999999999997E-2</v>
      </c>
      <c r="O135" s="8" t="s">
        <v>346</v>
      </c>
      <c r="P135" s="163">
        <f t="shared" si="2"/>
        <v>0.95455501868868509</v>
      </c>
    </row>
    <row r="136" spans="1:16" x14ac:dyDescent="0.25">
      <c r="A136" s="8">
        <v>135</v>
      </c>
      <c r="B136" s="8">
        <v>3.53</v>
      </c>
      <c r="C136" s="153">
        <v>44.963999999999999</v>
      </c>
      <c r="D136" s="85">
        <v>67.154200000000003</v>
      </c>
      <c r="E136" s="85">
        <v>19.180399999999999</v>
      </c>
      <c r="F136" s="156" t="s">
        <v>216</v>
      </c>
      <c r="G136" s="85">
        <v>7.6</v>
      </c>
      <c r="H136" s="85">
        <v>12.962999999999999</v>
      </c>
      <c r="I136" s="8">
        <v>0.4</v>
      </c>
      <c r="J136" s="8">
        <v>594.9</v>
      </c>
      <c r="K136" s="8">
        <v>1.93</v>
      </c>
      <c r="L136" s="8">
        <v>0.15</v>
      </c>
      <c r="M136" s="84">
        <v>4.2923000000000003E-2</v>
      </c>
      <c r="N136" s="84">
        <v>4.9362000000000003E-2</v>
      </c>
      <c r="O136" s="8" t="s">
        <v>217</v>
      </c>
      <c r="P136" s="163">
        <f t="shared" si="2"/>
        <v>0.94589854160237741</v>
      </c>
    </row>
    <row r="137" spans="1:16" x14ac:dyDescent="0.25">
      <c r="A137" s="8">
        <v>136</v>
      </c>
      <c r="B137" s="8">
        <v>8.76</v>
      </c>
      <c r="C137" s="153">
        <v>62.617400000000004</v>
      </c>
      <c r="D137" s="85">
        <v>187.61199999999999</v>
      </c>
      <c r="E137" s="85">
        <v>22.879799999999999</v>
      </c>
      <c r="F137" s="156" t="s">
        <v>617</v>
      </c>
      <c r="G137" s="85">
        <v>1.018</v>
      </c>
      <c r="H137" s="85">
        <v>12.843</v>
      </c>
      <c r="I137" s="8">
        <v>0.4</v>
      </c>
      <c r="J137" s="8">
        <v>1605.8</v>
      </c>
      <c r="K137" s="8">
        <v>2.68</v>
      </c>
      <c r="L137" s="8">
        <v>0.25</v>
      </c>
      <c r="M137" s="84">
        <v>4.2799999999999998E-2</v>
      </c>
      <c r="N137" s="84">
        <v>5.3499999999999999E-2</v>
      </c>
      <c r="O137" s="8" t="s">
        <v>314</v>
      </c>
      <c r="P137" s="163">
        <f t="shared" si="2"/>
        <v>0.94317427988615743</v>
      </c>
    </row>
    <row r="138" spans="1:16" x14ac:dyDescent="0.25">
      <c r="A138" s="8">
        <v>137</v>
      </c>
      <c r="B138" s="8">
        <v>7.41</v>
      </c>
      <c r="C138" s="153">
        <v>68.775800000000004</v>
      </c>
      <c r="D138" s="85">
        <v>149.24100000000001</v>
      </c>
      <c r="E138" s="85">
        <v>-15.895099999999999</v>
      </c>
      <c r="F138" s="156" t="s">
        <v>426</v>
      </c>
      <c r="G138" s="85">
        <v>7</v>
      </c>
      <c r="H138" s="85">
        <v>13.01</v>
      </c>
      <c r="I138" s="8">
        <v>0.4</v>
      </c>
      <c r="J138" s="8">
        <v>1475</v>
      </c>
      <c r="K138" s="8">
        <v>2.86</v>
      </c>
      <c r="L138" s="8">
        <v>0.7</v>
      </c>
      <c r="M138" s="84">
        <v>4.1584000000000003E-2</v>
      </c>
      <c r="N138" s="84">
        <v>7.0693000000000006E-2</v>
      </c>
      <c r="O138" s="8" t="s">
        <v>284</v>
      </c>
      <c r="P138" s="163">
        <f t="shared" si="2"/>
        <v>0.91639469906914472</v>
      </c>
    </row>
    <row r="139" spans="1:16" x14ac:dyDescent="0.25">
      <c r="A139" s="8">
        <v>138</v>
      </c>
      <c r="B139" s="8">
        <v>3.31</v>
      </c>
      <c r="C139" s="153">
        <v>31.027000000000001</v>
      </c>
      <c r="D139" s="85">
        <v>231.23240000000001</v>
      </c>
      <c r="E139" s="85">
        <v>58.966099999999997</v>
      </c>
      <c r="F139" s="156" t="s">
        <v>215</v>
      </c>
      <c r="G139" s="85">
        <v>8.82</v>
      </c>
      <c r="H139" s="85">
        <v>12.866</v>
      </c>
      <c r="I139" s="8">
        <v>0.4</v>
      </c>
      <c r="J139" s="8">
        <v>510.7</v>
      </c>
      <c r="K139" s="8">
        <v>1.28</v>
      </c>
      <c r="L139" s="8">
        <v>0.71</v>
      </c>
      <c r="M139" s="84">
        <v>4.1253999999999999E-2</v>
      </c>
      <c r="N139" s="84">
        <v>7.0544999999999997E-2</v>
      </c>
      <c r="O139" s="8" t="s">
        <v>208</v>
      </c>
      <c r="P139" s="163">
        <f t="shared" si="2"/>
        <v>0.90912242390089282</v>
      </c>
    </row>
    <row r="140" spans="1:16" x14ac:dyDescent="0.25">
      <c r="A140" s="8">
        <v>139</v>
      </c>
      <c r="B140" s="8">
        <v>3.3090000000000002</v>
      </c>
      <c r="C140" s="153">
        <v>46.210700000000003</v>
      </c>
      <c r="D140" s="85">
        <v>269.75659999999999</v>
      </c>
      <c r="E140" s="85">
        <v>-9.7736000000000001</v>
      </c>
      <c r="F140" s="156" t="s">
        <v>213</v>
      </c>
      <c r="G140" s="85">
        <v>24</v>
      </c>
      <c r="H140" s="85">
        <v>11.657999999999999</v>
      </c>
      <c r="I140" s="8">
        <v>0.4</v>
      </c>
      <c r="J140" s="8">
        <v>530.29999999999995</v>
      </c>
      <c r="K140" s="8">
        <v>1.9</v>
      </c>
      <c r="L140" s="8">
        <v>0.13</v>
      </c>
      <c r="M140" s="84">
        <v>4.1116E-2</v>
      </c>
      <c r="N140" s="84">
        <v>4.6461000000000002E-2</v>
      </c>
      <c r="O140" s="8" t="s">
        <v>214</v>
      </c>
      <c r="P140" s="163">
        <f t="shared" si="2"/>
        <v>0.90607310556775655</v>
      </c>
    </row>
    <row r="141" spans="1:16" x14ac:dyDescent="0.25">
      <c r="A141" s="8">
        <v>140</v>
      </c>
      <c r="B141" s="8">
        <v>8.8699999999999992</v>
      </c>
      <c r="C141" s="153">
        <v>54.200499999999998</v>
      </c>
      <c r="D141" s="85">
        <v>129.07409999999999</v>
      </c>
      <c r="E141" s="85">
        <v>-34.46</v>
      </c>
      <c r="F141" s="156" t="s">
        <v>623</v>
      </c>
      <c r="G141" s="85">
        <v>3.06</v>
      </c>
      <c r="H141" s="85">
        <v>13.045999999999999</v>
      </c>
      <c r="I141" s="8">
        <v>0.4</v>
      </c>
      <c r="J141" s="8">
        <v>1260</v>
      </c>
      <c r="K141" s="8">
        <v>2.2000000000000002</v>
      </c>
      <c r="L141" s="8">
        <v>0.26</v>
      </c>
      <c r="M141" s="84">
        <v>4.0590000000000001E-2</v>
      </c>
      <c r="N141" s="84">
        <v>5.1143000000000001E-2</v>
      </c>
      <c r="O141" s="8" t="s">
        <v>296</v>
      </c>
      <c r="P141" s="163">
        <f t="shared" si="2"/>
        <v>0.89448193487059358</v>
      </c>
    </row>
    <row r="142" spans="1:16" x14ac:dyDescent="0.25">
      <c r="A142" s="8">
        <v>141</v>
      </c>
      <c r="B142" s="8">
        <v>5.7</v>
      </c>
      <c r="C142" s="153">
        <v>25.7136</v>
      </c>
      <c r="D142" s="85">
        <v>1.5799000000000001</v>
      </c>
      <c r="E142" s="85">
        <v>-49.075200000000002</v>
      </c>
      <c r="F142" s="156" t="s">
        <v>283</v>
      </c>
      <c r="G142" s="85">
        <v>1.25</v>
      </c>
      <c r="H142" s="85">
        <v>12.879</v>
      </c>
      <c r="I142" s="8">
        <v>0.4</v>
      </c>
      <c r="J142" s="8">
        <v>349.7</v>
      </c>
      <c r="K142" s="8">
        <v>1.02</v>
      </c>
      <c r="L142" s="8">
        <v>0.17</v>
      </c>
      <c r="M142" s="84">
        <v>3.9668000000000002E-2</v>
      </c>
      <c r="N142" s="84">
        <v>4.6411000000000001E-2</v>
      </c>
      <c r="O142" s="8" t="s">
        <v>284</v>
      </c>
      <c r="P142" s="163">
        <f t="shared" si="2"/>
        <v>0.87415706921934266</v>
      </c>
    </row>
    <row r="143" spans="1:16" x14ac:dyDescent="0.25">
      <c r="A143" s="8">
        <v>142</v>
      </c>
      <c r="B143" s="8">
        <v>5.88</v>
      </c>
      <c r="C143" s="153">
        <v>55.803600000000003</v>
      </c>
      <c r="D143" s="85">
        <v>97.696299999999994</v>
      </c>
      <c r="E143" s="85">
        <v>58.162599999999998</v>
      </c>
      <c r="F143" s="156" t="s">
        <v>294</v>
      </c>
      <c r="G143" s="85">
        <v>2.4</v>
      </c>
      <c r="H143" s="85">
        <v>12.975</v>
      </c>
      <c r="I143" s="8">
        <v>0.4</v>
      </c>
      <c r="J143" s="8">
        <v>899</v>
      </c>
      <c r="K143" s="8">
        <v>2.2000000000000002</v>
      </c>
      <c r="L143" s="8">
        <v>0.13</v>
      </c>
      <c r="M143" s="84">
        <v>3.9424000000000001E-2</v>
      </c>
      <c r="N143" s="84">
        <v>4.4548999999999998E-2</v>
      </c>
      <c r="O143" s="8" t="s">
        <v>269</v>
      </c>
      <c r="P143" s="163">
        <f t="shared" si="2"/>
        <v>0.86878567173002463</v>
      </c>
    </row>
    <row r="144" spans="1:16" x14ac:dyDescent="0.25">
      <c r="A144" s="8">
        <v>143</v>
      </c>
      <c r="B144" s="8">
        <v>7.68</v>
      </c>
      <c r="C144" s="153">
        <v>54.674700000000001</v>
      </c>
      <c r="D144" s="85">
        <v>66.211299999999994</v>
      </c>
      <c r="E144" s="85">
        <v>-50.622199999999999</v>
      </c>
      <c r="F144" s="156" t="s">
        <v>464</v>
      </c>
      <c r="G144" s="85">
        <v>1.1599999999999999</v>
      </c>
      <c r="H144" s="85">
        <v>12.865</v>
      </c>
      <c r="I144" s="8">
        <v>0.4</v>
      </c>
      <c r="J144" s="8">
        <v>1116</v>
      </c>
      <c r="K144" s="8">
        <v>2.15</v>
      </c>
      <c r="L144" s="8">
        <v>0.81</v>
      </c>
      <c r="M144" s="84">
        <v>3.9322999999999997E-2</v>
      </c>
      <c r="N144" s="84">
        <v>7.1176000000000003E-2</v>
      </c>
      <c r="O144" s="8" t="s">
        <v>266</v>
      </c>
      <c r="P144" s="163">
        <f t="shared" si="2"/>
        <v>0.86657117159682007</v>
      </c>
    </row>
    <row r="145" spans="1:16" x14ac:dyDescent="0.25">
      <c r="A145" s="8">
        <v>144</v>
      </c>
      <c r="B145" s="8">
        <v>7.88</v>
      </c>
      <c r="C145" s="153">
        <v>48.875900000000001</v>
      </c>
      <c r="D145" s="85">
        <v>97.1905</v>
      </c>
      <c r="E145" s="85">
        <v>38.963000000000001</v>
      </c>
      <c r="F145" s="156" t="s">
        <v>504</v>
      </c>
      <c r="G145" s="85">
        <v>1.79</v>
      </c>
      <c r="H145" s="85">
        <v>12.93</v>
      </c>
      <c r="I145" s="8">
        <v>0.4</v>
      </c>
      <c r="J145" s="8">
        <v>890.8</v>
      </c>
      <c r="K145" s="8">
        <v>1.92</v>
      </c>
      <c r="L145" s="8">
        <v>0.78</v>
      </c>
      <c r="M145" s="84">
        <v>3.9282999999999998E-2</v>
      </c>
      <c r="N145" s="84">
        <v>6.9924E-2</v>
      </c>
      <c r="O145" s="8" t="s">
        <v>337</v>
      </c>
      <c r="P145" s="163">
        <f t="shared" si="2"/>
        <v>0.86568251775536631</v>
      </c>
    </row>
    <row r="146" spans="1:16" x14ac:dyDescent="0.25">
      <c r="A146" s="8">
        <v>145</v>
      </c>
      <c r="B146" s="8">
        <v>8.9600000000000009</v>
      </c>
      <c r="C146" s="153">
        <v>25.920200000000001</v>
      </c>
      <c r="D146" s="85">
        <v>176.17070000000001</v>
      </c>
      <c r="E146" s="85">
        <v>30.959299999999999</v>
      </c>
      <c r="F146" s="156" t="s">
        <v>628</v>
      </c>
      <c r="G146" s="85">
        <v>0.52700000000000002</v>
      </c>
      <c r="H146" s="85">
        <v>12.645</v>
      </c>
      <c r="I146" s="8">
        <v>0.4</v>
      </c>
      <c r="J146" s="8">
        <v>431.7</v>
      </c>
      <c r="K146" s="8">
        <v>1.01</v>
      </c>
      <c r="L146" s="8">
        <v>0.27</v>
      </c>
      <c r="M146" s="84">
        <v>3.8966000000000001E-2</v>
      </c>
      <c r="N146" s="84">
        <v>4.9487000000000003E-2</v>
      </c>
      <c r="O146" s="8" t="s">
        <v>629</v>
      </c>
      <c r="P146" s="163">
        <f t="shared" si="2"/>
        <v>0.85868763975697326</v>
      </c>
    </row>
    <row r="147" spans="1:16" x14ac:dyDescent="0.25">
      <c r="A147" s="8">
        <v>146</v>
      </c>
      <c r="B147" s="8">
        <v>8.24</v>
      </c>
      <c r="C147" s="153">
        <v>81.037300000000002</v>
      </c>
      <c r="D147" s="85">
        <v>129.8158</v>
      </c>
      <c r="E147" s="85">
        <v>12.9604</v>
      </c>
      <c r="F147" s="156" t="s">
        <v>566</v>
      </c>
      <c r="G147" s="85">
        <v>1.1499999999999999</v>
      </c>
      <c r="H147" s="85">
        <v>12.864000000000001</v>
      </c>
      <c r="I147" s="8">
        <v>0.4</v>
      </c>
      <c r="J147" s="8">
        <v>1800</v>
      </c>
      <c r="K147" s="8">
        <v>3.15</v>
      </c>
      <c r="L147" s="8">
        <v>0.05</v>
      </c>
      <c r="M147" s="84">
        <v>3.8871000000000003E-2</v>
      </c>
      <c r="N147" s="84">
        <v>4.0814999999999997E-2</v>
      </c>
      <c r="O147" s="8" t="s">
        <v>337</v>
      </c>
      <c r="P147" s="163">
        <f t="shared" si="2"/>
        <v>0.85659942200299821</v>
      </c>
    </row>
    <row r="148" spans="1:16" x14ac:dyDescent="0.25">
      <c r="A148" s="8">
        <v>147</v>
      </c>
      <c r="B148" s="8">
        <v>7.38</v>
      </c>
      <c r="C148" s="153">
        <v>35.524000000000001</v>
      </c>
      <c r="D148" s="85">
        <v>50.014899999999997</v>
      </c>
      <c r="E148" s="85">
        <v>-28.854099999999999</v>
      </c>
      <c r="F148" s="156" t="s">
        <v>420</v>
      </c>
      <c r="G148" s="85">
        <v>1.9</v>
      </c>
      <c r="H148" s="85">
        <v>12.938000000000001</v>
      </c>
      <c r="I148" s="8">
        <v>0.4</v>
      </c>
      <c r="J148" s="8">
        <v>591.9</v>
      </c>
      <c r="K148" s="8">
        <v>1.38</v>
      </c>
      <c r="L148" s="8">
        <v>0.97</v>
      </c>
      <c r="M148" s="84">
        <v>3.8847E-2</v>
      </c>
      <c r="N148" s="84">
        <v>7.6529E-2</v>
      </c>
      <c r="O148" s="8" t="s">
        <v>327</v>
      </c>
      <c r="P148" s="163">
        <f t="shared" si="2"/>
        <v>0.85607026226975813</v>
      </c>
    </row>
    <row r="149" spans="1:16" x14ac:dyDescent="0.25">
      <c r="A149" s="8">
        <v>148</v>
      </c>
      <c r="B149" s="8">
        <v>8.0299999999999994</v>
      </c>
      <c r="C149" s="153">
        <v>35.298299999999998</v>
      </c>
      <c r="D149" s="85">
        <v>17.6968</v>
      </c>
      <c r="E149" s="85">
        <v>-66.188199999999995</v>
      </c>
      <c r="F149" s="156" t="s">
        <v>529</v>
      </c>
      <c r="G149" s="85">
        <v>0.28999999999999998</v>
      </c>
      <c r="H149" s="85">
        <v>12.119</v>
      </c>
      <c r="I149" s="8">
        <v>0.4</v>
      </c>
      <c r="J149" s="8">
        <v>615</v>
      </c>
      <c r="K149" s="8">
        <v>1.36</v>
      </c>
      <c r="L149" s="8">
        <v>0.19</v>
      </c>
      <c r="M149" s="84">
        <v>3.8529000000000001E-2</v>
      </c>
      <c r="N149" s="84">
        <v>4.5849000000000001E-2</v>
      </c>
      <c r="O149" s="8" t="s">
        <v>212</v>
      </c>
      <c r="P149" s="163">
        <f t="shared" si="2"/>
        <v>0.84905789476465776</v>
      </c>
    </row>
    <row r="150" spans="1:16" x14ac:dyDescent="0.25">
      <c r="A150" s="8">
        <v>149</v>
      </c>
      <c r="B150" s="8">
        <v>7.96</v>
      </c>
      <c r="C150" s="153">
        <v>35.5745</v>
      </c>
      <c r="D150" s="85">
        <v>118.4222</v>
      </c>
      <c r="E150" s="85">
        <v>-63.647300000000001</v>
      </c>
      <c r="F150" s="156" t="s">
        <v>517</v>
      </c>
      <c r="G150" s="85">
        <v>1.21</v>
      </c>
      <c r="H150" s="85">
        <v>12.872999999999999</v>
      </c>
      <c r="I150" s="8">
        <v>0.4</v>
      </c>
      <c r="J150" s="8">
        <v>613.1</v>
      </c>
      <c r="K150" s="8">
        <v>1.37</v>
      </c>
      <c r="L150" s="8">
        <v>0.41</v>
      </c>
      <c r="M150" s="84">
        <v>3.8510999999999997E-2</v>
      </c>
      <c r="N150" s="84">
        <v>5.4300000000000001E-2</v>
      </c>
      <c r="O150" s="8" t="s">
        <v>518</v>
      </c>
      <c r="P150" s="163">
        <f t="shared" si="2"/>
        <v>0.84866042085823024</v>
      </c>
    </row>
    <row r="151" spans="1:16" x14ac:dyDescent="0.25">
      <c r="A151" s="8">
        <v>150</v>
      </c>
      <c r="B151" s="8">
        <v>9.16</v>
      </c>
      <c r="C151" s="153">
        <v>83.333299999999994</v>
      </c>
      <c r="D151" s="85">
        <v>253.37389999999999</v>
      </c>
      <c r="E151" s="85">
        <v>-46.332999999999998</v>
      </c>
      <c r="F151" s="156" t="s">
        <v>642</v>
      </c>
      <c r="G151" s="85">
        <v>3</v>
      </c>
      <c r="H151" s="85">
        <v>13.04</v>
      </c>
      <c r="I151" s="8">
        <v>0.4</v>
      </c>
      <c r="J151" s="8">
        <v>2097</v>
      </c>
      <c r="K151" s="8">
        <v>3.2</v>
      </c>
      <c r="L151" s="8">
        <v>0.6</v>
      </c>
      <c r="M151" s="84">
        <v>3.8399999999999997E-2</v>
      </c>
      <c r="N151" s="84">
        <v>6.1440000000000002E-2</v>
      </c>
      <c r="O151" s="8" t="s">
        <v>381</v>
      </c>
      <c r="P151" s="163">
        <f t="shared" si="2"/>
        <v>0.84622058187942306</v>
      </c>
    </row>
    <row r="152" spans="1:16" x14ac:dyDescent="0.25">
      <c r="A152" s="8">
        <v>151</v>
      </c>
      <c r="B152" s="8">
        <v>7.24</v>
      </c>
      <c r="C152" s="153">
        <v>58.685400000000001</v>
      </c>
      <c r="D152" s="85">
        <v>264.74799999999999</v>
      </c>
      <c r="E152" s="85">
        <v>-43.145499999999998</v>
      </c>
      <c r="F152" s="156" t="s">
        <v>406</v>
      </c>
      <c r="G152" s="85">
        <v>2.1</v>
      </c>
      <c r="H152" s="85">
        <v>12.952</v>
      </c>
      <c r="I152" s="8">
        <v>0.4</v>
      </c>
      <c r="J152" s="8">
        <v>1178.4000000000001</v>
      </c>
      <c r="K152" s="8">
        <v>2.25</v>
      </c>
      <c r="L152" s="8">
        <v>0.01</v>
      </c>
      <c r="M152" s="84">
        <v>3.8339999999999999E-2</v>
      </c>
      <c r="N152" s="84">
        <v>3.8723E-2</v>
      </c>
      <c r="O152" s="8" t="s">
        <v>266</v>
      </c>
      <c r="P152" s="163">
        <f t="shared" si="2"/>
        <v>0.84489868666146162</v>
      </c>
    </row>
    <row r="153" spans="1:16" x14ac:dyDescent="0.25">
      <c r="A153" s="8">
        <v>152</v>
      </c>
      <c r="B153" s="8">
        <v>9.6300000000000008</v>
      </c>
      <c r="C153" s="153">
        <v>35.701500000000003</v>
      </c>
      <c r="D153" s="85">
        <v>7.1429</v>
      </c>
      <c r="E153" s="85">
        <v>-16.226299999999998</v>
      </c>
      <c r="F153" s="156" t="s">
        <v>652</v>
      </c>
      <c r="G153" s="85">
        <v>5.0999999999999996</v>
      </c>
      <c r="H153" s="85">
        <v>13.097</v>
      </c>
      <c r="I153" s="8">
        <v>0.4</v>
      </c>
      <c r="J153" s="8">
        <v>655.6</v>
      </c>
      <c r="K153" s="8">
        <v>1.34</v>
      </c>
      <c r="L153" s="8">
        <v>0.54</v>
      </c>
      <c r="M153" s="84">
        <v>3.7532999999999997E-2</v>
      </c>
      <c r="N153" s="84">
        <v>5.7800999999999998E-2</v>
      </c>
      <c r="O153" s="8" t="s">
        <v>635</v>
      </c>
      <c r="P153" s="163">
        <f t="shared" si="2"/>
        <v>0.82712380646952477</v>
      </c>
    </row>
    <row r="154" spans="1:16" x14ac:dyDescent="0.25">
      <c r="A154" s="8">
        <v>153</v>
      </c>
      <c r="B154" s="8">
        <v>7.28</v>
      </c>
      <c r="C154" s="153">
        <v>57.870399999999997</v>
      </c>
      <c r="D154" s="85">
        <v>39.258000000000003</v>
      </c>
      <c r="E154" s="85">
        <v>42.062600000000003</v>
      </c>
      <c r="F154" s="156" t="s">
        <v>411</v>
      </c>
      <c r="G154" s="85">
        <v>4.4000000000000004</v>
      </c>
      <c r="H154" s="85">
        <v>13.121</v>
      </c>
      <c r="I154" s="8">
        <v>0.4</v>
      </c>
      <c r="J154" s="8">
        <v>990</v>
      </c>
      <c r="K154" s="8">
        <v>2.1</v>
      </c>
      <c r="L154" s="8">
        <v>0.59</v>
      </c>
      <c r="M154" s="84">
        <v>3.6288000000000001E-2</v>
      </c>
      <c r="N154" s="84">
        <v>5.7697999999999999E-2</v>
      </c>
      <c r="O154" s="8" t="s">
        <v>331</v>
      </c>
      <c r="P154" s="163">
        <f t="shared" si="2"/>
        <v>0.79967772056968178</v>
      </c>
    </row>
    <row r="155" spans="1:16" x14ac:dyDescent="0.25">
      <c r="A155" s="8">
        <v>154</v>
      </c>
      <c r="B155" s="8">
        <v>7.78</v>
      </c>
      <c r="C155" s="153">
        <v>57.273800000000001</v>
      </c>
      <c r="D155" s="85">
        <v>301.83199999999999</v>
      </c>
      <c r="E155" s="85">
        <v>-35.538600000000002</v>
      </c>
      <c r="F155" s="156" t="s">
        <v>482</v>
      </c>
      <c r="G155" s="85">
        <v>1.9</v>
      </c>
      <c r="H155" s="85">
        <v>12.938000000000001</v>
      </c>
      <c r="I155" s="8">
        <v>0.4</v>
      </c>
      <c r="J155" s="8">
        <v>1038.0999999999999</v>
      </c>
      <c r="K155" s="8">
        <v>2.0699999999999998</v>
      </c>
      <c r="L155" s="8">
        <v>0.18</v>
      </c>
      <c r="M155" s="84">
        <v>3.6142000000000001E-2</v>
      </c>
      <c r="N155" s="84">
        <v>4.2647999999999998E-2</v>
      </c>
      <c r="O155" s="8" t="s">
        <v>266</v>
      </c>
      <c r="P155" s="163">
        <f t="shared" si="2"/>
        <v>0.79646470105539269</v>
      </c>
    </row>
    <row r="156" spans="1:16" x14ac:dyDescent="0.25">
      <c r="A156" s="8">
        <v>155</v>
      </c>
      <c r="B156" s="8">
        <v>5.7229999999999999</v>
      </c>
      <c r="C156" s="153">
        <v>8.9110999999999994</v>
      </c>
      <c r="D156" s="85">
        <v>303.82249999999999</v>
      </c>
      <c r="E156" s="85">
        <v>-27.033000000000001</v>
      </c>
      <c r="F156" s="156" t="s">
        <v>287</v>
      </c>
      <c r="G156" s="85">
        <v>5.2999999999999999E-2</v>
      </c>
      <c r="H156" s="85">
        <v>8.2390000000000008</v>
      </c>
      <c r="I156" s="8">
        <v>0.4</v>
      </c>
      <c r="J156" s="8">
        <v>74.7</v>
      </c>
      <c r="K156" s="8">
        <v>0.32</v>
      </c>
      <c r="L156" s="8">
        <v>0.13</v>
      </c>
      <c r="M156" s="84">
        <v>3.5909999999999997E-2</v>
      </c>
      <c r="N156" s="84">
        <v>4.0578999999999997E-2</v>
      </c>
      <c r="O156" s="8" t="s">
        <v>288</v>
      </c>
      <c r="P156" s="163">
        <f t="shared" si="2"/>
        <v>0.79135408216642744</v>
      </c>
    </row>
    <row r="157" spans="1:16" x14ac:dyDescent="0.25">
      <c r="A157" s="8">
        <v>156</v>
      </c>
      <c r="B157" s="8">
        <v>8.18</v>
      </c>
      <c r="C157" s="153">
        <v>62.735300000000002</v>
      </c>
      <c r="D157" s="85">
        <v>277.29579999999999</v>
      </c>
      <c r="E157" s="85">
        <v>11.695499999999999</v>
      </c>
      <c r="F157" s="156" t="s">
        <v>558</v>
      </c>
      <c r="G157" s="85">
        <v>0.67</v>
      </c>
      <c r="H157" s="85">
        <v>12.782999999999999</v>
      </c>
      <c r="I157" s="8">
        <v>0.4</v>
      </c>
      <c r="J157" s="8">
        <v>1145</v>
      </c>
      <c r="K157" s="8">
        <v>2.2400000000000002</v>
      </c>
      <c r="L157" s="8">
        <v>0.11</v>
      </c>
      <c r="M157" s="84">
        <v>3.5706000000000002E-2</v>
      </c>
      <c r="N157" s="84">
        <v>3.9633000000000002E-2</v>
      </c>
      <c r="O157" s="8" t="s">
        <v>337</v>
      </c>
      <c r="P157" s="163">
        <f t="shared" si="2"/>
        <v>0.78684325301947655</v>
      </c>
    </row>
    <row r="158" spans="1:16" x14ac:dyDescent="0.25">
      <c r="A158" s="8">
        <v>157</v>
      </c>
      <c r="B158" s="8">
        <v>8.766</v>
      </c>
      <c r="C158" s="153">
        <v>32.7761</v>
      </c>
      <c r="D158" s="85">
        <v>55.206400000000002</v>
      </c>
      <c r="E158" s="85">
        <v>31.8263</v>
      </c>
      <c r="F158" s="156" t="s">
        <v>619</v>
      </c>
      <c r="G158" s="85">
        <v>13.65</v>
      </c>
      <c r="H158" s="85">
        <v>12.481</v>
      </c>
      <c r="I158" s="8">
        <v>0.4</v>
      </c>
      <c r="J158" s="8">
        <v>528.1</v>
      </c>
      <c r="K158" s="8">
        <v>1.17</v>
      </c>
      <c r="L158" s="8">
        <v>0.82</v>
      </c>
      <c r="M158" s="84">
        <v>3.5697E-2</v>
      </c>
      <c r="N158" s="84">
        <v>6.4967999999999998E-2</v>
      </c>
      <c r="O158" s="8" t="s">
        <v>343</v>
      </c>
      <c r="P158" s="163">
        <f t="shared" si="2"/>
        <v>0.78664859580076096</v>
      </c>
    </row>
    <row r="159" spans="1:16" x14ac:dyDescent="0.25">
      <c r="A159" s="8">
        <v>158</v>
      </c>
      <c r="B159" s="8">
        <v>8</v>
      </c>
      <c r="C159" s="153">
        <v>67.294799999999995</v>
      </c>
      <c r="D159" s="85">
        <v>285.00349999999997</v>
      </c>
      <c r="E159" s="85">
        <v>-69.944199999999995</v>
      </c>
      <c r="F159" s="156" t="s">
        <v>520</v>
      </c>
      <c r="G159" s="85">
        <v>7.8</v>
      </c>
      <c r="H159" s="85">
        <v>12.946999999999999</v>
      </c>
      <c r="I159" s="8">
        <v>0.4</v>
      </c>
      <c r="J159" s="8">
        <v>1290</v>
      </c>
      <c r="K159" s="8">
        <v>2.4</v>
      </c>
      <c r="L159" s="8">
        <v>0.54</v>
      </c>
      <c r="M159" s="84">
        <v>3.5664000000000001E-2</v>
      </c>
      <c r="N159" s="84">
        <v>5.4923E-2</v>
      </c>
      <c r="O159" s="8" t="s">
        <v>521</v>
      </c>
      <c r="P159" s="163">
        <f t="shared" si="2"/>
        <v>0.78592647889509126</v>
      </c>
    </row>
    <row r="160" spans="1:16" x14ac:dyDescent="0.25">
      <c r="A160" s="8">
        <v>159</v>
      </c>
      <c r="B160" s="8">
        <v>8.5</v>
      </c>
      <c r="C160" s="153">
        <v>53.447400000000002</v>
      </c>
      <c r="D160" s="85">
        <v>47.8093</v>
      </c>
      <c r="E160" s="85">
        <v>21.0974</v>
      </c>
      <c r="F160" s="156" t="s">
        <v>597</v>
      </c>
      <c r="G160" s="85">
        <v>0.56999999999999995</v>
      </c>
      <c r="H160" s="85">
        <v>12.692</v>
      </c>
      <c r="I160" s="8">
        <v>0.4</v>
      </c>
      <c r="J160" s="8">
        <v>962</v>
      </c>
      <c r="K160" s="8">
        <v>1.89</v>
      </c>
      <c r="L160" s="8">
        <v>0.17</v>
      </c>
      <c r="M160" s="84">
        <v>3.5361999999999998E-2</v>
      </c>
      <c r="N160" s="84">
        <v>4.1373E-2</v>
      </c>
      <c r="O160" s="8" t="s">
        <v>337</v>
      </c>
      <c r="P160" s="163">
        <f t="shared" si="2"/>
        <v>0.77926901223277723</v>
      </c>
    </row>
    <row r="161" spans="1:16" x14ac:dyDescent="0.25">
      <c r="A161" s="8">
        <v>160</v>
      </c>
      <c r="B161" s="8">
        <v>8.7100000000000009</v>
      </c>
      <c r="C161" s="153">
        <v>28.8934</v>
      </c>
      <c r="D161" s="85">
        <v>197.66589999999999</v>
      </c>
      <c r="E161" s="85">
        <v>-35.0548</v>
      </c>
      <c r="F161" s="156" t="s">
        <v>615</v>
      </c>
      <c r="G161" s="85">
        <v>1.24</v>
      </c>
      <c r="H161" s="85">
        <v>12.877000000000001</v>
      </c>
      <c r="I161" s="8">
        <v>0.4</v>
      </c>
      <c r="J161" s="8">
        <v>937</v>
      </c>
      <c r="K161" s="8">
        <v>1.02</v>
      </c>
      <c r="L161" s="8">
        <v>0.23</v>
      </c>
      <c r="M161" s="84">
        <v>3.5302E-2</v>
      </c>
      <c r="N161" s="84">
        <v>4.3422000000000002E-2</v>
      </c>
      <c r="O161" s="8" t="s">
        <v>429</v>
      </c>
      <c r="P161" s="163">
        <f t="shared" si="2"/>
        <v>0.77795362314848682</v>
      </c>
    </row>
    <row r="162" spans="1:16" x14ac:dyDescent="0.25">
      <c r="A162" s="8">
        <v>161</v>
      </c>
      <c r="B162" s="8">
        <v>7.9790000000000001</v>
      </c>
      <c r="C162" s="153">
        <v>68.823099999999997</v>
      </c>
      <c r="D162" s="85">
        <v>268.4187</v>
      </c>
      <c r="E162" s="85">
        <v>56.392000000000003</v>
      </c>
      <c r="F162" s="156" t="s">
        <v>519</v>
      </c>
      <c r="G162" s="85">
        <v>2.29</v>
      </c>
      <c r="H162" s="85">
        <v>12.965999999999999</v>
      </c>
      <c r="I162" s="8">
        <v>0.4</v>
      </c>
      <c r="J162" s="8">
        <v>1314</v>
      </c>
      <c r="K162" s="8">
        <v>2.42</v>
      </c>
      <c r="L162" s="8">
        <v>0.12</v>
      </c>
      <c r="M162" s="84">
        <v>3.5163E-2</v>
      </c>
      <c r="N162" s="84">
        <v>3.9382E-2</v>
      </c>
      <c r="O162" s="8" t="s">
        <v>321</v>
      </c>
      <c r="P162" s="163">
        <f t="shared" si="2"/>
        <v>0.7748779831488114</v>
      </c>
    </row>
    <row r="163" spans="1:16" x14ac:dyDescent="0.25">
      <c r="A163" s="8">
        <v>162</v>
      </c>
      <c r="B163" s="8">
        <v>5.5220000000000002</v>
      </c>
      <c r="C163" s="153">
        <v>75.301199999999994</v>
      </c>
      <c r="D163" s="85">
        <v>314.60809999999998</v>
      </c>
      <c r="E163" s="85">
        <v>10.8393</v>
      </c>
      <c r="F163" s="156" t="s">
        <v>276</v>
      </c>
      <c r="G163" s="85">
        <v>10.3</v>
      </c>
      <c r="H163" s="85">
        <v>12.747999999999999</v>
      </c>
      <c r="I163" s="8">
        <v>0.4</v>
      </c>
      <c r="J163" s="8">
        <v>993.3</v>
      </c>
      <c r="K163" s="8">
        <v>2.6</v>
      </c>
      <c r="L163" s="8">
        <v>0.08</v>
      </c>
      <c r="M163" s="84">
        <v>3.4528000000000003E-2</v>
      </c>
      <c r="N163" s="84">
        <v>3.7289999999999997E-2</v>
      </c>
      <c r="O163" s="8" t="s">
        <v>277</v>
      </c>
      <c r="P163" s="163">
        <f t="shared" si="2"/>
        <v>0.76089308421306912</v>
      </c>
    </row>
    <row r="164" spans="1:16" x14ac:dyDescent="0.25">
      <c r="A164" s="8">
        <v>163</v>
      </c>
      <c r="B164" s="8">
        <v>6.67</v>
      </c>
      <c r="C164" s="153">
        <v>54.794499999999999</v>
      </c>
      <c r="D164" s="85">
        <v>259.96420000000001</v>
      </c>
      <c r="E164" s="85">
        <v>-48.549300000000002</v>
      </c>
      <c r="F164" s="156" t="s">
        <v>358</v>
      </c>
      <c r="G164" s="85">
        <v>0.74</v>
      </c>
      <c r="H164" s="85">
        <v>12.795</v>
      </c>
      <c r="I164" s="8">
        <v>0.4</v>
      </c>
      <c r="J164" s="8">
        <v>842.2</v>
      </c>
      <c r="K164" s="8">
        <v>1.88</v>
      </c>
      <c r="L164" s="8">
        <v>0.22</v>
      </c>
      <c r="M164" s="84">
        <v>3.431E-2</v>
      </c>
      <c r="N164" s="84">
        <v>4.1857999999999999E-2</v>
      </c>
      <c r="O164" s="8" t="s">
        <v>359</v>
      </c>
      <c r="P164" s="163">
        <f t="shared" si="2"/>
        <v>0.75608925620929757</v>
      </c>
    </row>
    <row r="165" spans="1:16" x14ac:dyDescent="0.25">
      <c r="A165" s="8">
        <v>164</v>
      </c>
      <c r="B165" s="8">
        <v>4.2549999999999999</v>
      </c>
      <c r="C165" s="153">
        <v>6.0434000000000001</v>
      </c>
      <c r="D165" s="85">
        <v>49.981900000000003</v>
      </c>
      <c r="E165" s="85">
        <v>-43.069800000000001</v>
      </c>
      <c r="F165" s="156" t="s">
        <v>225</v>
      </c>
      <c r="G165" s="85">
        <v>8.0000000000000002E-3</v>
      </c>
      <c r="H165" s="85">
        <v>1.2829999999999999</v>
      </c>
      <c r="I165" s="8">
        <v>0.4</v>
      </c>
      <c r="J165" s="8">
        <v>40.1</v>
      </c>
      <c r="K165" s="8">
        <v>0.2</v>
      </c>
      <c r="L165" s="8">
        <v>0</v>
      </c>
      <c r="M165" s="84">
        <v>3.3093999999999998E-2</v>
      </c>
      <c r="N165" s="84">
        <v>3.3093999999999998E-2</v>
      </c>
      <c r="O165" s="8" t="s">
        <v>226</v>
      </c>
      <c r="P165" s="163">
        <f t="shared" si="2"/>
        <v>0.72929097875298388</v>
      </c>
    </row>
    <row r="166" spans="1:16" x14ac:dyDescent="0.25">
      <c r="A166" s="8">
        <v>165</v>
      </c>
      <c r="B166" s="8">
        <v>8.7870000000000008</v>
      </c>
      <c r="C166" s="153">
        <v>72.621600000000001</v>
      </c>
      <c r="D166" s="85">
        <v>216.7012</v>
      </c>
      <c r="E166" s="85">
        <v>-5.1778000000000004</v>
      </c>
      <c r="F166" s="156" t="s">
        <v>620</v>
      </c>
      <c r="G166" s="85">
        <v>0.38</v>
      </c>
      <c r="H166" s="85">
        <v>12.458</v>
      </c>
      <c r="I166" s="8">
        <v>0.4</v>
      </c>
      <c r="J166" s="8">
        <v>1244</v>
      </c>
      <c r="K166" s="8">
        <v>2.35</v>
      </c>
      <c r="L166" s="8">
        <v>0.41</v>
      </c>
      <c r="M166" s="84">
        <v>3.2358999999999999E-2</v>
      </c>
      <c r="N166" s="84">
        <v>4.5627000000000001E-2</v>
      </c>
      <c r="O166" s="8" t="s">
        <v>621</v>
      </c>
      <c r="P166" s="163">
        <f t="shared" si="2"/>
        <v>0.71310623749270796</v>
      </c>
    </row>
    <row r="167" spans="1:16" x14ac:dyDescent="0.25">
      <c r="A167" s="8">
        <v>166</v>
      </c>
      <c r="B167" s="8">
        <v>7.69</v>
      </c>
      <c r="C167" s="153">
        <v>41.771099999999997</v>
      </c>
      <c r="D167" s="85">
        <v>355.46469999999999</v>
      </c>
      <c r="E167" s="85">
        <v>-5.9858000000000002</v>
      </c>
      <c r="F167" s="156" t="s">
        <v>470</v>
      </c>
      <c r="G167" s="85">
        <v>7.75</v>
      </c>
      <c r="H167" s="85">
        <v>12.951000000000001</v>
      </c>
      <c r="I167" s="8">
        <v>0.4</v>
      </c>
      <c r="J167" s="8">
        <v>572.4</v>
      </c>
      <c r="K167" s="8">
        <v>1.35</v>
      </c>
      <c r="L167" s="8">
        <v>0.73</v>
      </c>
      <c r="M167" s="84">
        <v>3.2319000000000001E-2</v>
      </c>
      <c r="N167" s="84">
        <v>5.5912000000000003E-2</v>
      </c>
      <c r="O167" s="8" t="s">
        <v>337</v>
      </c>
      <c r="P167" s="163">
        <f t="shared" si="2"/>
        <v>0.71221323909883949</v>
      </c>
    </row>
    <row r="168" spans="1:16" x14ac:dyDescent="0.25">
      <c r="A168" s="8">
        <v>167</v>
      </c>
      <c r="B168" s="8">
        <v>10.042</v>
      </c>
      <c r="C168" s="153">
        <v>10.4145</v>
      </c>
      <c r="D168" s="85">
        <v>33.087499999999999</v>
      </c>
      <c r="E168" s="85">
        <v>3.5756000000000001</v>
      </c>
      <c r="F168" s="156" t="s">
        <v>670</v>
      </c>
      <c r="G168" s="85">
        <v>4.5999999999999999E-2</v>
      </c>
      <c r="H168" s="85">
        <v>6.87</v>
      </c>
      <c r="I168" s="8">
        <v>0.4</v>
      </c>
      <c r="J168" s="8">
        <v>124.3</v>
      </c>
      <c r="K168" s="8">
        <v>0.33</v>
      </c>
      <c r="L168" s="8">
        <v>0.06</v>
      </c>
      <c r="M168" s="84">
        <v>3.1687E-2</v>
      </c>
      <c r="N168" s="84">
        <v>3.3588E-2</v>
      </c>
      <c r="O168" s="8" t="s">
        <v>671</v>
      </c>
      <c r="P168" s="163">
        <f t="shared" si="2"/>
        <v>0.69827694240175142</v>
      </c>
    </row>
    <row r="169" spans="1:16" x14ac:dyDescent="0.25">
      <c r="A169" s="8">
        <v>168</v>
      </c>
      <c r="B169" s="8">
        <v>6.46</v>
      </c>
      <c r="C169" s="153">
        <v>26.205500000000001</v>
      </c>
      <c r="D169" s="85">
        <v>228.36940000000001</v>
      </c>
      <c r="E169" s="85">
        <v>-25.3093</v>
      </c>
      <c r="F169" s="156" t="s">
        <v>339</v>
      </c>
      <c r="G169" s="85">
        <v>1.59</v>
      </c>
      <c r="H169" s="85">
        <v>12.916</v>
      </c>
      <c r="I169" s="8">
        <v>0.4</v>
      </c>
      <c r="J169" s="8">
        <v>258.2</v>
      </c>
      <c r="K169" s="8">
        <v>0.81</v>
      </c>
      <c r="L169" s="8">
        <v>0.23</v>
      </c>
      <c r="M169" s="84">
        <v>3.091E-2</v>
      </c>
      <c r="N169" s="84">
        <v>3.8018999999999997E-2</v>
      </c>
      <c r="O169" s="8" t="s">
        <v>340</v>
      </c>
      <c r="P169" s="163">
        <f t="shared" si="2"/>
        <v>0.68115312659681815</v>
      </c>
    </row>
    <row r="170" spans="1:16" x14ac:dyDescent="0.25">
      <c r="A170" s="8">
        <v>169</v>
      </c>
      <c r="B170" s="8">
        <v>2.12</v>
      </c>
      <c r="C170" s="153">
        <v>38.520800000000001</v>
      </c>
      <c r="D170" s="85">
        <v>154.99340000000001</v>
      </c>
      <c r="E170" s="85">
        <v>19.8413</v>
      </c>
      <c r="F170" s="156" t="s">
        <v>209</v>
      </c>
      <c r="G170" s="85">
        <v>8.7799999999999994</v>
      </c>
      <c r="H170" s="85">
        <v>12.869</v>
      </c>
      <c r="I170" s="8">
        <v>0.4</v>
      </c>
      <c r="J170" s="8">
        <v>428.5</v>
      </c>
      <c r="K170" s="8">
        <v>1.19</v>
      </c>
      <c r="L170" s="8">
        <v>0.14000000000000001</v>
      </c>
      <c r="M170" s="84">
        <v>3.0891999999999999E-2</v>
      </c>
      <c r="N170" s="84">
        <v>3.5216999999999998E-2</v>
      </c>
      <c r="O170" s="8" t="s">
        <v>210</v>
      </c>
      <c r="P170" s="163">
        <f t="shared" si="2"/>
        <v>0.68077539279882304</v>
      </c>
    </row>
    <row r="171" spans="1:16" x14ac:dyDescent="0.25">
      <c r="A171" s="8">
        <v>170</v>
      </c>
      <c r="B171" s="8">
        <v>7.34</v>
      </c>
      <c r="C171" s="153">
        <v>34.234900000000003</v>
      </c>
      <c r="D171" s="85">
        <v>239.42</v>
      </c>
      <c r="E171" s="85">
        <v>-60.200299999999999</v>
      </c>
      <c r="F171" s="156" t="s">
        <v>416</v>
      </c>
      <c r="G171" s="85">
        <v>1.62</v>
      </c>
      <c r="H171" s="85">
        <v>12.917999999999999</v>
      </c>
      <c r="I171" s="8">
        <v>0.4</v>
      </c>
      <c r="J171" s="8">
        <v>386.3</v>
      </c>
      <c r="K171" s="8">
        <v>1.05</v>
      </c>
      <c r="L171" s="8">
        <v>0.5</v>
      </c>
      <c r="M171" s="84">
        <v>3.0669999999999999E-2</v>
      </c>
      <c r="N171" s="84">
        <v>4.6005999999999998E-2</v>
      </c>
      <c r="O171" s="8" t="s">
        <v>253</v>
      </c>
      <c r="P171" s="163">
        <f t="shared" si="2"/>
        <v>0.6758843980916508</v>
      </c>
    </row>
    <row r="172" spans="1:16" x14ac:dyDescent="0.25">
      <c r="A172" s="8">
        <v>171</v>
      </c>
      <c r="B172" s="8">
        <v>7.86</v>
      </c>
      <c r="C172" s="153">
        <v>58.072000000000003</v>
      </c>
      <c r="D172" s="85">
        <v>290.7208</v>
      </c>
      <c r="E172" s="85">
        <v>-32.9191</v>
      </c>
      <c r="F172" s="156" t="s">
        <v>499</v>
      </c>
      <c r="G172" s="85">
        <v>0.37</v>
      </c>
      <c r="H172" s="85">
        <v>12.42</v>
      </c>
      <c r="I172" s="8">
        <v>0.4</v>
      </c>
      <c r="J172" s="8">
        <v>956</v>
      </c>
      <c r="K172" s="8">
        <v>1.78</v>
      </c>
      <c r="L172" s="8">
        <v>0.26</v>
      </c>
      <c r="M172" s="84">
        <v>3.0651999999999999E-2</v>
      </c>
      <c r="N172" s="84">
        <v>3.8621000000000003E-2</v>
      </c>
      <c r="O172" s="8" t="s">
        <v>253</v>
      </c>
      <c r="P172" s="163">
        <f t="shared" si="2"/>
        <v>0.67546897297944719</v>
      </c>
    </row>
    <row r="173" spans="1:16" x14ac:dyDescent="0.25">
      <c r="A173" s="8">
        <v>172</v>
      </c>
      <c r="B173" s="8">
        <v>9.16</v>
      </c>
      <c r="C173" s="153">
        <v>65.659899999999993</v>
      </c>
      <c r="D173" s="85">
        <v>240.4598</v>
      </c>
      <c r="E173" s="85">
        <v>-44.4345</v>
      </c>
      <c r="F173" s="156" t="s">
        <v>641</v>
      </c>
      <c r="G173" s="85">
        <v>3.12</v>
      </c>
      <c r="H173" s="85">
        <v>13.052</v>
      </c>
      <c r="I173" s="8">
        <v>0.4</v>
      </c>
      <c r="J173" s="8">
        <v>1057</v>
      </c>
      <c r="K173" s="8">
        <v>2</v>
      </c>
      <c r="L173" s="8">
        <v>0.15</v>
      </c>
      <c r="M173" s="84">
        <v>3.0460000000000001E-2</v>
      </c>
      <c r="N173" s="84">
        <v>3.5028999999999998E-2</v>
      </c>
      <c r="O173" s="8" t="s">
        <v>381</v>
      </c>
      <c r="P173" s="163">
        <f t="shared" si="2"/>
        <v>0.67124639254640683</v>
      </c>
    </row>
    <row r="174" spans="1:16" x14ac:dyDescent="0.25">
      <c r="A174" s="8">
        <v>173</v>
      </c>
      <c r="B174" s="8">
        <v>4.3899999999999997</v>
      </c>
      <c r="C174" s="153">
        <v>25.2972</v>
      </c>
      <c r="D174" s="85">
        <v>113.5133</v>
      </c>
      <c r="E174" s="85">
        <v>-22.296099999999999</v>
      </c>
      <c r="F174" s="156" t="s">
        <v>227</v>
      </c>
      <c r="G174" s="85">
        <v>3.15</v>
      </c>
      <c r="H174" s="85">
        <v>13.055999999999999</v>
      </c>
      <c r="I174" s="8">
        <v>0.4</v>
      </c>
      <c r="J174" s="8">
        <v>201.8</v>
      </c>
      <c r="K174" s="8">
        <v>0.77</v>
      </c>
      <c r="L174" s="8">
        <v>0.28000000000000003</v>
      </c>
      <c r="M174" s="84">
        <v>3.0438E-2</v>
      </c>
      <c r="N174" s="84">
        <v>3.8961000000000003E-2</v>
      </c>
      <c r="O174" s="8" t="s">
        <v>228</v>
      </c>
      <c r="P174" s="163">
        <f t="shared" si="2"/>
        <v>0.67076509806752371</v>
      </c>
    </row>
    <row r="175" spans="1:16" x14ac:dyDescent="0.25">
      <c r="A175" s="8">
        <v>174</v>
      </c>
      <c r="B175" s="8">
        <v>8.73</v>
      </c>
      <c r="C175" s="153">
        <v>183.15020000000001</v>
      </c>
      <c r="D175" s="85">
        <v>302.87799999999999</v>
      </c>
      <c r="E175" s="85">
        <v>-64.620500000000007</v>
      </c>
      <c r="F175" s="156" t="s">
        <v>616</v>
      </c>
      <c r="G175" s="85">
        <v>3.1</v>
      </c>
      <c r="H175" s="85">
        <v>13.05</v>
      </c>
      <c r="I175" s="8">
        <v>0.4</v>
      </c>
      <c r="J175" s="8">
        <v>4885</v>
      </c>
      <c r="K175" s="8">
        <v>5.5</v>
      </c>
      <c r="L175" s="8">
        <v>0.56999999999999995</v>
      </c>
      <c r="M175" s="84">
        <v>3.0030000000000001E-2</v>
      </c>
      <c r="N175" s="84">
        <v>4.7147000000000001E-2</v>
      </c>
      <c r="O175" s="8" t="s">
        <v>255</v>
      </c>
      <c r="P175" s="163">
        <f t="shared" si="2"/>
        <v>0.66177061383162017</v>
      </c>
    </row>
    <row r="176" spans="1:16" x14ac:dyDescent="0.25">
      <c r="A176" s="8">
        <v>175</v>
      </c>
      <c r="B176" s="8">
        <v>8.9499999999999993</v>
      </c>
      <c r="C176" s="153">
        <v>43.591999999999999</v>
      </c>
      <c r="D176" s="85">
        <v>341.65309999999999</v>
      </c>
      <c r="E176" s="85">
        <v>-56.599499999999999</v>
      </c>
      <c r="F176" s="156" t="s">
        <v>625</v>
      </c>
      <c r="G176" s="85">
        <v>0.33</v>
      </c>
      <c r="H176" s="85">
        <v>12.27</v>
      </c>
      <c r="I176" s="8">
        <v>0.4</v>
      </c>
      <c r="J176" s="8">
        <v>567.9</v>
      </c>
      <c r="K176" s="8">
        <v>1.28</v>
      </c>
      <c r="L176" s="8">
        <v>0.49</v>
      </c>
      <c r="M176" s="84">
        <v>2.9363E-2</v>
      </c>
      <c r="N176" s="84">
        <v>4.3750999999999998E-2</v>
      </c>
      <c r="O176" s="8" t="s">
        <v>429</v>
      </c>
      <c r="P176" s="163">
        <f t="shared" si="2"/>
        <v>0.64707610218326772</v>
      </c>
    </row>
    <row r="177" spans="1:16" x14ac:dyDescent="0.25">
      <c r="A177" s="8">
        <v>176</v>
      </c>
      <c r="B177" s="8">
        <v>8.4499999999999993</v>
      </c>
      <c r="C177" s="153">
        <v>67.8887</v>
      </c>
      <c r="D177" s="85">
        <v>224.2277</v>
      </c>
      <c r="E177" s="85">
        <v>53.382199999999997</v>
      </c>
      <c r="F177" s="156" t="s">
        <v>594</v>
      </c>
      <c r="G177" s="85">
        <v>5.61</v>
      </c>
      <c r="H177" s="85">
        <v>13.079000000000001</v>
      </c>
      <c r="I177" s="8">
        <v>0.4</v>
      </c>
      <c r="J177" s="8">
        <v>974</v>
      </c>
      <c r="K177" s="8">
        <v>1.98</v>
      </c>
      <c r="L177" s="8">
        <v>0.34</v>
      </c>
      <c r="M177" s="84">
        <v>2.9165E-2</v>
      </c>
      <c r="N177" s="84">
        <v>3.9081999999999999E-2</v>
      </c>
      <c r="O177" s="8" t="s">
        <v>331</v>
      </c>
      <c r="P177" s="163">
        <f t="shared" si="2"/>
        <v>0.64271714290976611</v>
      </c>
    </row>
    <row r="178" spans="1:16" x14ac:dyDescent="0.25">
      <c r="A178" s="8">
        <v>177</v>
      </c>
      <c r="B178" s="8">
        <v>7.88</v>
      </c>
      <c r="C178" s="153">
        <v>44.052900000000001</v>
      </c>
      <c r="D178" s="85">
        <v>10.8025</v>
      </c>
      <c r="E178" s="85">
        <v>-37.982599999999998</v>
      </c>
      <c r="F178" s="156" t="s">
        <v>503</v>
      </c>
      <c r="G178" s="85">
        <v>1.56</v>
      </c>
      <c r="H178" s="85">
        <v>12.913</v>
      </c>
      <c r="I178" s="8">
        <v>0.4</v>
      </c>
      <c r="J178" s="8">
        <v>526.6</v>
      </c>
      <c r="K178" s="8">
        <v>1.28</v>
      </c>
      <c r="L178" s="8">
        <v>0.9</v>
      </c>
      <c r="M178" s="84">
        <v>2.9055999999999998E-2</v>
      </c>
      <c r="N178" s="84">
        <v>5.5205999999999998E-2</v>
      </c>
      <c r="O178" s="8" t="s">
        <v>266</v>
      </c>
      <c r="P178" s="163">
        <f t="shared" si="2"/>
        <v>0.64030611937858817</v>
      </c>
    </row>
    <row r="179" spans="1:16" x14ac:dyDescent="0.25">
      <c r="A179" s="8">
        <v>178</v>
      </c>
      <c r="B179" s="8">
        <v>4.6950000000000003</v>
      </c>
      <c r="C179" s="153">
        <v>67.069100000000006</v>
      </c>
      <c r="D179" s="85">
        <v>28.733899999999998</v>
      </c>
      <c r="E179" s="85">
        <v>-67.647300000000001</v>
      </c>
      <c r="F179" s="156" t="s">
        <v>234</v>
      </c>
      <c r="G179" s="85">
        <v>6.54</v>
      </c>
      <c r="H179" s="85">
        <v>13.047000000000001</v>
      </c>
      <c r="I179" s="8">
        <v>0.4</v>
      </c>
      <c r="J179" s="8">
        <v>711</v>
      </c>
      <c r="K179" s="8">
        <v>1.93</v>
      </c>
      <c r="L179" s="8">
        <v>0.4</v>
      </c>
      <c r="M179" s="84">
        <v>2.8775999999999999E-2</v>
      </c>
      <c r="N179" s="84">
        <v>4.0287000000000003E-2</v>
      </c>
      <c r="O179" s="8" t="s">
        <v>235</v>
      </c>
      <c r="P179" s="163">
        <f t="shared" si="2"/>
        <v>0.634142727792818</v>
      </c>
    </row>
    <row r="180" spans="1:16" x14ac:dyDescent="0.25">
      <c r="A180" s="8">
        <v>179</v>
      </c>
      <c r="B180" s="8">
        <v>8.1</v>
      </c>
      <c r="C180" s="153">
        <v>33.255699999999997</v>
      </c>
      <c r="D180" s="85">
        <v>116.9572</v>
      </c>
      <c r="E180" s="85">
        <v>-54.264099999999999</v>
      </c>
      <c r="F180" s="156" t="s">
        <v>549</v>
      </c>
      <c r="G180" s="85">
        <v>0.64</v>
      </c>
      <c r="H180" s="85">
        <v>12.766999999999999</v>
      </c>
      <c r="I180" s="8">
        <v>0.4</v>
      </c>
      <c r="J180" s="8">
        <v>358</v>
      </c>
      <c r="K180" s="8">
        <v>0.95</v>
      </c>
      <c r="L180" s="8">
        <v>0.24</v>
      </c>
      <c r="M180" s="84">
        <v>2.8566999999999999E-2</v>
      </c>
      <c r="N180" s="84">
        <v>3.5422000000000002E-2</v>
      </c>
      <c r="O180" s="8" t="s">
        <v>314</v>
      </c>
      <c r="P180" s="163">
        <f t="shared" si="2"/>
        <v>0.62952023952976388</v>
      </c>
    </row>
    <row r="181" spans="1:16" x14ac:dyDescent="0.25">
      <c r="A181" s="8">
        <v>180</v>
      </c>
      <c r="B181" s="8">
        <v>6.5780000000000003</v>
      </c>
      <c r="C181" s="153">
        <v>17.497800000000002</v>
      </c>
      <c r="D181" s="85">
        <v>4.0528000000000004</v>
      </c>
      <c r="E181" s="85">
        <v>-79.851200000000006</v>
      </c>
      <c r="F181" s="156" t="s">
        <v>350</v>
      </c>
      <c r="G181" s="85">
        <v>3.37</v>
      </c>
      <c r="H181" s="85">
        <v>13.079000000000001</v>
      </c>
      <c r="I181" s="8">
        <v>0.4</v>
      </c>
      <c r="J181" s="8">
        <v>133.69999999999999</v>
      </c>
      <c r="K181" s="8">
        <v>0.49</v>
      </c>
      <c r="L181" s="8">
        <v>0.51</v>
      </c>
      <c r="M181" s="84">
        <v>2.8003E-2</v>
      </c>
      <c r="N181" s="84">
        <v>4.2285000000000003E-2</v>
      </c>
      <c r="O181" s="8" t="s">
        <v>226</v>
      </c>
      <c r="P181" s="163">
        <f t="shared" si="2"/>
        <v>0.61711317408129396</v>
      </c>
    </row>
    <row r="182" spans="1:16" x14ac:dyDescent="0.25">
      <c r="A182" s="8">
        <v>181</v>
      </c>
      <c r="B182" s="8">
        <v>5.649</v>
      </c>
      <c r="C182" s="153">
        <v>14.8126</v>
      </c>
      <c r="D182" s="85">
        <v>230.45060000000001</v>
      </c>
      <c r="E182" s="85">
        <v>-48.317599999999999</v>
      </c>
      <c r="F182" s="156" t="s">
        <v>278</v>
      </c>
      <c r="G182" s="85">
        <v>0.03</v>
      </c>
      <c r="H182" s="85">
        <v>1.7849999999999999</v>
      </c>
      <c r="I182" s="8">
        <v>0.4</v>
      </c>
      <c r="J182" s="8">
        <v>106.7</v>
      </c>
      <c r="K182" s="8">
        <v>0.41</v>
      </c>
      <c r="L182" s="8">
        <v>0.43</v>
      </c>
      <c r="M182" s="84">
        <v>2.7678999999999999E-2</v>
      </c>
      <c r="N182" s="84">
        <v>3.9580999999999998E-2</v>
      </c>
      <c r="O182" s="8" t="s">
        <v>249</v>
      </c>
      <c r="P182" s="163">
        <f t="shared" si="2"/>
        <v>0.609964763582447</v>
      </c>
    </row>
    <row r="183" spans="1:16" x14ac:dyDescent="0.25">
      <c r="A183" s="8">
        <v>182</v>
      </c>
      <c r="B183" s="8">
        <v>8.06</v>
      </c>
      <c r="C183" s="153">
        <v>32.690399999999997</v>
      </c>
      <c r="D183" s="85">
        <v>96.410300000000007</v>
      </c>
      <c r="E183" s="85">
        <v>-31.481000000000002</v>
      </c>
      <c r="F183" s="156" t="s">
        <v>537</v>
      </c>
      <c r="G183" s="85">
        <v>0.65800000000000003</v>
      </c>
      <c r="H183" s="85">
        <v>12.78</v>
      </c>
      <c r="I183" s="8">
        <v>0.4</v>
      </c>
      <c r="J183" s="8">
        <v>342.9</v>
      </c>
      <c r="K183" s="8">
        <v>0.9</v>
      </c>
      <c r="L183" s="8">
        <v>0.1</v>
      </c>
      <c r="M183" s="84">
        <v>2.7531E-2</v>
      </c>
      <c r="N183" s="84">
        <v>3.0283999999999998E-2</v>
      </c>
      <c r="O183" s="8" t="s">
        <v>226</v>
      </c>
      <c r="P183" s="163">
        <f t="shared" si="2"/>
        <v>0.60670065078680646</v>
      </c>
    </row>
    <row r="184" spans="1:16" x14ac:dyDescent="0.25">
      <c r="A184" s="8">
        <v>183</v>
      </c>
      <c r="B184" s="8">
        <v>9.83</v>
      </c>
      <c r="C184" s="153">
        <v>41.067799999999998</v>
      </c>
      <c r="D184" s="85">
        <v>270.77890000000002</v>
      </c>
      <c r="E184" s="85">
        <v>-28.560600000000001</v>
      </c>
      <c r="F184" s="156" t="s">
        <v>658</v>
      </c>
      <c r="G184" s="85">
        <v>2.7</v>
      </c>
      <c r="H184" s="85">
        <v>13.007999999999999</v>
      </c>
      <c r="I184" s="8">
        <v>0.4</v>
      </c>
      <c r="J184" s="8">
        <v>606.4</v>
      </c>
      <c r="K184" s="8">
        <v>1.1299999999999999</v>
      </c>
      <c r="L184" s="8">
        <v>0.24</v>
      </c>
      <c r="M184" s="84">
        <v>2.7515999999999999E-2</v>
      </c>
      <c r="N184" s="84">
        <v>3.4118999999999997E-2</v>
      </c>
      <c r="O184" s="8" t="s">
        <v>659</v>
      </c>
      <c r="P184" s="163">
        <f t="shared" si="2"/>
        <v>0.60635811074920409</v>
      </c>
    </row>
    <row r="185" spans="1:16" x14ac:dyDescent="0.25">
      <c r="A185" s="8">
        <v>184</v>
      </c>
      <c r="B185" s="8">
        <v>7.86</v>
      </c>
      <c r="C185" s="153">
        <v>55.096400000000003</v>
      </c>
      <c r="D185" s="85">
        <v>292.10239999999999</v>
      </c>
      <c r="E185" s="85">
        <v>8.3581000000000003</v>
      </c>
      <c r="F185" s="156" t="s">
        <v>500</v>
      </c>
      <c r="G185" s="85">
        <v>3.67</v>
      </c>
      <c r="H185" s="85">
        <v>13.111000000000001</v>
      </c>
      <c r="I185" s="8">
        <v>0.4</v>
      </c>
      <c r="J185" s="8">
        <v>626.5</v>
      </c>
      <c r="K185" s="8">
        <v>1.51</v>
      </c>
      <c r="L185" s="8">
        <v>0.36</v>
      </c>
      <c r="M185" s="84">
        <v>2.7406E-2</v>
      </c>
      <c r="N185" s="84">
        <v>3.7273000000000001E-2</v>
      </c>
      <c r="O185" s="8" t="s">
        <v>501</v>
      </c>
      <c r="P185" s="163">
        <f t="shared" si="2"/>
        <v>0.60395684858753296</v>
      </c>
    </row>
    <row r="186" spans="1:16" x14ac:dyDescent="0.25">
      <c r="A186" s="8">
        <v>185</v>
      </c>
      <c r="B186" s="8">
        <v>7.3</v>
      </c>
      <c r="C186" s="153">
        <v>35.460999999999999</v>
      </c>
      <c r="D186" s="85">
        <v>160.7022</v>
      </c>
      <c r="E186" s="85">
        <v>-2.1838000000000002</v>
      </c>
      <c r="F186" s="156" t="s">
        <v>413</v>
      </c>
      <c r="G186" s="85">
        <v>3.86</v>
      </c>
      <c r="H186" s="85">
        <v>13.132</v>
      </c>
      <c r="I186" s="8">
        <v>0.4</v>
      </c>
      <c r="J186" s="8">
        <v>325.8</v>
      </c>
      <c r="K186" s="8">
        <v>0.97</v>
      </c>
      <c r="L186" s="8">
        <v>0.33</v>
      </c>
      <c r="M186" s="84">
        <v>2.7354E-2</v>
      </c>
      <c r="N186" s="84">
        <v>3.6380999999999997E-2</v>
      </c>
      <c r="O186" s="8" t="s">
        <v>381</v>
      </c>
      <c r="P186" s="163">
        <f t="shared" si="2"/>
        <v>0.60279958094327701</v>
      </c>
    </row>
    <row r="187" spans="1:16" x14ac:dyDescent="0.25">
      <c r="A187" s="8">
        <v>186</v>
      </c>
      <c r="B187" s="8">
        <v>6.53</v>
      </c>
      <c r="C187" s="153">
        <v>27.4725</v>
      </c>
      <c r="D187" s="85">
        <v>143.7114</v>
      </c>
      <c r="E187" s="85">
        <v>-12.1295</v>
      </c>
      <c r="F187" s="156" t="s">
        <v>345</v>
      </c>
      <c r="G187" s="85">
        <v>2.0099999999999998</v>
      </c>
      <c r="H187" s="85">
        <v>12.946</v>
      </c>
      <c r="I187" s="8">
        <v>0.4</v>
      </c>
      <c r="J187" s="8">
        <v>219</v>
      </c>
      <c r="K187" s="8">
        <v>0.75</v>
      </c>
      <c r="L187" s="8">
        <v>0.36</v>
      </c>
      <c r="M187" s="84">
        <v>2.7300000000000001E-2</v>
      </c>
      <c r="N187" s="84">
        <v>3.7128000000000001E-2</v>
      </c>
      <c r="O187" s="8" t="s">
        <v>346</v>
      </c>
      <c r="P187" s="163">
        <f t="shared" si="2"/>
        <v>0.6016103058962301</v>
      </c>
    </row>
    <row r="188" spans="1:16" x14ac:dyDescent="0.25">
      <c r="A188" s="8">
        <v>187</v>
      </c>
      <c r="B188" s="8">
        <v>8.4</v>
      </c>
      <c r="C188" s="153">
        <v>96.061499999999995</v>
      </c>
      <c r="D188" s="85">
        <v>224.58969999999999</v>
      </c>
      <c r="E188" s="85">
        <v>44.043100000000003</v>
      </c>
      <c r="F188" s="156" t="s">
        <v>587</v>
      </c>
      <c r="G188" s="85">
        <v>1.49</v>
      </c>
      <c r="H188" s="85">
        <v>12.907999999999999</v>
      </c>
      <c r="I188" s="8">
        <v>0.4</v>
      </c>
      <c r="J188" s="8">
        <v>1544</v>
      </c>
      <c r="K188" s="8">
        <v>2.62</v>
      </c>
      <c r="L188" s="8">
        <v>0.22</v>
      </c>
      <c r="M188" s="84">
        <v>2.7274E-2</v>
      </c>
      <c r="N188" s="84">
        <v>3.3274999999999999E-2</v>
      </c>
      <c r="O188" s="8" t="s">
        <v>588</v>
      </c>
      <c r="P188" s="163">
        <f t="shared" si="2"/>
        <v>0.60104102083607636</v>
      </c>
    </row>
    <row r="189" spans="1:16" x14ac:dyDescent="0.25">
      <c r="A189" s="8">
        <v>188</v>
      </c>
      <c r="B189" s="8">
        <v>5.6559999999999997</v>
      </c>
      <c r="C189" s="153">
        <v>92.506900000000002</v>
      </c>
      <c r="D189" s="85">
        <v>39.424199999999999</v>
      </c>
      <c r="E189" s="85">
        <v>-3.3961999999999999</v>
      </c>
      <c r="F189" s="156" t="s">
        <v>279</v>
      </c>
      <c r="G189" s="85">
        <v>5.3</v>
      </c>
      <c r="H189" s="85">
        <v>13.09</v>
      </c>
      <c r="I189" s="8">
        <v>0.4</v>
      </c>
      <c r="J189" s="8">
        <v>952.7</v>
      </c>
      <c r="K189" s="8">
        <v>2.5</v>
      </c>
      <c r="L189" s="8">
        <v>0.21</v>
      </c>
      <c r="M189" s="84">
        <v>2.7025E-2</v>
      </c>
      <c r="N189" s="84">
        <v>3.27E-2</v>
      </c>
      <c r="O189" s="8" t="s">
        <v>280</v>
      </c>
      <c r="P189" s="163">
        <f t="shared" si="2"/>
        <v>0.59554977804301379</v>
      </c>
    </row>
    <row r="190" spans="1:16" x14ac:dyDescent="0.25">
      <c r="A190" s="8">
        <v>189</v>
      </c>
      <c r="B190" s="8">
        <v>6.4870000000000001</v>
      </c>
      <c r="C190" s="153">
        <v>72.202200000000005</v>
      </c>
      <c r="D190" s="85">
        <v>316.666</v>
      </c>
      <c r="E190" s="85">
        <v>3.8031000000000001</v>
      </c>
      <c r="F190" s="156" t="s">
        <v>342</v>
      </c>
      <c r="G190" s="85">
        <v>0.9</v>
      </c>
      <c r="H190" s="85">
        <v>12.824</v>
      </c>
      <c r="I190" s="8">
        <v>0.4</v>
      </c>
      <c r="J190" s="8">
        <v>825</v>
      </c>
      <c r="K190" s="8">
        <v>1.95</v>
      </c>
      <c r="L190" s="8">
        <v>0.18</v>
      </c>
      <c r="M190" s="84">
        <v>2.7007E-2</v>
      </c>
      <c r="N190" s="84">
        <v>3.1869000000000001E-2</v>
      </c>
      <c r="O190" s="8" t="s">
        <v>343</v>
      </c>
      <c r="P190" s="163">
        <f t="shared" si="2"/>
        <v>0.59516360629882292</v>
      </c>
    </row>
    <row r="191" spans="1:16" x14ac:dyDescent="0.25">
      <c r="A191" s="8">
        <v>190</v>
      </c>
      <c r="B191" s="8">
        <v>6.4409999999999998</v>
      </c>
      <c r="C191" s="153">
        <v>77.459299999999999</v>
      </c>
      <c r="D191" s="85">
        <v>155.8682</v>
      </c>
      <c r="E191" s="85">
        <v>-0.90225</v>
      </c>
      <c r="F191" s="156" t="s">
        <v>336</v>
      </c>
      <c r="G191" s="85">
        <v>0.86</v>
      </c>
      <c r="H191" s="85">
        <v>12.817</v>
      </c>
      <c r="I191" s="8">
        <v>0.4</v>
      </c>
      <c r="J191" s="8">
        <v>883</v>
      </c>
      <c r="K191" s="8">
        <v>2.08</v>
      </c>
      <c r="L191" s="8">
        <v>0.28999999999999998</v>
      </c>
      <c r="M191" s="84">
        <v>2.6852999999999998E-2</v>
      </c>
      <c r="N191" s="84">
        <v>3.4639999999999997E-2</v>
      </c>
      <c r="O191" s="8" t="s">
        <v>337</v>
      </c>
      <c r="P191" s="163">
        <f t="shared" si="2"/>
        <v>0.59175502296504268</v>
      </c>
    </row>
    <row r="192" spans="1:16" x14ac:dyDescent="0.25">
      <c r="A192" s="8">
        <v>191</v>
      </c>
      <c r="B192" s="8">
        <v>4.97</v>
      </c>
      <c r="C192" s="153">
        <v>17.985600000000002</v>
      </c>
      <c r="D192" s="85">
        <v>202.10749999999999</v>
      </c>
      <c r="E192" s="85">
        <v>13.7788</v>
      </c>
      <c r="F192" s="156" t="s">
        <v>248</v>
      </c>
      <c r="G192" s="85">
        <v>6.6</v>
      </c>
      <c r="H192" s="85">
        <v>13.042</v>
      </c>
      <c r="I192" s="8">
        <v>0.4</v>
      </c>
      <c r="J192" s="8">
        <v>116.7</v>
      </c>
      <c r="K192" s="8">
        <v>0.48</v>
      </c>
      <c r="L192" s="8">
        <v>0.43</v>
      </c>
      <c r="M192" s="84">
        <v>2.6688E-2</v>
      </c>
      <c r="N192" s="84">
        <v>3.8163999999999997E-2</v>
      </c>
      <c r="O192" s="8" t="s">
        <v>249</v>
      </c>
      <c r="P192" s="163">
        <f t="shared" si="2"/>
        <v>0.58812344555588225</v>
      </c>
    </row>
    <row r="193" spans="1:16" x14ac:dyDescent="0.25">
      <c r="A193" s="8">
        <v>192</v>
      </c>
      <c r="B193" s="8">
        <v>6.6959999999999997</v>
      </c>
      <c r="C193" s="153">
        <v>38.3142</v>
      </c>
      <c r="D193" s="85">
        <v>84.258399999999995</v>
      </c>
      <c r="E193" s="85">
        <v>-73.699299999999994</v>
      </c>
      <c r="F193" s="156" t="s">
        <v>363</v>
      </c>
      <c r="G193" s="85">
        <v>0.34</v>
      </c>
      <c r="H193" s="85">
        <v>12.307</v>
      </c>
      <c r="I193" s="8">
        <v>0.4</v>
      </c>
      <c r="J193" s="8">
        <v>363.2</v>
      </c>
      <c r="K193" s="8">
        <v>1.02</v>
      </c>
      <c r="L193" s="8">
        <v>0.41</v>
      </c>
      <c r="M193" s="84">
        <v>2.6622E-2</v>
      </c>
      <c r="N193" s="84">
        <v>3.7537000000000001E-2</v>
      </c>
      <c r="O193" s="8" t="s">
        <v>364</v>
      </c>
      <c r="P193" s="163">
        <f t="shared" si="2"/>
        <v>0.58666826437922459</v>
      </c>
    </row>
    <row r="194" spans="1:16" x14ac:dyDescent="0.25">
      <c r="A194" s="8">
        <v>193</v>
      </c>
      <c r="B194" s="8">
        <v>5.95</v>
      </c>
      <c r="C194" s="153">
        <v>50.225999999999999</v>
      </c>
      <c r="D194" s="85">
        <v>272.6318</v>
      </c>
      <c r="E194" s="85">
        <v>54.2866</v>
      </c>
      <c r="F194" s="156" t="s">
        <v>301</v>
      </c>
      <c r="G194" s="85">
        <v>1.6</v>
      </c>
      <c r="H194" s="85">
        <v>12.916</v>
      </c>
      <c r="I194" s="8">
        <v>0.4</v>
      </c>
      <c r="J194" s="8">
        <v>416.1</v>
      </c>
      <c r="K194" s="8">
        <v>1.3</v>
      </c>
      <c r="L194" s="8">
        <v>0.03</v>
      </c>
      <c r="M194" s="84">
        <v>2.5883E-2</v>
      </c>
      <c r="N194" s="84">
        <v>2.6658999999999999E-2</v>
      </c>
      <c r="O194" s="8" t="s">
        <v>221</v>
      </c>
      <c r="P194" s="163">
        <f t="shared" ref="P194:P257" si="3">(K194*AU)/(C194*pc)/FWHMsky</f>
        <v>0.57038348975575559</v>
      </c>
    </row>
    <row r="195" spans="1:16" x14ac:dyDescent="0.25">
      <c r="A195" s="8">
        <v>194</v>
      </c>
      <c r="B195" s="8">
        <v>7.38</v>
      </c>
      <c r="C195" s="153">
        <v>49.529499999999999</v>
      </c>
      <c r="D195" s="85">
        <v>256.12860000000001</v>
      </c>
      <c r="E195" s="85">
        <v>-43.309800000000003</v>
      </c>
      <c r="F195" s="156" t="s">
        <v>419</v>
      </c>
      <c r="G195" s="85">
        <v>2.73</v>
      </c>
      <c r="H195" s="85">
        <v>13.010999999999999</v>
      </c>
      <c r="I195" s="8">
        <v>0.4</v>
      </c>
      <c r="J195" s="8">
        <v>499.4</v>
      </c>
      <c r="K195" s="8">
        <v>1.28</v>
      </c>
      <c r="L195" s="8">
        <v>0.34</v>
      </c>
      <c r="M195" s="84">
        <v>2.5843000000000001E-2</v>
      </c>
      <c r="N195" s="84">
        <v>3.4630000000000001E-2</v>
      </c>
      <c r="O195" s="8" t="s">
        <v>255</v>
      </c>
      <c r="P195" s="163">
        <f t="shared" si="3"/>
        <v>0.5695058792512141</v>
      </c>
    </row>
    <row r="196" spans="1:16" x14ac:dyDescent="0.25">
      <c r="A196" s="8">
        <v>195</v>
      </c>
      <c r="B196" s="8">
        <v>4.74</v>
      </c>
      <c r="C196" s="153">
        <v>8.5550999999999995</v>
      </c>
      <c r="D196" s="85">
        <v>199.60130000000001</v>
      </c>
      <c r="E196" s="85">
        <v>-18.311199999999999</v>
      </c>
      <c r="F196" s="156" t="s">
        <v>240</v>
      </c>
      <c r="G196" s="85">
        <v>5.7000000000000002E-2</v>
      </c>
      <c r="H196" s="85">
        <v>8.5190000000000001</v>
      </c>
      <c r="I196" s="8">
        <v>0.4</v>
      </c>
      <c r="J196" s="8">
        <v>38</v>
      </c>
      <c r="K196" s="8">
        <v>0.22</v>
      </c>
      <c r="L196" s="8">
        <v>0.14000000000000001</v>
      </c>
      <c r="M196" s="84">
        <v>2.5715999999999999E-2</v>
      </c>
      <c r="N196" s="84">
        <v>2.9315999999999998E-2</v>
      </c>
      <c r="O196" s="8" t="s">
        <v>241</v>
      </c>
      <c r="P196" s="163">
        <f t="shared" si="3"/>
        <v>0.56669551625292047</v>
      </c>
    </row>
    <row r="197" spans="1:16" x14ac:dyDescent="0.25">
      <c r="A197" s="8">
        <v>196</v>
      </c>
      <c r="B197" s="8">
        <v>5.88</v>
      </c>
      <c r="C197" s="153">
        <v>11.0595</v>
      </c>
      <c r="D197" s="85">
        <v>9.8408999999999995</v>
      </c>
      <c r="E197" s="85">
        <v>21.250499999999999</v>
      </c>
      <c r="F197" s="156" t="s">
        <v>295</v>
      </c>
      <c r="G197" s="85">
        <v>0.2</v>
      </c>
      <c r="H197" s="85">
        <v>11.670999999999999</v>
      </c>
      <c r="I197" s="8">
        <v>0.4</v>
      </c>
      <c r="J197" s="8">
        <v>62.2</v>
      </c>
      <c r="K197" s="8">
        <v>0.28000000000000003</v>
      </c>
      <c r="L197" s="8">
        <v>0.63</v>
      </c>
      <c r="M197" s="84">
        <v>2.5318E-2</v>
      </c>
      <c r="N197" s="84">
        <v>4.1267999999999999E-2</v>
      </c>
      <c r="O197" s="8" t="s">
        <v>296</v>
      </c>
      <c r="P197" s="163">
        <f t="shared" si="3"/>
        <v>0.55792358980009005</v>
      </c>
    </row>
    <row r="198" spans="1:16" x14ac:dyDescent="0.25">
      <c r="A198" s="8">
        <v>197</v>
      </c>
      <c r="B198" s="8">
        <v>7.45</v>
      </c>
      <c r="C198" s="153">
        <v>109.529</v>
      </c>
      <c r="D198" s="85">
        <v>238.2345</v>
      </c>
      <c r="E198" s="85">
        <v>15.4307</v>
      </c>
      <c r="F198" s="156" t="s">
        <v>431</v>
      </c>
      <c r="G198" s="85">
        <v>1.9</v>
      </c>
      <c r="H198" s="85">
        <v>12.938000000000001</v>
      </c>
      <c r="I198" s="8">
        <v>0.4</v>
      </c>
      <c r="J198" s="8">
        <v>1299</v>
      </c>
      <c r="K198" s="8">
        <v>2.77</v>
      </c>
      <c r="L198" s="8">
        <v>0.32</v>
      </c>
      <c r="M198" s="84">
        <v>2.529E-2</v>
      </c>
      <c r="N198" s="84">
        <v>3.3383000000000003E-2</v>
      </c>
      <c r="O198" s="8" t="s">
        <v>343</v>
      </c>
      <c r="P198" s="163">
        <f t="shared" si="3"/>
        <v>0.55731769530253705</v>
      </c>
    </row>
    <row r="199" spans="1:16" x14ac:dyDescent="0.25">
      <c r="A199" s="8">
        <v>198</v>
      </c>
      <c r="B199" s="8">
        <v>8.32</v>
      </c>
      <c r="C199" s="153">
        <v>54.200499999999998</v>
      </c>
      <c r="D199" s="85">
        <v>215.22300000000001</v>
      </c>
      <c r="E199" s="85">
        <v>-17.4815</v>
      </c>
      <c r="F199" s="156" t="s">
        <v>575</v>
      </c>
      <c r="G199" s="85">
        <v>3</v>
      </c>
      <c r="H199" s="85">
        <v>13.04</v>
      </c>
      <c r="I199" s="8">
        <v>0.4</v>
      </c>
      <c r="J199" s="8">
        <v>502</v>
      </c>
      <c r="K199" s="8">
        <v>1.37</v>
      </c>
      <c r="L199" s="8">
        <v>0.46</v>
      </c>
      <c r="M199" s="84">
        <v>2.5277000000000001E-2</v>
      </c>
      <c r="N199" s="84">
        <v>3.6903999999999999E-2</v>
      </c>
      <c r="O199" s="8" t="s">
        <v>387</v>
      </c>
      <c r="P199" s="163">
        <f t="shared" si="3"/>
        <v>0.55701829580577877</v>
      </c>
    </row>
    <row r="200" spans="1:16" x14ac:dyDescent="0.25">
      <c r="A200" s="8">
        <v>199</v>
      </c>
      <c r="B200" s="8">
        <v>6.734</v>
      </c>
      <c r="C200" s="153">
        <v>33.1126</v>
      </c>
      <c r="D200" s="85">
        <v>91.124799999999993</v>
      </c>
      <c r="E200" s="85">
        <v>44.260399999999997</v>
      </c>
      <c r="F200" s="156" t="s">
        <v>365</v>
      </c>
      <c r="G200" s="85">
        <v>3.28</v>
      </c>
      <c r="H200" s="85">
        <v>13.07</v>
      </c>
      <c r="I200" s="8">
        <v>0.4</v>
      </c>
      <c r="J200" s="8">
        <v>263.10000000000002</v>
      </c>
      <c r="K200" s="8">
        <v>0.83</v>
      </c>
      <c r="L200" s="8">
        <v>0.25</v>
      </c>
      <c r="M200" s="84">
        <v>2.5066000000000001E-2</v>
      </c>
      <c r="N200" s="84">
        <v>3.1331999999999999E-2</v>
      </c>
      <c r="O200" s="8" t="s">
        <v>366</v>
      </c>
      <c r="P200" s="163">
        <f t="shared" si="3"/>
        <v>0.55237879143082991</v>
      </c>
    </row>
    <row r="201" spans="1:16" x14ac:dyDescent="0.25">
      <c r="A201" s="8">
        <v>200</v>
      </c>
      <c r="B201" s="8">
        <v>7.13</v>
      </c>
      <c r="C201" s="153">
        <v>50.3018</v>
      </c>
      <c r="D201" s="85">
        <v>73.681899999999999</v>
      </c>
      <c r="E201" s="85">
        <v>12.3522</v>
      </c>
      <c r="F201" s="156" t="s">
        <v>393</v>
      </c>
      <c r="G201" s="85">
        <v>0.5</v>
      </c>
      <c r="H201" s="85">
        <v>12.616</v>
      </c>
      <c r="I201" s="8">
        <v>0.4</v>
      </c>
      <c r="J201" s="8">
        <v>466</v>
      </c>
      <c r="K201" s="8">
        <v>1.26</v>
      </c>
      <c r="L201" s="8">
        <v>0.3</v>
      </c>
      <c r="M201" s="84">
        <v>2.5048999999999998E-2</v>
      </c>
      <c r="N201" s="84">
        <v>3.2563000000000002E-2</v>
      </c>
      <c r="O201" s="8" t="s">
        <v>366</v>
      </c>
      <c r="P201" s="163">
        <f t="shared" si="3"/>
        <v>0.55200016174915068</v>
      </c>
    </row>
    <row r="202" spans="1:16" x14ac:dyDescent="0.25">
      <c r="A202" s="8">
        <v>201</v>
      </c>
      <c r="B202" s="8">
        <v>11.372</v>
      </c>
      <c r="C202" s="153">
        <v>14.396800000000001</v>
      </c>
      <c r="D202" s="85">
        <v>243.17410000000001</v>
      </c>
      <c r="E202" s="85">
        <v>-18.875499999999999</v>
      </c>
      <c r="F202" s="156" t="s">
        <v>687</v>
      </c>
      <c r="G202" s="85">
        <v>2.1</v>
      </c>
      <c r="H202" s="85">
        <v>12.952</v>
      </c>
      <c r="I202" s="8">
        <v>0.4</v>
      </c>
      <c r="J202" s="8">
        <v>111.7</v>
      </c>
      <c r="K202" s="8">
        <v>0.36</v>
      </c>
      <c r="L202" s="8">
        <v>0.28999999999999998</v>
      </c>
      <c r="M202" s="84">
        <v>2.5006E-2</v>
      </c>
      <c r="N202" s="84">
        <v>3.2257000000000001E-2</v>
      </c>
      <c r="O202" s="8" t="s">
        <v>650</v>
      </c>
      <c r="P202" s="163">
        <f t="shared" si="3"/>
        <v>0.5510470925339247</v>
      </c>
    </row>
    <row r="203" spans="1:16" x14ac:dyDescent="0.25">
      <c r="A203" s="8">
        <v>202</v>
      </c>
      <c r="B203" s="8">
        <v>7.81</v>
      </c>
      <c r="C203" s="153">
        <v>42.337000000000003</v>
      </c>
      <c r="D203" s="85">
        <v>66.609700000000004</v>
      </c>
      <c r="E203" s="85">
        <v>-10.550800000000001</v>
      </c>
      <c r="F203" s="156" t="s">
        <v>490</v>
      </c>
      <c r="G203" s="85">
        <v>5.7</v>
      </c>
      <c r="H203" s="85">
        <v>13.076000000000001</v>
      </c>
      <c r="I203" s="8">
        <v>0.4</v>
      </c>
      <c r="J203" s="8">
        <v>383</v>
      </c>
      <c r="K203" s="8">
        <v>1.03</v>
      </c>
      <c r="L203" s="8">
        <v>7.0000000000000007E-2</v>
      </c>
      <c r="M203" s="84">
        <v>2.4329E-2</v>
      </c>
      <c r="N203" s="84">
        <v>2.6032E-2</v>
      </c>
      <c r="O203" s="8" t="s">
        <v>491</v>
      </c>
      <c r="P203" s="163">
        <f t="shared" si="3"/>
        <v>0.5361290377241722</v>
      </c>
    </row>
    <row r="204" spans="1:16" x14ac:dyDescent="0.25">
      <c r="A204" s="8">
        <v>203</v>
      </c>
      <c r="B204" s="8">
        <v>8.5500000000000007</v>
      </c>
      <c r="C204" s="153">
        <v>98.716700000000003</v>
      </c>
      <c r="D204" s="85">
        <v>54.848500000000001</v>
      </c>
      <c r="E204" s="85">
        <v>-60.077800000000003</v>
      </c>
      <c r="F204" s="156" t="s">
        <v>599</v>
      </c>
      <c r="G204" s="85">
        <v>1.5</v>
      </c>
      <c r="H204" s="85">
        <v>12.909000000000001</v>
      </c>
      <c r="I204" s="8">
        <v>0.4</v>
      </c>
      <c r="J204" s="8">
        <v>1214</v>
      </c>
      <c r="K204" s="8">
        <v>2.4</v>
      </c>
      <c r="L204" s="8">
        <v>0.44</v>
      </c>
      <c r="M204" s="84">
        <v>2.4312E-2</v>
      </c>
      <c r="N204" s="84">
        <v>3.5008999999999998E-2</v>
      </c>
      <c r="O204" s="8" t="s">
        <v>247</v>
      </c>
      <c r="P204" s="163">
        <f t="shared" si="3"/>
        <v>0.53576309998155713</v>
      </c>
    </row>
    <row r="205" spans="1:16" x14ac:dyDescent="0.25">
      <c r="A205" s="8">
        <v>204</v>
      </c>
      <c r="B205" s="8">
        <v>8.6280000000000001</v>
      </c>
      <c r="C205" s="153">
        <v>28.555099999999999</v>
      </c>
      <c r="D205" s="85">
        <v>347.29469999999998</v>
      </c>
      <c r="E205" s="85">
        <v>-2.2606999999999999</v>
      </c>
      <c r="F205" s="156" t="s">
        <v>603</v>
      </c>
      <c r="G205" s="85">
        <v>0.21</v>
      </c>
      <c r="H205" s="85">
        <v>11.741</v>
      </c>
      <c r="I205" s="8">
        <v>0.4</v>
      </c>
      <c r="J205" s="8">
        <v>225.7</v>
      </c>
      <c r="K205" s="8">
        <v>0.69</v>
      </c>
      <c r="L205" s="8">
        <v>0.3</v>
      </c>
      <c r="M205" s="84">
        <v>2.4164000000000001E-2</v>
      </c>
      <c r="N205" s="84">
        <v>3.1413000000000003E-2</v>
      </c>
      <c r="O205" s="8" t="s">
        <v>429</v>
      </c>
      <c r="P205" s="163">
        <f t="shared" si="3"/>
        <v>0.5324975222792232</v>
      </c>
    </row>
    <row r="206" spans="1:16" x14ac:dyDescent="0.25">
      <c r="A206" s="8">
        <v>205</v>
      </c>
      <c r="B206" s="8">
        <v>4.657</v>
      </c>
      <c r="C206" s="153">
        <v>90.009</v>
      </c>
      <c r="D206" s="85">
        <v>189.8115</v>
      </c>
      <c r="E206" s="85">
        <v>-7.9955999999999996</v>
      </c>
      <c r="F206" s="156" t="s">
        <v>233</v>
      </c>
      <c r="G206" s="85">
        <v>11.09</v>
      </c>
      <c r="H206" s="85">
        <v>12.685</v>
      </c>
      <c r="I206" s="8">
        <v>0.4</v>
      </c>
      <c r="J206" s="8">
        <v>835.5</v>
      </c>
      <c r="K206" s="8">
        <v>2.14</v>
      </c>
      <c r="L206" s="8">
        <v>0.46</v>
      </c>
      <c r="M206" s="84">
        <v>2.3775000000000001E-2</v>
      </c>
      <c r="N206" s="84">
        <v>3.4712E-2</v>
      </c>
      <c r="O206" s="8" t="s">
        <v>208</v>
      </c>
      <c r="P206" s="163">
        <f t="shared" si="3"/>
        <v>0.52393815041445713</v>
      </c>
    </row>
    <row r="207" spans="1:16" x14ac:dyDescent="0.25">
      <c r="A207" s="8">
        <v>206</v>
      </c>
      <c r="B207" s="8">
        <v>7.44</v>
      </c>
      <c r="C207" s="153">
        <v>34.952800000000003</v>
      </c>
      <c r="D207" s="85">
        <v>31.142900000000001</v>
      </c>
      <c r="E207" s="85">
        <v>25.414300000000001</v>
      </c>
      <c r="F207" s="156" t="s">
        <v>427</v>
      </c>
      <c r="G207" s="85">
        <v>2.2999999999999998</v>
      </c>
      <c r="H207" s="85">
        <v>12.965999999999999</v>
      </c>
      <c r="I207" s="8">
        <v>0.4</v>
      </c>
      <c r="J207" s="8">
        <v>263.60000000000002</v>
      </c>
      <c r="K207" s="8">
        <v>0.83</v>
      </c>
      <c r="L207" s="8">
        <v>0.38</v>
      </c>
      <c r="M207" s="84">
        <v>2.3746E-2</v>
      </c>
      <c r="N207" s="84">
        <v>3.2770000000000001E-2</v>
      </c>
      <c r="O207" s="8" t="s">
        <v>296</v>
      </c>
      <c r="P207" s="163">
        <f t="shared" si="3"/>
        <v>0.52329707402933368</v>
      </c>
    </row>
    <row r="208" spans="1:16" x14ac:dyDescent="0.25">
      <c r="A208" s="8">
        <v>207</v>
      </c>
      <c r="B208" s="8">
        <v>7.7</v>
      </c>
      <c r="C208" s="153">
        <v>50.428600000000003</v>
      </c>
      <c r="D208" s="85">
        <v>95.059700000000007</v>
      </c>
      <c r="E208" s="85">
        <v>-10.725</v>
      </c>
      <c r="F208" s="156" t="s">
        <v>472</v>
      </c>
      <c r="G208" s="85">
        <v>0.57999999999999996</v>
      </c>
      <c r="H208" s="85">
        <v>12.702</v>
      </c>
      <c r="I208" s="8">
        <v>0.4</v>
      </c>
      <c r="J208" s="8">
        <v>472.3</v>
      </c>
      <c r="K208" s="8">
        <v>1.19</v>
      </c>
      <c r="L208" s="8">
        <v>0.61</v>
      </c>
      <c r="M208" s="84">
        <v>2.3598000000000001E-2</v>
      </c>
      <c r="N208" s="84">
        <v>3.7991999999999998E-2</v>
      </c>
      <c r="O208" s="8" t="s">
        <v>337</v>
      </c>
      <c r="P208" s="163">
        <f t="shared" si="3"/>
        <v>0.52002262111034014</v>
      </c>
    </row>
    <row r="209" spans="1:16" x14ac:dyDescent="0.25">
      <c r="A209" s="8">
        <v>208</v>
      </c>
      <c r="B209" s="8">
        <v>7.6509999999999998</v>
      </c>
      <c r="C209" s="153">
        <v>11.158200000000001</v>
      </c>
      <c r="D209" s="85">
        <v>147.77940000000001</v>
      </c>
      <c r="E209" s="85">
        <v>-43.502800000000001</v>
      </c>
      <c r="F209" s="156" t="s">
        <v>462</v>
      </c>
      <c r="G209" s="85">
        <v>1.0999999999999999E-2</v>
      </c>
      <c r="H209" s="85">
        <v>1.4079999999999999</v>
      </c>
      <c r="I209" s="8">
        <v>0.4</v>
      </c>
      <c r="J209" s="8">
        <v>58.4</v>
      </c>
      <c r="K209" s="8">
        <v>0.26</v>
      </c>
      <c r="L209" s="8">
        <v>0.11</v>
      </c>
      <c r="M209" s="84">
        <v>2.3300999999999999E-2</v>
      </c>
      <c r="N209" s="84">
        <v>2.5864000000000002E-2</v>
      </c>
      <c r="O209" s="8" t="s">
        <v>463</v>
      </c>
      <c r="P209" s="163">
        <f t="shared" si="3"/>
        <v>0.51348929319195902</v>
      </c>
    </row>
    <row r="210" spans="1:16" x14ac:dyDescent="0.25">
      <c r="A210" s="8">
        <v>209</v>
      </c>
      <c r="B210" s="8">
        <v>7.27</v>
      </c>
      <c r="C210" s="153">
        <v>44.111199999999997</v>
      </c>
      <c r="D210" s="85">
        <v>257.39420000000001</v>
      </c>
      <c r="E210" s="85">
        <v>33.355899999999998</v>
      </c>
      <c r="F210" s="156" t="s">
        <v>410</v>
      </c>
      <c r="G210" s="85">
        <v>0.82</v>
      </c>
      <c r="H210" s="85">
        <v>12.808999999999999</v>
      </c>
      <c r="I210" s="8">
        <v>0.4</v>
      </c>
      <c r="J210" s="8">
        <v>391.9</v>
      </c>
      <c r="K210" s="8">
        <v>1.02</v>
      </c>
      <c r="L210" s="8">
        <v>0.16</v>
      </c>
      <c r="M210" s="84">
        <v>2.3123000000000001E-2</v>
      </c>
      <c r="N210" s="84">
        <v>2.6823E-2</v>
      </c>
      <c r="O210" s="8" t="s">
        <v>331</v>
      </c>
      <c r="P210" s="163">
        <f t="shared" si="3"/>
        <v>0.50956956997493819</v>
      </c>
    </row>
    <row r="211" spans="1:16" x14ac:dyDescent="0.25">
      <c r="A211" s="8">
        <v>210</v>
      </c>
      <c r="B211" s="8">
        <v>8.6999999999999993</v>
      </c>
      <c r="C211" s="153">
        <v>39.231099999999998</v>
      </c>
      <c r="D211" s="85">
        <v>233.91640000000001</v>
      </c>
      <c r="E211" s="85">
        <v>-80.204599999999999</v>
      </c>
      <c r="F211" s="156" t="s">
        <v>611</v>
      </c>
      <c r="G211" s="85">
        <v>0.223</v>
      </c>
      <c r="H211" s="85">
        <v>11.833</v>
      </c>
      <c r="I211" s="8">
        <v>0.4</v>
      </c>
      <c r="J211" s="8">
        <v>330</v>
      </c>
      <c r="K211" s="8">
        <v>0.89</v>
      </c>
      <c r="L211" s="8">
        <v>0.36</v>
      </c>
      <c r="M211" s="84">
        <v>2.2686000000000001E-2</v>
      </c>
      <c r="N211" s="84">
        <v>3.0852999999999998E-2</v>
      </c>
      <c r="O211" s="8" t="s">
        <v>612</v>
      </c>
      <c r="P211" s="163">
        <f t="shared" si="3"/>
        <v>0.4999328874140983</v>
      </c>
    </row>
    <row r="212" spans="1:16" x14ac:dyDescent="0.25">
      <c r="A212" s="8">
        <v>211</v>
      </c>
      <c r="B212" s="8">
        <v>7.81</v>
      </c>
      <c r="C212" s="153">
        <v>55.279200000000003</v>
      </c>
      <c r="D212" s="85">
        <v>352.8347</v>
      </c>
      <c r="E212" s="85">
        <v>-58.209699999999998</v>
      </c>
      <c r="F212" s="156" t="s">
        <v>489</v>
      </c>
      <c r="G212" s="85">
        <v>3.09</v>
      </c>
      <c r="H212" s="85">
        <v>13.048999999999999</v>
      </c>
      <c r="I212" s="8">
        <v>0.4</v>
      </c>
      <c r="J212" s="8">
        <v>456.1</v>
      </c>
      <c r="K212" s="8">
        <v>1.25</v>
      </c>
      <c r="L212" s="8">
        <v>0.08</v>
      </c>
      <c r="M212" s="84">
        <v>2.2613000000000001E-2</v>
      </c>
      <c r="N212" s="84">
        <v>2.4421999999999999E-2</v>
      </c>
      <c r="O212" s="8" t="s">
        <v>284</v>
      </c>
      <c r="P212" s="163">
        <f t="shared" si="3"/>
        <v>0.49831097196094798</v>
      </c>
    </row>
    <row r="213" spans="1:16" x14ac:dyDescent="0.25">
      <c r="A213" s="8">
        <v>212</v>
      </c>
      <c r="B213" s="8">
        <v>5.7409999999999997</v>
      </c>
      <c r="C213" s="153">
        <v>39.432200000000002</v>
      </c>
      <c r="D213" s="85">
        <v>155.54400000000001</v>
      </c>
      <c r="E213" s="85">
        <v>41.229500000000002</v>
      </c>
      <c r="F213" s="156" t="s">
        <v>290</v>
      </c>
      <c r="G213" s="85">
        <v>7.2</v>
      </c>
      <c r="H213" s="85">
        <v>12.994</v>
      </c>
      <c r="I213" s="8">
        <v>0.4</v>
      </c>
      <c r="J213" s="8">
        <v>256</v>
      </c>
      <c r="K213" s="8">
        <v>0.88</v>
      </c>
      <c r="L213" s="8">
        <v>0.7</v>
      </c>
      <c r="M213" s="84">
        <v>2.2317E-2</v>
      </c>
      <c r="N213" s="84">
        <v>3.7939000000000001E-2</v>
      </c>
      <c r="O213" s="8" t="s">
        <v>284</v>
      </c>
      <c r="P213" s="163">
        <f t="shared" si="3"/>
        <v>0.49179470697504679</v>
      </c>
    </row>
    <row r="214" spans="1:16" x14ac:dyDescent="0.25">
      <c r="A214" s="8">
        <v>213</v>
      </c>
      <c r="B214" s="8">
        <v>9.06</v>
      </c>
      <c r="C214" s="153">
        <v>49.9251</v>
      </c>
      <c r="D214" s="85">
        <v>171.07230000000001</v>
      </c>
      <c r="E214" s="85">
        <v>-1.5290999999999999</v>
      </c>
      <c r="F214" s="156" t="s">
        <v>638</v>
      </c>
      <c r="G214" s="85">
        <v>0.502</v>
      </c>
      <c r="H214" s="85">
        <v>12.619</v>
      </c>
      <c r="I214" s="8">
        <v>0.4</v>
      </c>
      <c r="J214" s="8">
        <v>439.3</v>
      </c>
      <c r="K214" s="8">
        <v>1.1100000000000001</v>
      </c>
      <c r="L214" s="8">
        <v>0.09</v>
      </c>
      <c r="M214" s="84">
        <v>2.2232999999999999E-2</v>
      </c>
      <c r="N214" s="84">
        <v>2.4233999999999999E-2</v>
      </c>
      <c r="O214" s="8" t="s">
        <v>343</v>
      </c>
      <c r="P214" s="163">
        <f t="shared" si="3"/>
        <v>0.48995503084674019</v>
      </c>
    </row>
    <row r="215" spans="1:16" x14ac:dyDescent="0.25">
      <c r="A215" s="8">
        <v>214</v>
      </c>
      <c r="B215" s="8">
        <v>6.4870000000000001</v>
      </c>
      <c r="C215" s="153">
        <v>72.202200000000005</v>
      </c>
      <c r="D215" s="85">
        <v>316.666</v>
      </c>
      <c r="E215" s="85">
        <v>3.8031000000000001</v>
      </c>
      <c r="F215" s="156" t="s">
        <v>342</v>
      </c>
      <c r="G215" s="85">
        <v>1.85</v>
      </c>
      <c r="H215" s="85">
        <v>12.933999999999999</v>
      </c>
      <c r="I215" s="8">
        <v>0.4</v>
      </c>
      <c r="J215" s="8">
        <v>613.79999999999995</v>
      </c>
      <c r="K215" s="8">
        <v>1.6</v>
      </c>
      <c r="L215" s="8">
        <v>0.04</v>
      </c>
      <c r="M215" s="84">
        <v>2.2159999999999999E-2</v>
      </c>
      <c r="N215" s="84">
        <v>2.3046000000000001E-2</v>
      </c>
      <c r="O215" s="8" t="s">
        <v>343</v>
      </c>
      <c r="P215" s="163">
        <f t="shared" si="3"/>
        <v>0.4883393692708291</v>
      </c>
    </row>
    <row r="216" spans="1:16" x14ac:dyDescent="0.25">
      <c r="A216" s="8">
        <v>215</v>
      </c>
      <c r="B216" s="8">
        <v>5.9109999999999996</v>
      </c>
      <c r="C216" s="153">
        <v>36.603200000000001</v>
      </c>
      <c r="D216" s="85">
        <v>276.95620000000002</v>
      </c>
      <c r="E216" s="85">
        <v>-29.8169</v>
      </c>
      <c r="F216" s="156" t="s">
        <v>297</v>
      </c>
      <c r="G216" s="85">
        <v>2.88</v>
      </c>
      <c r="H216" s="85">
        <v>13.026999999999999</v>
      </c>
      <c r="I216" s="8">
        <v>0.4</v>
      </c>
      <c r="J216" s="8">
        <v>225.6</v>
      </c>
      <c r="K216" s="8">
        <v>0.81</v>
      </c>
      <c r="L216" s="8">
        <v>0.31</v>
      </c>
      <c r="M216" s="84">
        <v>2.2128999999999999E-2</v>
      </c>
      <c r="N216" s="84">
        <v>2.8989000000000001E-2</v>
      </c>
      <c r="O216" s="8" t="s">
        <v>284</v>
      </c>
      <c r="P216" s="163">
        <f t="shared" si="3"/>
        <v>0.48766114052959625</v>
      </c>
    </row>
    <row r="217" spans="1:16" x14ac:dyDescent="0.25">
      <c r="A217" s="8">
        <v>216</v>
      </c>
      <c r="B217" s="8">
        <v>5.9390000000000001</v>
      </c>
      <c r="C217" s="153">
        <v>54.945099999999996</v>
      </c>
      <c r="D217" s="85">
        <v>332.96390000000002</v>
      </c>
      <c r="E217" s="85">
        <v>16.040600000000001</v>
      </c>
      <c r="F217" s="156" t="s">
        <v>299</v>
      </c>
      <c r="G217" s="85">
        <v>1.9</v>
      </c>
      <c r="H217" s="85">
        <v>12.938000000000001</v>
      </c>
      <c r="I217" s="8">
        <v>0.4</v>
      </c>
      <c r="J217" s="8">
        <v>354.8</v>
      </c>
      <c r="K217" s="8">
        <v>1.2</v>
      </c>
      <c r="L217" s="8">
        <v>0.15</v>
      </c>
      <c r="M217" s="84">
        <v>2.1839999999999998E-2</v>
      </c>
      <c r="N217" s="84">
        <v>2.5115999999999999E-2</v>
      </c>
      <c r="O217" s="8" t="s">
        <v>221</v>
      </c>
      <c r="P217" s="163">
        <f t="shared" si="3"/>
        <v>0.48128736877309702</v>
      </c>
    </row>
    <row r="218" spans="1:16" x14ac:dyDescent="0.25">
      <c r="A218" s="8">
        <v>217</v>
      </c>
      <c r="B218" s="8">
        <v>10.210000000000001</v>
      </c>
      <c r="C218" s="153">
        <v>41.186199999999999</v>
      </c>
      <c r="D218" s="85">
        <v>16.508500000000002</v>
      </c>
      <c r="E218" s="85">
        <v>-22.453199999999999</v>
      </c>
      <c r="F218" s="156" t="s">
        <v>672</v>
      </c>
      <c r="G218" s="85">
        <v>1.44</v>
      </c>
      <c r="H218" s="85">
        <v>12.904999999999999</v>
      </c>
      <c r="I218" s="8">
        <v>0.4</v>
      </c>
      <c r="J218" s="8">
        <v>345.6</v>
      </c>
      <c r="K218" s="8">
        <v>0.89</v>
      </c>
      <c r="L218" s="8">
        <v>0.54</v>
      </c>
      <c r="M218" s="84">
        <v>2.1609E-2</v>
      </c>
      <c r="N218" s="84">
        <v>3.3278000000000002E-2</v>
      </c>
      <c r="O218" s="8" t="s">
        <v>553</v>
      </c>
      <c r="P218" s="163">
        <f t="shared" si="3"/>
        <v>0.47620118144988444</v>
      </c>
    </row>
    <row r="219" spans="1:16" x14ac:dyDescent="0.25">
      <c r="A219" s="8">
        <v>218</v>
      </c>
      <c r="B219" s="8">
        <v>8.99</v>
      </c>
      <c r="C219" s="153">
        <v>102.5641</v>
      </c>
      <c r="D219" s="85">
        <v>6.0845000000000002</v>
      </c>
      <c r="E219" s="85">
        <v>-56.65</v>
      </c>
      <c r="F219" s="156" t="s">
        <v>631</v>
      </c>
      <c r="G219" s="85">
        <v>4.9000000000000004</v>
      </c>
      <c r="H219" s="85">
        <v>13.103999999999999</v>
      </c>
      <c r="I219" s="8">
        <v>0.4</v>
      </c>
      <c r="J219" s="8">
        <v>1183</v>
      </c>
      <c r="K219" s="8">
        <v>2.2000000000000002</v>
      </c>
      <c r="L219" s="8">
        <v>0.67</v>
      </c>
      <c r="M219" s="84">
        <v>2.145E-2</v>
      </c>
      <c r="N219" s="84">
        <v>3.5820999999999999E-2</v>
      </c>
      <c r="O219" s="8" t="s">
        <v>632</v>
      </c>
      <c r="P219" s="163">
        <f t="shared" si="3"/>
        <v>0.47269335089913139</v>
      </c>
    </row>
    <row r="220" spans="1:16" x14ac:dyDescent="0.25">
      <c r="A220" s="8">
        <v>219</v>
      </c>
      <c r="B220" s="8">
        <v>7.484</v>
      </c>
      <c r="C220" s="153">
        <v>38.565399999999997</v>
      </c>
      <c r="D220" s="85">
        <v>73.909899999999993</v>
      </c>
      <c r="E220" s="85">
        <v>-23.241900000000001</v>
      </c>
      <c r="F220" s="156" t="s">
        <v>438</v>
      </c>
      <c r="G220" s="85">
        <v>5.1999999999999998E-2</v>
      </c>
      <c r="H220" s="85">
        <v>8.1669999999999998</v>
      </c>
      <c r="I220" s="8">
        <v>0.4</v>
      </c>
      <c r="J220" s="8">
        <v>274.5</v>
      </c>
      <c r="K220" s="8">
        <v>0.82</v>
      </c>
      <c r="L220" s="8">
        <v>0.38</v>
      </c>
      <c r="M220" s="84">
        <v>2.1263000000000001E-2</v>
      </c>
      <c r="N220" s="84">
        <v>2.9342E-2</v>
      </c>
      <c r="O220" s="8" t="s">
        <v>282</v>
      </c>
      <c r="P220" s="163">
        <f t="shared" si="3"/>
        <v>0.46856322283919538</v>
      </c>
    </row>
    <row r="221" spans="1:16" x14ac:dyDescent="0.25">
      <c r="A221" s="8">
        <v>220</v>
      </c>
      <c r="B221" s="8">
        <v>8.23</v>
      </c>
      <c r="C221" s="153">
        <v>57.012500000000003</v>
      </c>
      <c r="D221" s="85">
        <v>298.01889999999997</v>
      </c>
      <c r="E221" s="85">
        <v>28.1004</v>
      </c>
      <c r="F221" s="156" t="s">
        <v>565</v>
      </c>
      <c r="G221" s="85">
        <v>1.26</v>
      </c>
      <c r="H221" s="85">
        <v>12.88</v>
      </c>
      <c r="I221" s="8">
        <v>0.4</v>
      </c>
      <c r="J221" s="8">
        <v>456.5</v>
      </c>
      <c r="K221" s="8">
        <v>1.19</v>
      </c>
      <c r="L221" s="8">
        <v>0.15</v>
      </c>
      <c r="M221" s="84">
        <v>2.0872999999999999E-2</v>
      </c>
      <c r="N221" s="84">
        <v>2.4003E-2</v>
      </c>
      <c r="O221" s="8" t="s">
        <v>321</v>
      </c>
      <c r="P221" s="163">
        <f t="shared" si="3"/>
        <v>0.45996952862836926</v>
      </c>
    </row>
    <row r="222" spans="1:16" x14ac:dyDescent="0.25">
      <c r="A222" s="8">
        <v>221</v>
      </c>
      <c r="B222" s="8">
        <v>8.06</v>
      </c>
      <c r="C222" s="153">
        <v>32.690399999999997</v>
      </c>
      <c r="D222" s="85">
        <v>96.410300000000007</v>
      </c>
      <c r="E222" s="85">
        <v>-31.481000000000002</v>
      </c>
      <c r="F222" s="156" t="s">
        <v>537</v>
      </c>
      <c r="G222" s="85">
        <v>0.187</v>
      </c>
      <c r="H222" s="85">
        <v>11.581</v>
      </c>
      <c r="I222" s="8">
        <v>0.4</v>
      </c>
      <c r="J222" s="8">
        <v>226.9</v>
      </c>
      <c r="K222" s="8">
        <v>0.68</v>
      </c>
      <c r="L222" s="8">
        <v>0.17</v>
      </c>
      <c r="M222" s="84">
        <v>2.0801E-2</v>
      </c>
      <c r="N222" s="84">
        <v>2.4337000000000001E-2</v>
      </c>
      <c r="O222" s="8" t="s">
        <v>226</v>
      </c>
      <c r="P222" s="163">
        <f t="shared" si="3"/>
        <v>0.45839604726114269</v>
      </c>
    </row>
    <row r="223" spans="1:16" x14ac:dyDescent="0.25">
      <c r="A223" s="8">
        <v>222</v>
      </c>
      <c r="B223" s="8">
        <v>8.42</v>
      </c>
      <c r="C223" s="153">
        <v>49.603200000000001</v>
      </c>
      <c r="D223" s="85">
        <v>173.96469999999999</v>
      </c>
      <c r="E223" s="85">
        <v>-4.7557</v>
      </c>
      <c r="F223" s="156" t="s">
        <v>589</v>
      </c>
      <c r="G223" s="85">
        <v>1.1599999999999999</v>
      </c>
      <c r="H223" s="85">
        <v>12.865</v>
      </c>
      <c r="I223" s="8">
        <v>0.4</v>
      </c>
      <c r="J223" s="8">
        <v>383.7</v>
      </c>
      <c r="K223" s="8">
        <v>1.03</v>
      </c>
      <c r="L223" s="8">
        <v>0.36</v>
      </c>
      <c r="M223" s="84">
        <v>2.0764999999999999E-2</v>
      </c>
      <c r="N223" s="84">
        <v>2.8240000000000001E-2</v>
      </c>
      <c r="O223" s="8" t="s">
        <v>343</v>
      </c>
      <c r="P223" s="163">
        <f t="shared" si="3"/>
        <v>0.45759336232598452</v>
      </c>
    </row>
    <row r="224" spans="1:16" x14ac:dyDescent="0.25">
      <c r="A224" s="8">
        <v>223</v>
      </c>
      <c r="B224" s="8">
        <v>7.1769999999999996</v>
      </c>
      <c r="C224" s="153">
        <v>59.0319</v>
      </c>
      <c r="D224" s="85">
        <v>286.33659999999998</v>
      </c>
      <c r="E224" s="85">
        <v>25.9207</v>
      </c>
      <c r="F224" s="156" t="s">
        <v>397</v>
      </c>
      <c r="G224" s="85">
        <v>1.49</v>
      </c>
      <c r="H224" s="85">
        <v>12.907999999999999</v>
      </c>
      <c r="I224" s="8">
        <v>0.4</v>
      </c>
      <c r="J224" s="8">
        <v>406.6</v>
      </c>
      <c r="K224" s="8">
        <v>1.22</v>
      </c>
      <c r="L224" s="8">
        <v>0</v>
      </c>
      <c r="M224" s="84">
        <v>2.0667000000000001E-2</v>
      </c>
      <c r="N224" s="84">
        <v>2.0667000000000001E-2</v>
      </c>
      <c r="O224" s="8" t="s">
        <v>398</v>
      </c>
      <c r="P224" s="163">
        <f t="shared" si="3"/>
        <v>0.45543379623685282</v>
      </c>
    </row>
    <row r="225" spans="1:16" x14ac:dyDescent="0.25">
      <c r="A225" s="8">
        <v>224</v>
      </c>
      <c r="B225" s="8">
        <v>9.93</v>
      </c>
      <c r="C225" s="153">
        <v>46.210700000000003</v>
      </c>
      <c r="D225" s="85">
        <v>50.177900000000001</v>
      </c>
      <c r="E225" s="85">
        <v>-33.7301</v>
      </c>
      <c r="F225" s="156" t="s">
        <v>662</v>
      </c>
      <c r="G225" s="85">
        <v>1.99</v>
      </c>
      <c r="H225" s="85">
        <v>12.944000000000001</v>
      </c>
      <c r="I225" s="8">
        <v>0.4</v>
      </c>
      <c r="J225" s="8">
        <v>380.9</v>
      </c>
      <c r="K225" s="8">
        <v>0.95</v>
      </c>
      <c r="L225" s="8">
        <v>0.75</v>
      </c>
      <c r="M225" s="84">
        <v>2.0558E-2</v>
      </c>
      <c r="N225" s="84">
        <v>3.5976000000000001E-2</v>
      </c>
      <c r="O225" s="8" t="s">
        <v>663</v>
      </c>
      <c r="P225" s="163">
        <f t="shared" si="3"/>
        <v>0.45303655278387828</v>
      </c>
    </row>
    <row r="226" spans="1:16" x14ac:dyDescent="0.25">
      <c r="A226" s="8">
        <v>225</v>
      </c>
      <c r="B226" s="8">
        <v>10.042</v>
      </c>
      <c r="C226" s="153">
        <v>10.4145</v>
      </c>
      <c r="D226" s="85">
        <v>33.087499999999999</v>
      </c>
      <c r="E226" s="85">
        <v>3.5756000000000001</v>
      </c>
      <c r="F226" s="156" t="s">
        <v>670</v>
      </c>
      <c r="G226" s="85">
        <v>2.2759999999999998</v>
      </c>
      <c r="H226" s="85">
        <v>12.965</v>
      </c>
      <c r="I226" s="8">
        <v>0.4</v>
      </c>
      <c r="J226" s="8">
        <v>61.1</v>
      </c>
      <c r="K226" s="8">
        <v>0.21</v>
      </c>
      <c r="L226" s="8">
        <v>0.03</v>
      </c>
      <c r="M226" s="84">
        <v>2.0164000000000001E-2</v>
      </c>
      <c r="N226" s="84">
        <v>2.0768999999999999E-2</v>
      </c>
      <c r="O226" s="8" t="s">
        <v>671</v>
      </c>
      <c r="P226" s="163">
        <f t="shared" si="3"/>
        <v>0.44435805425566</v>
      </c>
    </row>
    <row r="227" spans="1:16" x14ac:dyDescent="0.25">
      <c r="A227" s="8">
        <v>226</v>
      </c>
      <c r="B227" s="8">
        <v>5.9770000000000003</v>
      </c>
      <c r="C227" s="153">
        <v>118.0638</v>
      </c>
      <c r="D227" s="85">
        <v>233.8175</v>
      </c>
      <c r="E227" s="85">
        <v>53.9221</v>
      </c>
      <c r="F227" s="156" t="s">
        <v>305</v>
      </c>
      <c r="G227" s="85">
        <v>9.76</v>
      </c>
      <c r="H227" s="85">
        <v>12.791</v>
      </c>
      <c r="I227" s="8">
        <v>0.4</v>
      </c>
      <c r="J227" s="8">
        <v>1125.7</v>
      </c>
      <c r="K227" s="8">
        <v>2.36</v>
      </c>
      <c r="L227" s="8">
        <v>0.1</v>
      </c>
      <c r="M227" s="84">
        <v>1.9989E-2</v>
      </c>
      <c r="N227" s="84">
        <v>2.1988000000000001E-2</v>
      </c>
      <c r="O227" s="8" t="s">
        <v>306</v>
      </c>
      <c r="P227" s="163">
        <f t="shared" si="3"/>
        <v>0.44050154062252977</v>
      </c>
    </row>
    <row r="228" spans="1:16" x14ac:dyDescent="0.25">
      <c r="A228" s="8">
        <v>227</v>
      </c>
      <c r="B228" s="8">
        <v>4.2549999999999999</v>
      </c>
      <c r="C228" s="153">
        <v>6.0434000000000001</v>
      </c>
      <c r="D228" s="85">
        <v>49.981900000000003</v>
      </c>
      <c r="E228" s="85">
        <v>-43.069800000000001</v>
      </c>
      <c r="F228" s="156" t="s">
        <v>225</v>
      </c>
      <c r="G228" s="85">
        <v>8.9999999999999993E-3</v>
      </c>
      <c r="H228" s="85">
        <v>1.32</v>
      </c>
      <c r="I228" s="8">
        <v>0.4</v>
      </c>
      <c r="J228" s="8">
        <v>18.3</v>
      </c>
      <c r="K228" s="8">
        <v>0.12</v>
      </c>
      <c r="L228" s="8">
        <v>0</v>
      </c>
      <c r="M228" s="84">
        <v>1.9855999999999999E-2</v>
      </c>
      <c r="N228" s="84">
        <v>1.9855999999999999E-2</v>
      </c>
      <c r="O228" s="8" t="s">
        <v>226</v>
      </c>
      <c r="P228" s="163">
        <f t="shared" si="3"/>
        <v>0.43757458725179027</v>
      </c>
    </row>
    <row r="229" spans="1:16" x14ac:dyDescent="0.25">
      <c r="A229" s="8">
        <v>228</v>
      </c>
      <c r="B229" s="8">
        <v>5.95</v>
      </c>
      <c r="C229" s="153">
        <v>12.341100000000001</v>
      </c>
      <c r="D229" s="85">
        <v>133.14920000000001</v>
      </c>
      <c r="E229" s="85">
        <v>28.3308</v>
      </c>
      <c r="F229" s="156" t="s">
        <v>300</v>
      </c>
      <c r="G229" s="85">
        <v>0.16900000000000001</v>
      </c>
      <c r="H229" s="85">
        <v>11.452999999999999</v>
      </c>
      <c r="I229" s="8">
        <v>0.4</v>
      </c>
      <c r="J229" s="8">
        <v>44.3</v>
      </c>
      <c r="K229" s="8">
        <v>0.24</v>
      </c>
      <c r="L229" s="8">
        <v>0.05</v>
      </c>
      <c r="M229" s="84">
        <v>1.9446999999999999E-2</v>
      </c>
      <c r="N229" s="84">
        <v>2.0420000000000001E-2</v>
      </c>
      <c r="O229" s="8" t="s">
        <v>226</v>
      </c>
      <c r="P229" s="163">
        <f t="shared" si="3"/>
        <v>0.4285579503605787</v>
      </c>
    </row>
    <row r="230" spans="1:16" x14ac:dyDescent="0.25">
      <c r="A230" s="8">
        <v>229</v>
      </c>
      <c r="B230" s="8">
        <v>4.13</v>
      </c>
      <c r="C230" s="153">
        <v>67.8887</v>
      </c>
      <c r="D230" s="85">
        <v>239.39689999999999</v>
      </c>
      <c r="E230" s="85">
        <v>26.8779</v>
      </c>
      <c r="F230" s="156" t="s">
        <v>224</v>
      </c>
      <c r="G230" s="85">
        <v>6.7</v>
      </c>
      <c r="H230" s="85">
        <v>13.034000000000001</v>
      </c>
      <c r="I230" s="8">
        <v>0.4</v>
      </c>
      <c r="J230" s="8">
        <v>417.9</v>
      </c>
      <c r="K230" s="8">
        <v>1.3</v>
      </c>
      <c r="L230" s="8">
        <v>0.11</v>
      </c>
      <c r="M230" s="84">
        <v>1.9148999999999999E-2</v>
      </c>
      <c r="N230" s="84">
        <v>2.1255E-2</v>
      </c>
      <c r="O230" s="8" t="s">
        <v>208</v>
      </c>
      <c r="P230" s="163">
        <f t="shared" si="3"/>
        <v>0.42198600292055349</v>
      </c>
    </row>
    <row r="231" spans="1:16" x14ac:dyDescent="0.25">
      <c r="A231" s="8">
        <v>230</v>
      </c>
      <c r="B231" s="8">
        <v>7.8</v>
      </c>
      <c r="C231" s="153">
        <v>110.011</v>
      </c>
      <c r="D231" s="85">
        <v>223.346</v>
      </c>
      <c r="E231" s="85">
        <v>18.235399999999998</v>
      </c>
      <c r="F231" s="156" t="s">
        <v>486</v>
      </c>
      <c r="G231" s="85">
        <v>2.2000000000000002</v>
      </c>
      <c r="H231" s="85">
        <v>12.959</v>
      </c>
      <c r="I231" s="8">
        <v>0.4</v>
      </c>
      <c r="J231" s="8">
        <v>883</v>
      </c>
      <c r="K231" s="8">
        <v>2.09</v>
      </c>
      <c r="L231" s="8">
        <v>0.16</v>
      </c>
      <c r="M231" s="84">
        <v>1.8998000000000001E-2</v>
      </c>
      <c r="N231" s="84">
        <v>2.2037999999999999E-2</v>
      </c>
      <c r="O231" s="8" t="s">
        <v>343</v>
      </c>
      <c r="P231" s="163">
        <f t="shared" si="3"/>
        <v>0.4186608585087484</v>
      </c>
    </row>
    <row r="232" spans="1:16" x14ac:dyDescent="0.25">
      <c r="A232" s="8">
        <v>231</v>
      </c>
      <c r="B232" s="8">
        <v>8.27</v>
      </c>
      <c r="C232" s="153">
        <v>90.744100000000003</v>
      </c>
      <c r="D232" s="85">
        <v>86.996600000000001</v>
      </c>
      <c r="E232" s="85">
        <v>-8.3277000000000001</v>
      </c>
      <c r="F232" s="156" t="s">
        <v>572</v>
      </c>
      <c r="G232" s="85">
        <v>10.7</v>
      </c>
      <c r="H232" s="85">
        <v>12.715999999999999</v>
      </c>
      <c r="I232" s="8">
        <v>0.4</v>
      </c>
      <c r="J232" s="8">
        <v>696.3</v>
      </c>
      <c r="K232" s="8">
        <v>1.7</v>
      </c>
      <c r="L232" s="8">
        <v>0</v>
      </c>
      <c r="M232" s="84">
        <v>1.8734000000000001E-2</v>
      </c>
      <c r="N232" s="84">
        <v>1.8734000000000001E-2</v>
      </c>
      <c r="O232" s="8" t="s">
        <v>343</v>
      </c>
      <c r="P232" s="163">
        <f t="shared" si="3"/>
        <v>0.41284089388141104</v>
      </c>
    </row>
    <row r="233" spans="1:16" x14ac:dyDescent="0.25">
      <c r="A233" s="8">
        <v>232</v>
      </c>
      <c r="B233" s="8">
        <v>7.24</v>
      </c>
      <c r="C233" s="153">
        <v>64.226100000000002</v>
      </c>
      <c r="D233" s="85">
        <v>257.81549999999999</v>
      </c>
      <c r="E233" s="85">
        <v>-56.680799999999998</v>
      </c>
      <c r="F233" s="156" t="s">
        <v>405</v>
      </c>
      <c r="G233" s="85">
        <v>1.8</v>
      </c>
      <c r="H233" s="85">
        <v>12.930999999999999</v>
      </c>
      <c r="I233" s="8">
        <v>0.4</v>
      </c>
      <c r="J233" s="8">
        <v>409</v>
      </c>
      <c r="K233" s="8">
        <v>1.2</v>
      </c>
      <c r="L233" s="8">
        <v>0.47</v>
      </c>
      <c r="M233" s="84">
        <v>1.8683999999999999E-2</v>
      </c>
      <c r="N233" s="84">
        <v>2.7465E-2</v>
      </c>
      <c r="O233" s="8" t="s">
        <v>266</v>
      </c>
      <c r="P233" s="163">
        <f t="shared" si="3"/>
        <v>0.41173888194946745</v>
      </c>
    </row>
    <row r="234" spans="1:16" x14ac:dyDescent="0.25">
      <c r="A234" s="8">
        <v>233</v>
      </c>
      <c r="B234" s="8">
        <v>8.07</v>
      </c>
      <c r="C234" s="153">
        <v>45.3309</v>
      </c>
      <c r="D234" s="85">
        <v>318.7407</v>
      </c>
      <c r="E234" s="85">
        <v>-20.789200000000001</v>
      </c>
      <c r="F234" s="156" t="s">
        <v>541</v>
      </c>
      <c r="G234" s="85">
        <v>17.399999999999999</v>
      </c>
      <c r="H234" s="85">
        <v>12.183</v>
      </c>
      <c r="I234" s="8">
        <v>0.4</v>
      </c>
      <c r="J234" s="8">
        <v>255.9</v>
      </c>
      <c r="K234" s="8">
        <v>0.83</v>
      </c>
      <c r="L234" s="8">
        <v>0.44</v>
      </c>
      <c r="M234" s="84">
        <v>1.831E-2</v>
      </c>
      <c r="N234" s="84">
        <v>2.6366000000000001E-2</v>
      </c>
      <c r="O234" s="8" t="s">
        <v>381</v>
      </c>
      <c r="P234" s="163">
        <f t="shared" si="3"/>
        <v>0.403492936807619</v>
      </c>
    </row>
    <row r="235" spans="1:16" x14ac:dyDescent="0.25">
      <c r="A235" s="8">
        <v>234</v>
      </c>
      <c r="B235" s="8">
        <v>8.0299999999999994</v>
      </c>
      <c r="C235" s="153">
        <v>85.397099999999995</v>
      </c>
      <c r="D235" s="85">
        <v>100.0072</v>
      </c>
      <c r="E235" s="85">
        <v>-48.542000000000002</v>
      </c>
      <c r="F235" s="156" t="s">
        <v>528</v>
      </c>
      <c r="G235" s="85">
        <v>1.1599999999999999</v>
      </c>
      <c r="H235" s="85">
        <v>12.865</v>
      </c>
      <c r="I235" s="8">
        <v>0.4</v>
      </c>
      <c r="J235" s="8">
        <v>700</v>
      </c>
      <c r="K235" s="8">
        <v>1.51</v>
      </c>
      <c r="L235" s="8">
        <v>0.18</v>
      </c>
      <c r="M235" s="84">
        <v>1.7682E-2</v>
      </c>
      <c r="N235" s="84">
        <v>2.0865000000000002E-2</v>
      </c>
      <c r="O235" s="8" t="s">
        <v>521</v>
      </c>
      <c r="P235" s="163">
        <f t="shared" si="3"/>
        <v>0.38966016542152082</v>
      </c>
    </row>
    <row r="236" spans="1:16" x14ac:dyDescent="0.25">
      <c r="A236" s="8">
        <v>235</v>
      </c>
      <c r="B236" s="8">
        <v>6.4489999999999998</v>
      </c>
      <c r="C236" s="153">
        <v>65.616799999999998</v>
      </c>
      <c r="D236" s="85">
        <v>304.02499999999998</v>
      </c>
      <c r="E236" s="85">
        <v>4.5808</v>
      </c>
      <c r="F236" s="156" t="s">
        <v>338</v>
      </c>
      <c r="G236" s="85">
        <v>2.5</v>
      </c>
      <c r="H236" s="85">
        <v>12.986000000000001</v>
      </c>
      <c r="I236" s="8">
        <v>0.4</v>
      </c>
      <c r="J236" s="8">
        <v>351.5</v>
      </c>
      <c r="K236" s="8">
        <v>1.1599999999999999</v>
      </c>
      <c r="L236" s="8">
        <v>0.15</v>
      </c>
      <c r="M236" s="84">
        <v>1.7677999999999999E-2</v>
      </c>
      <c r="N236" s="84">
        <v>2.0330000000000001E-2</v>
      </c>
      <c r="O236" s="8" t="s">
        <v>337</v>
      </c>
      <c r="P236" s="163">
        <f t="shared" si="3"/>
        <v>0.38957863208470295</v>
      </c>
    </row>
    <row r="237" spans="1:16" x14ac:dyDescent="0.25">
      <c r="A237" s="8">
        <v>236</v>
      </c>
      <c r="B237" s="8">
        <v>7.11</v>
      </c>
      <c r="C237" s="153">
        <v>44.563299999999998</v>
      </c>
      <c r="D237" s="85">
        <v>21.302099999999999</v>
      </c>
      <c r="E237" s="85">
        <v>28.566700000000001</v>
      </c>
      <c r="F237" s="156" t="s">
        <v>391</v>
      </c>
      <c r="G237" s="85">
        <v>2.11</v>
      </c>
      <c r="H237" s="85">
        <v>12.952999999999999</v>
      </c>
      <c r="I237" s="8">
        <v>0.4</v>
      </c>
      <c r="J237" s="8">
        <v>227.6</v>
      </c>
      <c r="K237" s="8">
        <v>0.77</v>
      </c>
      <c r="L237" s="8">
        <v>0.28999999999999998</v>
      </c>
      <c r="M237" s="84">
        <v>1.7278999999999999E-2</v>
      </c>
      <c r="N237" s="84">
        <v>2.2290000000000001E-2</v>
      </c>
      <c r="O237" s="8" t="s">
        <v>366</v>
      </c>
      <c r="P237" s="163">
        <f t="shared" si="3"/>
        <v>0.38077249303426275</v>
      </c>
    </row>
    <row r="238" spans="1:16" x14ac:dyDescent="0.25">
      <c r="A238" s="8">
        <v>237</v>
      </c>
      <c r="B238" s="8">
        <v>6.3010000000000002</v>
      </c>
      <c r="C238" s="153">
        <v>28.9603</v>
      </c>
      <c r="D238" s="85">
        <v>105.0752</v>
      </c>
      <c r="E238" s="85">
        <v>-5.3672000000000004</v>
      </c>
      <c r="F238" s="156" t="s">
        <v>322</v>
      </c>
      <c r="G238" s="85">
        <v>1.05</v>
      </c>
      <c r="H238" s="85">
        <v>12.848000000000001</v>
      </c>
      <c r="I238" s="8">
        <v>0.4</v>
      </c>
      <c r="J238" s="8">
        <v>119.6</v>
      </c>
      <c r="K238" s="8">
        <v>0.5</v>
      </c>
      <c r="L238" s="8">
        <v>0.35</v>
      </c>
      <c r="M238" s="84">
        <v>1.7264999999999999E-2</v>
      </c>
      <c r="N238" s="84">
        <v>2.3307999999999999E-2</v>
      </c>
      <c r="O238" s="8" t="s">
        <v>282</v>
      </c>
      <c r="P238" s="163">
        <f t="shared" si="3"/>
        <v>0.38046887471778457</v>
      </c>
    </row>
    <row r="239" spans="1:16" x14ac:dyDescent="0.25">
      <c r="A239" s="8">
        <v>238</v>
      </c>
      <c r="B239" s="8">
        <v>8.33</v>
      </c>
      <c r="C239" s="153">
        <v>27.8552</v>
      </c>
      <c r="D239" s="85">
        <v>161.08709999999999</v>
      </c>
      <c r="E239" s="85">
        <v>-33.576999999999998</v>
      </c>
      <c r="F239" s="156" t="s">
        <v>576</v>
      </c>
      <c r="G239" s="85">
        <v>0.37</v>
      </c>
      <c r="H239" s="85">
        <v>12.42</v>
      </c>
      <c r="I239" s="8">
        <v>0.4</v>
      </c>
      <c r="J239" s="8">
        <v>143.6</v>
      </c>
      <c r="K239" s="8">
        <v>0.48</v>
      </c>
      <c r="L239" s="8">
        <v>0.14000000000000001</v>
      </c>
      <c r="M239" s="84">
        <v>1.7232000000000001E-2</v>
      </c>
      <c r="N239" s="84">
        <v>1.9643999999999998E-2</v>
      </c>
      <c r="O239" s="8" t="s">
        <v>577</v>
      </c>
      <c r="P239" s="163">
        <f t="shared" si="3"/>
        <v>0.3797406962574269</v>
      </c>
    </row>
    <row r="240" spans="1:16" x14ac:dyDescent="0.25">
      <c r="A240" s="8">
        <v>239</v>
      </c>
      <c r="B240" s="8">
        <v>6.4409999999999998</v>
      </c>
      <c r="C240" s="153">
        <v>77.459299999999999</v>
      </c>
      <c r="D240" s="85">
        <v>155.8682</v>
      </c>
      <c r="E240" s="85">
        <v>-0.90225</v>
      </c>
      <c r="F240" s="156" t="s">
        <v>336</v>
      </c>
      <c r="G240" s="85">
        <v>1.99</v>
      </c>
      <c r="H240" s="85">
        <v>12.944000000000001</v>
      </c>
      <c r="I240" s="8">
        <v>0.4</v>
      </c>
      <c r="J240" s="8">
        <v>452.8</v>
      </c>
      <c r="K240" s="8">
        <v>1.33</v>
      </c>
      <c r="L240" s="8">
        <v>0.09</v>
      </c>
      <c r="M240" s="84">
        <v>1.7170000000000001E-2</v>
      </c>
      <c r="N240" s="84">
        <v>1.8716E-2</v>
      </c>
      <c r="O240" s="8" t="s">
        <v>337</v>
      </c>
      <c r="P240" s="163">
        <f t="shared" si="3"/>
        <v>0.37838181756899364</v>
      </c>
    </row>
    <row r="241" spans="1:16" x14ac:dyDescent="0.25">
      <c r="A241" s="8">
        <v>240</v>
      </c>
      <c r="B241" s="8">
        <v>6.63</v>
      </c>
      <c r="C241" s="153">
        <v>38.022799999999997</v>
      </c>
      <c r="D241" s="85">
        <v>341.5335</v>
      </c>
      <c r="E241" s="85">
        <v>-48.9788</v>
      </c>
      <c r="F241" s="156" t="s">
        <v>355</v>
      </c>
      <c r="G241" s="85">
        <v>0.10100000000000001</v>
      </c>
      <c r="H241" s="85">
        <v>10.59</v>
      </c>
      <c r="I241" s="8">
        <v>0.4</v>
      </c>
      <c r="J241" s="8">
        <v>192</v>
      </c>
      <c r="K241" s="8">
        <v>0.65</v>
      </c>
      <c r="L241" s="8">
        <v>0.15</v>
      </c>
      <c r="M241" s="84">
        <v>1.7094999999999999E-2</v>
      </c>
      <c r="N241" s="84">
        <v>1.9658999999999999E-2</v>
      </c>
      <c r="O241" s="8" t="s">
        <v>356</v>
      </c>
      <c r="P241" s="163">
        <f t="shared" si="3"/>
        <v>0.37672240282767949</v>
      </c>
    </row>
    <row r="242" spans="1:16" x14ac:dyDescent="0.25">
      <c r="A242" s="8">
        <v>241</v>
      </c>
      <c r="B242" s="8">
        <v>7.24</v>
      </c>
      <c r="C242" s="153">
        <v>58.685400000000001</v>
      </c>
      <c r="D242" s="85">
        <v>264.74799999999999</v>
      </c>
      <c r="E242" s="85">
        <v>-43.145499999999998</v>
      </c>
      <c r="F242" s="156" t="s">
        <v>406</v>
      </c>
      <c r="G242" s="85">
        <v>0.73</v>
      </c>
      <c r="H242" s="85">
        <v>12.792999999999999</v>
      </c>
      <c r="I242" s="8">
        <v>0.4</v>
      </c>
      <c r="J242" s="8">
        <v>352.3</v>
      </c>
      <c r="K242" s="8">
        <v>1</v>
      </c>
      <c r="L242" s="8">
        <v>0.15</v>
      </c>
      <c r="M242" s="84">
        <v>1.704E-2</v>
      </c>
      <c r="N242" s="84">
        <v>1.9595999999999999E-2</v>
      </c>
      <c r="O242" s="8" t="s">
        <v>266</v>
      </c>
      <c r="P242" s="163">
        <f t="shared" si="3"/>
        <v>0.37551052740509411</v>
      </c>
    </row>
    <row r="243" spans="1:16" x14ac:dyDescent="0.25">
      <c r="A243" s="8">
        <v>242</v>
      </c>
      <c r="B243" s="8">
        <v>7.9109999999999996</v>
      </c>
      <c r="C243" s="153">
        <v>118.0638</v>
      </c>
      <c r="D243" s="85">
        <v>72.574399999999997</v>
      </c>
      <c r="E243" s="85">
        <v>-24.3688</v>
      </c>
      <c r="F243" s="156" t="s">
        <v>508</v>
      </c>
      <c r="G243" s="85">
        <v>1.8</v>
      </c>
      <c r="H243" s="85">
        <v>12.930999999999999</v>
      </c>
      <c r="I243" s="8">
        <v>0.4</v>
      </c>
      <c r="J243" s="8">
        <v>912</v>
      </c>
      <c r="K243" s="8">
        <v>2</v>
      </c>
      <c r="L243" s="8">
        <v>0.24</v>
      </c>
      <c r="M243" s="84">
        <v>1.694E-2</v>
      </c>
      <c r="N243" s="84">
        <v>2.1006E-2</v>
      </c>
      <c r="O243" s="8" t="s">
        <v>217</v>
      </c>
      <c r="P243" s="163">
        <f t="shared" si="3"/>
        <v>0.37330639035807606</v>
      </c>
    </row>
    <row r="244" spans="1:16" x14ac:dyDescent="0.25">
      <c r="A244" s="8">
        <v>243</v>
      </c>
      <c r="B244" s="8">
        <v>8.1029999999999998</v>
      </c>
      <c r="C244" s="153">
        <v>52.438400000000001</v>
      </c>
      <c r="D244" s="85">
        <v>270.38010000000003</v>
      </c>
      <c r="E244" s="85">
        <v>0.10456</v>
      </c>
      <c r="F244" s="156" t="s">
        <v>550</v>
      </c>
      <c r="G244" s="85">
        <v>0.48</v>
      </c>
      <c r="H244" s="85">
        <v>12.595000000000001</v>
      </c>
      <c r="I244" s="8">
        <v>0.4</v>
      </c>
      <c r="J244" s="8">
        <v>282.39999999999998</v>
      </c>
      <c r="K244" s="8">
        <v>0.88</v>
      </c>
      <c r="L244" s="8">
        <v>0.26</v>
      </c>
      <c r="M244" s="84">
        <v>1.6781999999999998E-2</v>
      </c>
      <c r="N244" s="84">
        <v>2.1145000000000001E-2</v>
      </c>
      <c r="O244" s="8" t="s">
        <v>266</v>
      </c>
      <c r="P244" s="163">
        <f t="shared" si="3"/>
        <v>0.36981576944341249</v>
      </c>
    </row>
    <row r="245" spans="1:16" x14ac:dyDescent="0.25">
      <c r="A245" s="8">
        <v>244</v>
      </c>
      <c r="B245" s="8">
        <v>8.76</v>
      </c>
      <c r="C245" s="153">
        <v>62.617400000000004</v>
      </c>
      <c r="D245" s="85">
        <v>187.61199999999999</v>
      </c>
      <c r="E245" s="85">
        <v>22.879799999999999</v>
      </c>
      <c r="F245" s="156" t="s">
        <v>617</v>
      </c>
      <c r="G245" s="85">
        <v>1.36</v>
      </c>
      <c r="H245" s="85">
        <v>12.895</v>
      </c>
      <c r="I245" s="8">
        <v>0.4</v>
      </c>
      <c r="J245" s="8">
        <v>395.4</v>
      </c>
      <c r="K245" s="8">
        <v>1.05</v>
      </c>
      <c r="L245" s="8">
        <v>7.0000000000000007E-2</v>
      </c>
      <c r="M245" s="84">
        <v>1.6768999999999999E-2</v>
      </c>
      <c r="N245" s="84">
        <v>1.7942E-2</v>
      </c>
      <c r="O245" s="8" t="s">
        <v>314</v>
      </c>
      <c r="P245" s="163">
        <f t="shared" si="3"/>
        <v>0.36952723652256164</v>
      </c>
    </row>
    <row r="246" spans="1:16" x14ac:dyDescent="0.25">
      <c r="A246" s="8">
        <v>245</v>
      </c>
      <c r="B246" s="8">
        <v>7.64</v>
      </c>
      <c r="C246" s="153">
        <v>128.86600000000001</v>
      </c>
      <c r="D246" s="85">
        <v>172.1259</v>
      </c>
      <c r="E246" s="85">
        <v>43.9666</v>
      </c>
      <c r="F246" s="156" t="s">
        <v>461</v>
      </c>
      <c r="G246" s="85">
        <v>1.4</v>
      </c>
      <c r="H246" s="85">
        <v>12.901</v>
      </c>
      <c r="I246" s="8">
        <v>0.4</v>
      </c>
      <c r="J246" s="8">
        <v>868</v>
      </c>
      <c r="K246" s="8">
        <v>2.14</v>
      </c>
      <c r="L246" s="8">
        <v>0.37</v>
      </c>
      <c r="M246" s="84">
        <v>1.6605999999999999E-2</v>
      </c>
      <c r="N246" s="84">
        <v>2.2751E-2</v>
      </c>
      <c r="O246" s="8" t="s">
        <v>343</v>
      </c>
      <c r="P246" s="163">
        <f t="shared" si="3"/>
        <v>0.36595493753709174</v>
      </c>
    </row>
    <row r="247" spans="1:16" x14ac:dyDescent="0.25">
      <c r="A247" s="8">
        <v>246</v>
      </c>
      <c r="B247" s="8">
        <v>6.5030000000000001</v>
      </c>
      <c r="C247" s="153">
        <v>25.654199999999999</v>
      </c>
      <c r="D247" s="85">
        <v>166.9768</v>
      </c>
      <c r="E247" s="85">
        <v>-30.174600000000002</v>
      </c>
      <c r="F247" s="156" t="s">
        <v>344</v>
      </c>
      <c r="G247" s="85">
        <v>0.04</v>
      </c>
      <c r="H247" s="85">
        <v>5.4850000000000003</v>
      </c>
      <c r="I247" s="8">
        <v>0.4</v>
      </c>
      <c r="J247" s="8">
        <v>103.5</v>
      </c>
      <c r="K247" s="8">
        <v>0.42</v>
      </c>
      <c r="L247" s="8">
        <v>0.37</v>
      </c>
      <c r="M247" s="84">
        <v>1.6372000000000001E-2</v>
      </c>
      <c r="N247" s="84">
        <v>2.2429000000000001E-2</v>
      </c>
      <c r="O247" s="8" t="s">
        <v>282</v>
      </c>
      <c r="P247" s="163">
        <f t="shared" si="3"/>
        <v>0.360780453574508</v>
      </c>
    </row>
    <row r="248" spans="1:16" x14ac:dyDescent="0.25">
      <c r="A248" s="8">
        <v>247</v>
      </c>
      <c r="B248" s="8">
        <v>8.9499999999999993</v>
      </c>
      <c r="C248" s="153">
        <v>56.3063</v>
      </c>
      <c r="D248" s="85">
        <v>93.398600000000002</v>
      </c>
      <c r="E248" s="85">
        <v>-29.897300000000001</v>
      </c>
      <c r="F248" s="156" t="s">
        <v>626</v>
      </c>
      <c r="G248" s="85">
        <v>0.6</v>
      </c>
      <c r="H248" s="85">
        <v>12.724</v>
      </c>
      <c r="I248" s="8">
        <v>0.4</v>
      </c>
      <c r="J248" s="8">
        <v>327.8</v>
      </c>
      <c r="K248" s="8">
        <v>0.92</v>
      </c>
      <c r="L248" s="8">
        <v>0.83</v>
      </c>
      <c r="M248" s="84">
        <v>1.6338999999999999E-2</v>
      </c>
      <c r="N248" s="84">
        <v>2.9901E-2</v>
      </c>
      <c r="O248" s="8" t="s">
        <v>627</v>
      </c>
      <c r="P248" s="163">
        <f t="shared" si="3"/>
        <v>0.36006675389042786</v>
      </c>
    </row>
    <row r="249" spans="1:16" x14ac:dyDescent="0.25">
      <c r="A249" s="8">
        <v>248</v>
      </c>
      <c r="B249" s="8">
        <v>9.66</v>
      </c>
      <c r="C249" s="153">
        <v>48.355899999999998</v>
      </c>
      <c r="D249" s="85">
        <v>318.39999999999998</v>
      </c>
      <c r="E249" s="85">
        <v>14.689399999999999</v>
      </c>
      <c r="F249" s="156" t="s">
        <v>655</v>
      </c>
      <c r="G249" s="85">
        <v>1.47</v>
      </c>
      <c r="H249" s="85">
        <v>12.907</v>
      </c>
      <c r="I249" s="8">
        <v>0.4</v>
      </c>
      <c r="J249" s="8">
        <v>268.89999999999998</v>
      </c>
      <c r="K249" s="8">
        <v>0.78</v>
      </c>
      <c r="L249" s="8">
        <v>0.28999999999999998</v>
      </c>
      <c r="M249" s="84">
        <v>1.6129999999999999E-2</v>
      </c>
      <c r="N249" s="84">
        <v>2.0808E-2</v>
      </c>
      <c r="O249" s="8" t="s">
        <v>553</v>
      </c>
      <c r="P249" s="163">
        <f t="shared" si="3"/>
        <v>0.35546538672392719</v>
      </c>
    </row>
    <row r="250" spans="1:16" x14ac:dyDescent="0.25">
      <c r="A250" s="8">
        <v>249</v>
      </c>
      <c r="B250" s="8">
        <v>7.55</v>
      </c>
      <c r="C250" s="153">
        <v>110.6195</v>
      </c>
      <c r="D250" s="85">
        <v>290.26760000000002</v>
      </c>
      <c r="E250" s="85">
        <v>-23.619599999999998</v>
      </c>
      <c r="F250" s="156" t="s">
        <v>449</v>
      </c>
      <c r="G250" s="85">
        <v>3.3</v>
      </c>
      <c r="H250" s="85">
        <v>13.071999999999999</v>
      </c>
      <c r="I250" s="8">
        <v>0.4</v>
      </c>
      <c r="J250" s="8">
        <v>663</v>
      </c>
      <c r="K250" s="8">
        <v>1.78</v>
      </c>
      <c r="L250" s="8">
        <v>0.18</v>
      </c>
      <c r="M250" s="84">
        <v>1.6091000000000001E-2</v>
      </c>
      <c r="N250" s="84">
        <v>1.8988000000000001E-2</v>
      </c>
      <c r="O250" s="8" t="s">
        <v>217</v>
      </c>
      <c r="P250" s="163">
        <f t="shared" si="3"/>
        <v>0.35460144186931292</v>
      </c>
    </row>
    <row r="251" spans="1:16" x14ac:dyDescent="0.25">
      <c r="A251" s="8">
        <v>250</v>
      </c>
      <c r="B251" s="8">
        <v>6.89</v>
      </c>
      <c r="C251" s="153">
        <v>59.0319</v>
      </c>
      <c r="D251" s="85">
        <v>247.1173</v>
      </c>
      <c r="E251" s="85">
        <v>-13.3996</v>
      </c>
      <c r="F251" s="156" t="s">
        <v>378</v>
      </c>
      <c r="G251" s="85">
        <v>0.96</v>
      </c>
      <c r="H251" s="85">
        <v>12.835000000000001</v>
      </c>
      <c r="I251" s="8">
        <v>0.4</v>
      </c>
      <c r="J251" s="8">
        <v>331.5</v>
      </c>
      <c r="K251" s="8">
        <v>0.93</v>
      </c>
      <c r="L251" s="8">
        <v>0.16</v>
      </c>
      <c r="M251" s="84">
        <v>1.5754000000000001E-2</v>
      </c>
      <c r="N251" s="84">
        <v>1.8275E-2</v>
      </c>
      <c r="O251" s="8" t="s">
        <v>379</v>
      </c>
      <c r="P251" s="163">
        <f t="shared" si="3"/>
        <v>0.34717494303301072</v>
      </c>
    </row>
    <row r="252" spans="1:16" x14ac:dyDescent="0.25">
      <c r="A252" s="8">
        <v>251</v>
      </c>
      <c r="B252" s="8">
        <v>7.68</v>
      </c>
      <c r="C252" s="153">
        <v>33.67</v>
      </c>
      <c r="D252" s="85">
        <v>84.260400000000004</v>
      </c>
      <c r="E252" s="85">
        <v>20.730799999999999</v>
      </c>
      <c r="F252" s="156" t="s">
        <v>465</v>
      </c>
      <c r="G252" s="85">
        <v>0.67500000000000004</v>
      </c>
      <c r="H252" s="85">
        <v>12.782999999999999</v>
      </c>
      <c r="I252" s="8">
        <v>0.4</v>
      </c>
      <c r="J252" s="8">
        <v>154.4</v>
      </c>
      <c r="K252" s="8">
        <v>0.53</v>
      </c>
      <c r="L252" s="8">
        <v>0.05</v>
      </c>
      <c r="M252" s="84">
        <v>1.5741000000000002E-2</v>
      </c>
      <c r="N252" s="84">
        <v>1.6528000000000001E-2</v>
      </c>
      <c r="O252" s="8" t="s">
        <v>466</v>
      </c>
      <c r="P252" s="163">
        <f t="shared" si="3"/>
        <v>0.34688453571840877</v>
      </c>
    </row>
    <row r="253" spans="1:16" x14ac:dyDescent="0.25">
      <c r="A253" s="8">
        <v>252</v>
      </c>
      <c r="B253" s="8">
        <v>8.0299999999999994</v>
      </c>
      <c r="C253" s="153">
        <v>75.757599999999996</v>
      </c>
      <c r="D253" s="85">
        <v>133.46170000000001</v>
      </c>
      <c r="E253" s="85">
        <v>33.056800000000003</v>
      </c>
      <c r="F253" s="156" t="s">
        <v>530</v>
      </c>
      <c r="G253" s="85">
        <v>2.5099999999999998</v>
      </c>
      <c r="H253" s="85">
        <v>12.987</v>
      </c>
      <c r="I253" s="8">
        <v>0.4</v>
      </c>
      <c r="J253" s="8">
        <v>418.2</v>
      </c>
      <c r="K253" s="8">
        <v>1.19</v>
      </c>
      <c r="L253" s="8">
        <v>0.1</v>
      </c>
      <c r="M253" s="84">
        <v>1.5708E-2</v>
      </c>
      <c r="N253" s="84">
        <v>1.7278999999999999E-2</v>
      </c>
      <c r="O253" s="8" t="s">
        <v>331</v>
      </c>
      <c r="P253" s="163">
        <f t="shared" si="3"/>
        <v>0.34615685754201431</v>
      </c>
    </row>
    <row r="254" spans="1:16" x14ac:dyDescent="0.25">
      <c r="A254" s="8">
        <v>253</v>
      </c>
      <c r="B254" s="8">
        <v>8.0500000000000007</v>
      </c>
      <c r="C254" s="153">
        <v>114.4165</v>
      </c>
      <c r="D254" s="85">
        <v>13.755800000000001</v>
      </c>
      <c r="E254" s="85">
        <v>0.78956000000000004</v>
      </c>
      <c r="F254" s="156" t="s">
        <v>534</v>
      </c>
      <c r="G254" s="85">
        <v>1.94</v>
      </c>
      <c r="H254" s="85">
        <v>12.941000000000001</v>
      </c>
      <c r="I254" s="8">
        <v>0.4</v>
      </c>
      <c r="J254" s="8">
        <v>675</v>
      </c>
      <c r="K254" s="8">
        <v>1.75</v>
      </c>
      <c r="L254" s="8">
        <v>0.12</v>
      </c>
      <c r="M254" s="84">
        <v>1.5295E-2</v>
      </c>
      <c r="N254" s="84">
        <v>1.7129999999999999E-2</v>
      </c>
      <c r="O254" s="8" t="s">
        <v>321</v>
      </c>
      <c r="P254" s="163">
        <f t="shared" si="3"/>
        <v>0.33705562251697174</v>
      </c>
    </row>
    <row r="255" spans="1:16" x14ac:dyDescent="0.25">
      <c r="A255" s="8">
        <v>254</v>
      </c>
      <c r="B255" s="8">
        <v>5.95</v>
      </c>
      <c r="C255" s="153">
        <v>12.4938</v>
      </c>
      <c r="D255" s="85">
        <v>124.5998</v>
      </c>
      <c r="E255" s="85">
        <v>-12.632199999999999</v>
      </c>
      <c r="F255" s="156" t="s">
        <v>302</v>
      </c>
      <c r="G255" s="85">
        <v>3.7999999999999999E-2</v>
      </c>
      <c r="H255" s="85">
        <v>5.024</v>
      </c>
      <c r="I255" s="8">
        <v>0.4</v>
      </c>
      <c r="J255" s="8">
        <v>31.6</v>
      </c>
      <c r="K255" s="8">
        <v>0.19</v>
      </c>
      <c r="L255" s="8">
        <v>0.13</v>
      </c>
      <c r="M255" s="84">
        <v>1.5207999999999999E-2</v>
      </c>
      <c r="N255" s="84">
        <v>1.7184999999999999E-2</v>
      </c>
      <c r="O255" s="8" t="s">
        <v>303</v>
      </c>
      <c r="P255" s="163">
        <f t="shared" si="3"/>
        <v>0.33512840336374788</v>
      </c>
    </row>
    <row r="256" spans="1:16" x14ac:dyDescent="0.25">
      <c r="A256" s="8">
        <v>255</v>
      </c>
      <c r="B256" s="8">
        <v>8.6869999999999994</v>
      </c>
      <c r="C256" s="153">
        <v>77.220100000000002</v>
      </c>
      <c r="D256" s="85">
        <v>11.1717</v>
      </c>
      <c r="E256" s="85">
        <v>20.448899999999998</v>
      </c>
      <c r="F256" s="156" t="s">
        <v>609</v>
      </c>
      <c r="G256" s="85">
        <v>2.0699999999999998</v>
      </c>
      <c r="H256" s="85">
        <v>12.95</v>
      </c>
      <c r="I256" s="8">
        <v>0.4</v>
      </c>
      <c r="J256" s="8">
        <v>431.9</v>
      </c>
      <c r="K256" s="8">
        <v>1.1599999999999999</v>
      </c>
      <c r="L256" s="8">
        <v>0.52</v>
      </c>
      <c r="M256" s="84">
        <v>1.5022000000000001E-2</v>
      </c>
      <c r="N256" s="84">
        <v>2.2832999999999999E-2</v>
      </c>
      <c r="O256" s="8" t="s">
        <v>337</v>
      </c>
      <c r="P256" s="163">
        <f t="shared" si="3"/>
        <v>0.33103949859914111</v>
      </c>
    </row>
    <row r="257" spans="1:16" x14ac:dyDescent="0.25">
      <c r="A257" s="8">
        <v>256</v>
      </c>
      <c r="B257" s="8">
        <v>8.08</v>
      </c>
      <c r="C257" s="153">
        <v>86.956500000000005</v>
      </c>
      <c r="D257" s="85">
        <v>166.31280000000001</v>
      </c>
      <c r="E257" s="85">
        <v>-10.2913</v>
      </c>
      <c r="F257" s="156" t="s">
        <v>545</v>
      </c>
      <c r="G257" s="85">
        <v>0.68</v>
      </c>
      <c r="H257" s="85">
        <v>12.784000000000001</v>
      </c>
      <c r="I257" s="8">
        <v>0.4</v>
      </c>
      <c r="J257" s="8">
        <v>498.9</v>
      </c>
      <c r="K257" s="8">
        <v>1.3</v>
      </c>
      <c r="L257" s="8">
        <v>0.71</v>
      </c>
      <c r="M257" s="84">
        <v>1.495E-2</v>
      </c>
      <c r="N257" s="84">
        <v>2.5564E-2</v>
      </c>
      <c r="O257" s="8" t="s">
        <v>337</v>
      </c>
      <c r="P257" s="163">
        <f t="shared" si="3"/>
        <v>0.32945301566268859</v>
      </c>
    </row>
    <row r="258" spans="1:16" x14ac:dyDescent="0.25">
      <c r="A258" s="8">
        <v>257</v>
      </c>
      <c r="B258" s="8">
        <v>7.4640000000000004</v>
      </c>
      <c r="C258" s="153">
        <v>103.62690000000001</v>
      </c>
      <c r="D258" s="85">
        <v>261.4393</v>
      </c>
      <c r="E258" s="85">
        <v>27.3033</v>
      </c>
      <c r="F258" s="156" t="s">
        <v>432</v>
      </c>
      <c r="G258" s="85">
        <v>1.8</v>
      </c>
      <c r="H258" s="85">
        <v>12.930999999999999</v>
      </c>
      <c r="I258" s="8">
        <v>0.4</v>
      </c>
      <c r="J258" s="8">
        <v>521</v>
      </c>
      <c r="K258" s="8">
        <v>1.52</v>
      </c>
      <c r="L258" s="8">
        <v>0.28999999999999998</v>
      </c>
      <c r="M258" s="84">
        <v>1.4668E-2</v>
      </c>
      <c r="N258" s="84">
        <v>1.8922000000000001E-2</v>
      </c>
      <c r="O258" s="8" t="s">
        <v>433</v>
      </c>
      <c r="P258" s="163">
        <f t="shared" ref="P258:P321" si="4">(K258*AU)/(C258*pc)/FWHMsky</f>
        <v>0.32323863753106519</v>
      </c>
    </row>
    <row r="259" spans="1:16" x14ac:dyDescent="0.25">
      <c r="A259" s="8">
        <v>258</v>
      </c>
      <c r="B259" s="8">
        <v>4.74</v>
      </c>
      <c r="C259" s="153">
        <v>88.888900000000007</v>
      </c>
      <c r="D259" s="85">
        <v>185.17930000000001</v>
      </c>
      <c r="E259" s="85">
        <v>17.792899999999999</v>
      </c>
      <c r="F259" s="156" t="s">
        <v>238</v>
      </c>
      <c r="G259" s="85">
        <v>19.399999999999999</v>
      </c>
      <c r="H259" s="85">
        <v>12.023999999999999</v>
      </c>
      <c r="I259" s="8">
        <v>0.4</v>
      </c>
      <c r="J259" s="8">
        <v>326</v>
      </c>
      <c r="K259" s="8">
        <v>1.29</v>
      </c>
      <c r="L259" s="8">
        <v>0.23</v>
      </c>
      <c r="M259" s="84">
        <v>1.4513E-2</v>
      </c>
      <c r="N259" s="84">
        <v>1.7850000000000001E-2</v>
      </c>
      <c r="O259" s="8" t="s">
        <v>239</v>
      </c>
      <c r="P259" s="163">
        <f t="shared" si="4"/>
        <v>0.31981171216454246</v>
      </c>
    </row>
    <row r="260" spans="1:16" x14ac:dyDescent="0.25">
      <c r="A260" s="8">
        <v>259</v>
      </c>
      <c r="B260" s="8">
        <v>7.27</v>
      </c>
      <c r="C260" s="153">
        <v>44.111199999999997</v>
      </c>
      <c r="D260" s="85">
        <v>257.39420000000001</v>
      </c>
      <c r="E260" s="85">
        <v>33.355899999999998</v>
      </c>
      <c r="F260" s="156" t="s">
        <v>410</v>
      </c>
      <c r="G260" s="85">
        <v>0.85</v>
      </c>
      <c r="H260" s="85">
        <v>12.815</v>
      </c>
      <c r="I260" s="8">
        <v>0.4</v>
      </c>
      <c r="J260" s="8">
        <v>194.3</v>
      </c>
      <c r="K260" s="8">
        <v>0.64</v>
      </c>
      <c r="L260" s="8">
        <v>0.17</v>
      </c>
      <c r="M260" s="84">
        <v>1.4508999999999999E-2</v>
      </c>
      <c r="N260" s="84">
        <v>1.6975000000000001E-2</v>
      </c>
      <c r="O260" s="8" t="s">
        <v>331</v>
      </c>
      <c r="P260" s="163">
        <f t="shared" si="4"/>
        <v>0.31972992625878471</v>
      </c>
    </row>
    <row r="261" spans="1:16" x14ac:dyDescent="0.25">
      <c r="A261" s="8">
        <v>260</v>
      </c>
      <c r="B261" s="8">
        <v>11.88</v>
      </c>
      <c r="C261" s="153">
        <v>11.1037</v>
      </c>
      <c r="D261" s="85">
        <v>175.43600000000001</v>
      </c>
      <c r="E261" s="85">
        <v>42.752000000000002</v>
      </c>
      <c r="F261" s="156" t="s">
        <v>689</v>
      </c>
      <c r="G261" s="85">
        <v>0.29799999999999999</v>
      </c>
      <c r="H261" s="85">
        <v>12.148999999999999</v>
      </c>
      <c r="I261" s="8">
        <v>0.4</v>
      </c>
      <c r="J261" s="8">
        <v>41.4</v>
      </c>
      <c r="K261" s="8">
        <v>0.16</v>
      </c>
      <c r="L261" s="8">
        <v>0.31</v>
      </c>
      <c r="M261" s="84">
        <v>1.4409999999999999E-2</v>
      </c>
      <c r="N261" s="84">
        <v>1.8877000000000001E-2</v>
      </c>
      <c r="O261" s="8" t="s">
        <v>690</v>
      </c>
      <c r="P261" s="163">
        <f t="shared" si="4"/>
        <v>0.31754439338208218</v>
      </c>
    </row>
    <row r="262" spans="1:16" x14ac:dyDescent="0.25">
      <c r="A262" s="8">
        <v>261</v>
      </c>
      <c r="B262" s="8">
        <v>7.81</v>
      </c>
      <c r="C262" s="153">
        <v>135.31800000000001</v>
      </c>
      <c r="D262" s="85">
        <v>45.044400000000003</v>
      </c>
      <c r="E262" s="85">
        <v>-20.802600000000002</v>
      </c>
      <c r="F262" s="156" t="s">
        <v>487</v>
      </c>
      <c r="G262" s="85">
        <v>2.7</v>
      </c>
      <c r="H262" s="85">
        <v>13.007999999999999</v>
      </c>
      <c r="I262" s="8">
        <v>0.4</v>
      </c>
      <c r="J262" s="8">
        <v>772</v>
      </c>
      <c r="K262" s="8">
        <v>1.92</v>
      </c>
      <c r="L262" s="8">
        <v>0.23</v>
      </c>
      <c r="M262" s="84">
        <v>1.4189E-2</v>
      </c>
      <c r="N262" s="84">
        <v>1.7451999999999999E-2</v>
      </c>
      <c r="O262" s="8" t="s">
        <v>488</v>
      </c>
      <c r="P262" s="163">
        <f t="shared" si="4"/>
        <v>0.31267837367947721</v>
      </c>
    </row>
    <row r="263" spans="1:16" x14ac:dyDescent="0.25">
      <c r="A263" s="8">
        <v>262</v>
      </c>
      <c r="B263" s="8">
        <v>7.89</v>
      </c>
      <c r="C263" s="153">
        <v>123.1527</v>
      </c>
      <c r="D263" s="85">
        <v>200.16480000000001</v>
      </c>
      <c r="E263" s="85">
        <v>24.648700000000002</v>
      </c>
      <c r="F263" s="156" t="s">
        <v>506</v>
      </c>
      <c r="G263" s="85">
        <v>2.1</v>
      </c>
      <c r="H263" s="85">
        <v>12.952</v>
      </c>
      <c r="I263" s="8">
        <v>0.4</v>
      </c>
      <c r="J263" s="8">
        <v>670.2</v>
      </c>
      <c r="K263" s="8">
        <v>1.73</v>
      </c>
      <c r="L263" s="8">
        <v>0.21</v>
      </c>
      <c r="M263" s="84">
        <v>1.4048E-2</v>
      </c>
      <c r="N263" s="84">
        <v>1.6997999999999999E-2</v>
      </c>
      <c r="O263" s="8" t="s">
        <v>212</v>
      </c>
      <c r="P263" s="163">
        <f t="shared" si="4"/>
        <v>0.30956678110681712</v>
      </c>
    </row>
    <row r="264" spans="1:16" x14ac:dyDescent="0.25">
      <c r="A264" s="8">
        <v>263</v>
      </c>
      <c r="B264" s="8">
        <v>8.08</v>
      </c>
      <c r="C264" s="153">
        <v>36.603200000000001</v>
      </c>
      <c r="D264" s="85">
        <v>258.0967</v>
      </c>
      <c r="E264" s="85">
        <v>63.3521</v>
      </c>
      <c r="F264" s="156" t="s">
        <v>544</v>
      </c>
      <c r="G264" s="85">
        <v>9.7100000000000009</v>
      </c>
      <c r="H264" s="85">
        <v>12.795</v>
      </c>
      <c r="I264" s="8">
        <v>0.4</v>
      </c>
      <c r="J264" s="8">
        <v>131.1</v>
      </c>
      <c r="K264" s="8">
        <v>0.5</v>
      </c>
      <c r="L264" s="8">
        <v>0.71</v>
      </c>
      <c r="M264" s="84">
        <v>1.366E-2</v>
      </c>
      <c r="N264" s="84">
        <v>2.3359000000000001E-2</v>
      </c>
      <c r="O264" s="8" t="s">
        <v>343</v>
      </c>
      <c r="P264" s="163">
        <f t="shared" si="4"/>
        <v>0.30102539538863965</v>
      </c>
    </row>
    <row r="265" spans="1:16" x14ac:dyDescent="0.25">
      <c r="A265" s="8">
        <v>264</v>
      </c>
      <c r="B265" s="8">
        <v>7.88</v>
      </c>
      <c r="C265" s="153">
        <v>98.231800000000007</v>
      </c>
      <c r="D265" s="85">
        <v>229.7758</v>
      </c>
      <c r="E265" s="85">
        <v>41.733199999999997</v>
      </c>
      <c r="F265" s="156" t="s">
        <v>502</v>
      </c>
      <c r="G265" s="85">
        <v>2</v>
      </c>
      <c r="H265" s="85">
        <v>12.945</v>
      </c>
      <c r="I265" s="8">
        <v>0.4</v>
      </c>
      <c r="J265" s="8">
        <v>464.3</v>
      </c>
      <c r="K265" s="8">
        <v>1.32</v>
      </c>
      <c r="L265" s="8">
        <v>0.26</v>
      </c>
      <c r="M265" s="84">
        <v>1.3438E-2</v>
      </c>
      <c r="N265" s="84">
        <v>1.6931000000000002E-2</v>
      </c>
      <c r="O265" s="8" t="s">
        <v>337</v>
      </c>
      <c r="P265" s="163">
        <f t="shared" si="4"/>
        <v>0.29612427815200537</v>
      </c>
    </row>
    <row r="266" spans="1:16" x14ac:dyDescent="0.25">
      <c r="A266" s="8">
        <v>265</v>
      </c>
      <c r="B266" s="8">
        <v>7.86</v>
      </c>
      <c r="C266" s="153">
        <v>31.877600000000001</v>
      </c>
      <c r="D266" s="85">
        <v>260.64400000000001</v>
      </c>
      <c r="E266" s="85">
        <v>-19.616199999999999</v>
      </c>
      <c r="F266" s="156" t="s">
        <v>497</v>
      </c>
      <c r="G266" s="85">
        <v>0.12</v>
      </c>
      <c r="H266" s="85">
        <v>10.914</v>
      </c>
      <c r="I266" s="8">
        <v>0.4</v>
      </c>
      <c r="J266" s="8">
        <v>104.8</v>
      </c>
      <c r="K266" s="8">
        <v>0.42</v>
      </c>
      <c r="L266" s="8">
        <v>0.46</v>
      </c>
      <c r="M266" s="84">
        <v>1.3174999999999999E-2</v>
      </c>
      <c r="N266" s="84">
        <v>1.9236E-2</v>
      </c>
      <c r="O266" s="8" t="s">
        <v>498</v>
      </c>
      <c r="P266" s="163">
        <f t="shared" si="4"/>
        <v>0.29034600823434453</v>
      </c>
    </row>
    <row r="267" spans="1:16" x14ac:dyDescent="0.25">
      <c r="A267" s="8">
        <v>266</v>
      </c>
      <c r="B267" s="8">
        <v>7.63</v>
      </c>
      <c r="C267" s="153">
        <v>125.4705</v>
      </c>
      <c r="D267" s="85">
        <v>143.9383</v>
      </c>
      <c r="E267" s="85">
        <v>34.780700000000003</v>
      </c>
      <c r="F267" s="156" t="s">
        <v>460</v>
      </c>
      <c r="G267" s="85">
        <v>1.3</v>
      </c>
      <c r="H267" s="85">
        <v>12.885999999999999</v>
      </c>
      <c r="I267" s="8">
        <v>0.4</v>
      </c>
      <c r="J267" s="8">
        <v>705</v>
      </c>
      <c r="K267" s="8">
        <v>1.65</v>
      </c>
      <c r="L267" s="8">
        <v>0.27</v>
      </c>
      <c r="M267" s="84">
        <v>1.315E-2</v>
      </c>
      <c r="N267" s="84">
        <v>1.6701000000000001E-2</v>
      </c>
      <c r="O267" s="8" t="s">
        <v>331</v>
      </c>
      <c r="P267" s="163">
        <f t="shared" si="4"/>
        <v>0.28979741120992747</v>
      </c>
    </row>
    <row r="268" spans="1:16" x14ac:dyDescent="0.25">
      <c r="A268" s="8">
        <v>267</v>
      </c>
      <c r="B268" s="8">
        <v>5.258</v>
      </c>
      <c r="C268" s="153">
        <v>123.30459999999999</v>
      </c>
      <c r="D268" s="85">
        <v>99.448400000000007</v>
      </c>
      <c r="E268" s="85">
        <v>-32.339700000000001</v>
      </c>
      <c r="F268" s="156" t="s">
        <v>264</v>
      </c>
      <c r="G268" s="85">
        <v>5</v>
      </c>
      <c r="H268" s="85">
        <v>13.1</v>
      </c>
      <c r="I268" s="8">
        <v>0.4</v>
      </c>
      <c r="J268" s="8">
        <v>430</v>
      </c>
      <c r="K268" s="8">
        <v>1.61</v>
      </c>
      <c r="L268" s="8">
        <v>0.2</v>
      </c>
      <c r="M268" s="84">
        <v>1.3056999999999999E-2</v>
      </c>
      <c r="N268" s="84">
        <v>1.5668999999999999E-2</v>
      </c>
      <c r="O268" s="8" t="s">
        <v>217</v>
      </c>
      <c r="P268" s="163">
        <f t="shared" si="4"/>
        <v>0.28773903538891532</v>
      </c>
    </row>
    <row r="269" spans="1:16" x14ac:dyDescent="0.25">
      <c r="A269" s="8">
        <v>268</v>
      </c>
      <c r="B269" s="8">
        <v>8.1</v>
      </c>
      <c r="C269" s="153">
        <v>35.5745</v>
      </c>
      <c r="D269" s="85">
        <v>343.97379999999998</v>
      </c>
      <c r="E269" s="85">
        <v>-26.658799999999999</v>
      </c>
      <c r="F269" s="156" t="s">
        <v>547</v>
      </c>
      <c r="G269" s="85">
        <v>0.65</v>
      </c>
      <c r="H269" s="85">
        <v>12.778</v>
      </c>
      <c r="I269" s="8">
        <v>0.4</v>
      </c>
      <c r="J269" s="8">
        <v>118.4</v>
      </c>
      <c r="K269" s="8">
        <v>0.46</v>
      </c>
      <c r="L269" s="8">
        <v>0.37</v>
      </c>
      <c r="M269" s="84">
        <v>1.2931E-2</v>
      </c>
      <c r="N269" s="84">
        <v>1.7715000000000002E-2</v>
      </c>
      <c r="O269" s="8" t="s">
        <v>333</v>
      </c>
      <c r="P269" s="163">
        <f t="shared" si="4"/>
        <v>0.28495167415677802</v>
      </c>
    </row>
    <row r="270" spans="1:16" x14ac:dyDescent="0.25">
      <c r="A270" s="8">
        <v>269</v>
      </c>
      <c r="B270" s="8">
        <v>7.89</v>
      </c>
      <c r="C270" s="153">
        <v>157.97790000000001</v>
      </c>
      <c r="D270" s="85">
        <v>176.6944</v>
      </c>
      <c r="E270" s="85">
        <v>3.4742999999999999</v>
      </c>
      <c r="F270" s="156" t="s">
        <v>505</v>
      </c>
      <c r="G270" s="85">
        <v>5.9</v>
      </c>
      <c r="H270" s="85">
        <v>13.07</v>
      </c>
      <c r="I270" s="8">
        <v>0.4</v>
      </c>
      <c r="J270" s="8">
        <v>778.1</v>
      </c>
      <c r="K270" s="8">
        <v>2.0099999999999998</v>
      </c>
      <c r="L270" s="8">
        <v>0.21</v>
      </c>
      <c r="M270" s="84">
        <v>1.2723E-2</v>
      </c>
      <c r="N270" s="84">
        <v>1.5395000000000001E-2</v>
      </c>
      <c r="O270" s="8" t="s">
        <v>343</v>
      </c>
      <c r="P270" s="163">
        <f t="shared" si="4"/>
        <v>0.28038314767450129</v>
      </c>
    </row>
    <row r="271" spans="1:16" x14ac:dyDescent="0.25">
      <c r="A271" s="8">
        <v>270</v>
      </c>
      <c r="B271" s="8">
        <v>7.78</v>
      </c>
      <c r="C271" s="153">
        <v>109.529</v>
      </c>
      <c r="D271" s="85">
        <v>289.82380000000001</v>
      </c>
      <c r="E271" s="85">
        <v>-23.558199999999999</v>
      </c>
      <c r="F271" s="156" t="s">
        <v>481</v>
      </c>
      <c r="G271" s="85">
        <v>1.6</v>
      </c>
      <c r="H271" s="85">
        <v>12.916</v>
      </c>
      <c r="I271" s="8">
        <v>0.4</v>
      </c>
      <c r="J271" s="8">
        <v>479</v>
      </c>
      <c r="K271" s="8">
        <v>1.39</v>
      </c>
      <c r="L271" s="8">
        <v>0.09</v>
      </c>
      <c r="M271" s="84">
        <v>1.2690999999999999E-2</v>
      </c>
      <c r="N271" s="84">
        <v>1.3833E-2</v>
      </c>
      <c r="O271" s="8" t="s">
        <v>379</v>
      </c>
      <c r="P271" s="163">
        <f t="shared" si="4"/>
        <v>0.27966483627094824</v>
      </c>
    </row>
    <row r="272" spans="1:16" x14ac:dyDescent="0.25">
      <c r="A272" s="8">
        <v>271</v>
      </c>
      <c r="B272" s="8">
        <v>5.024</v>
      </c>
      <c r="C272" s="153">
        <v>122.1001</v>
      </c>
      <c r="D272" s="85">
        <v>229.27449999999999</v>
      </c>
      <c r="E272" s="85">
        <v>71.823899999999995</v>
      </c>
      <c r="F272" s="156" t="s">
        <v>250</v>
      </c>
      <c r="G272" s="85">
        <v>10.5</v>
      </c>
      <c r="H272" s="85">
        <v>12.731999999999999</v>
      </c>
      <c r="I272" s="8">
        <v>0.4</v>
      </c>
      <c r="J272" s="8">
        <v>516.20000000000005</v>
      </c>
      <c r="K272" s="8">
        <v>1.54</v>
      </c>
      <c r="L272" s="8">
        <v>0.08</v>
      </c>
      <c r="M272" s="84">
        <v>1.2612999999999999E-2</v>
      </c>
      <c r="N272" s="84">
        <v>1.3622E-2</v>
      </c>
      <c r="O272" s="8" t="s">
        <v>251</v>
      </c>
      <c r="P272" s="163">
        <f t="shared" si="4"/>
        <v>0.27794373368791281</v>
      </c>
    </row>
    <row r="273" spans="1:16" x14ac:dyDescent="0.25">
      <c r="A273" s="8">
        <v>272</v>
      </c>
      <c r="B273" s="8">
        <v>10.042</v>
      </c>
      <c r="C273" s="153">
        <v>10.4145</v>
      </c>
      <c r="D273" s="85">
        <v>33.087499999999999</v>
      </c>
      <c r="E273" s="85">
        <v>3.5756000000000001</v>
      </c>
      <c r="F273" s="156" t="s">
        <v>670</v>
      </c>
      <c r="G273" s="85">
        <v>0.71399999999999997</v>
      </c>
      <c r="H273" s="85">
        <v>12.79</v>
      </c>
      <c r="I273" s="8">
        <v>0.4</v>
      </c>
      <c r="J273" s="8">
        <v>30.1</v>
      </c>
      <c r="K273" s="8">
        <v>0.13</v>
      </c>
      <c r="L273" s="8">
        <v>0.26</v>
      </c>
      <c r="M273" s="84">
        <v>1.2482999999999999E-2</v>
      </c>
      <c r="N273" s="84">
        <v>1.5727999999999999E-2</v>
      </c>
      <c r="O273" s="8" t="s">
        <v>671</v>
      </c>
      <c r="P273" s="163">
        <f t="shared" si="4"/>
        <v>0.27507879549159908</v>
      </c>
    </row>
    <row r="274" spans="1:16" x14ac:dyDescent="0.25">
      <c r="A274" s="8">
        <v>273</v>
      </c>
      <c r="B274" s="8">
        <v>8.35</v>
      </c>
      <c r="C274" s="153">
        <v>52.356000000000002</v>
      </c>
      <c r="D274" s="85">
        <v>23.334099999999999</v>
      </c>
      <c r="E274" s="85">
        <v>29.2651</v>
      </c>
      <c r="F274" s="156" t="s">
        <v>581</v>
      </c>
      <c r="G274" s="85">
        <v>1.82</v>
      </c>
      <c r="H274" s="85">
        <v>12.932</v>
      </c>
      <c r="I274" s="8">
        <v>0.4</v>
      </c>
      <c r="J274" s="8">
        <v>192.9</v>
      </c>
      <c r="K274" s="8">
        <v>0.65</v>
      </c>
      <c r="L274" s="8">
        <v>0.06</v>
      </c>
      <c r="M274" s="84">
        <v>1.2415000000000001E-2</v>
      </c>
      <c r="N274" s="84">
        <v>1.316E-2</v>
      </c>
      <c r="O274" s="8" t="s">
        <v>266</v>
      </c>
      <c r="P274" s="163">
        <f t="shared" si="4"/>
        <v>0.27358928448002695</v>
      </c>
    </row>
    <row r="275" spans="1:16" x14ac:dyDescent="0.25">
      <c r="A275" s="8">
        <v>274</v>
      </c>
      <c r="B275" s="8">
        <v>7.51</v>
      </c>
      <c r="C275" s="153">
        <v>51.706299999999999</v>
      </c>
      <c r="D275" s="85">
        <v>28.210599999999999</v>
      </c>
      <c r="E275" s="85">
        <v>-19.507000000000001</v>
      </c>
      <c r="F275" s="156" t="s">
        <v>442</v>
      </c>
      <c r="G275" s="85">
        <v>0.82</v>
      </c>
      <c r="H275" s="85">
        <v>12.808999999999999</v>
      </c>
      <c r="I275" s="8">
        <v>0.4</v>
      </c>
      <c r="J275" s="8">
        <v>170.5</v>
      </c>
      <c r="K275" s="8">
        <v>0.64</v>
      </c>
      <c r="L275" s="8">
        <v>0.42</v>
      </c>
      <c r="M275" s="84">
        <v>1.2378E-2</v>
      </c>
      <c r="N275" s="84">
        <v>1.7576000000000001E-2</v>
      </c>
      <c r="O275" s="8" t="s">
        <v>282</v>
      </c>
      <c r="P275" s="163">
        <f t="shared" si="4"/>
        <v>0.27276503488330245</v>
      </c>
    </row>
    <row r="276" spans="1:16" x14ac:dyDescent="0.25">
      <c r="A276" s="8">
        <v>275</v>
      </c>
      <c r="B276" s="8">
        <v>7.9210000000000003</v>
      </c>
      <c r="C276" s="153">
        <v>21.065899999999999</v>
      </c>
      <c r="D276" s="85">
        <v>179.79169999999999</v>
      </c>
      <c r="E276" s="85">
        <v>-20.3538</v>
      </c>
      <c r="F276" s="156" t="s">
        <v>509</v>
      </c>
      <c r="G276" s="85">
        <v>0.186</v>
      </c>
      <c r="H276" s="85">
        <v>11.573</v>
      </c>
      <c r="I276" s="8">
        <v>0.4</v>
      </c>
      <c r="J276" s="8">
        <v>55.8</v>
      </c>
      <c r="K276" s="8">
        <v>0.26</v>
      </c>
      <c r="L276" s="8">
        <v>0</v>
      </c>
      <c r="M276" s="84">
        <v>1.2342000000000001E-2</v>
      </c>
      <c r="N276" s="84">
        <v>1.2342000000000001E-2</v>
      </c>
      <c r="O276" s="8" t="s">
        <v>510</v>
      </c>
      <c r="P276" s="163">
        <f t="shared" si="4"/>
        <v>0.27198535221825398</v>
      </c>
    </row>
    <row r="277" spans="1:16" x14ac:dyDescent="0.25">
      <c r="A277" s="8">
        <v>276</v>
      </c>
      <c r="B277" s="8">
        <v>4.8330000000000002</v>
      </c>
      <c r="C277" s="153">
        <v>96.525099999999995</v>
      </c>
      <c r="D277" s="85">
        <v>276.49639999999999</v>
      </c>
      <c r="E277" s="85">
        <v>65.563500000000005</v>
      </c>
      <c r="F277" s="156" t="s">
        <v>244</v>
      </c>
      <c r="G277" s="85">
        <v>3.88</v>
      </c>
      <c r="H277" s="85">
        <v>13.134</v>
      </c>
      <c r="I277" s="8">
        <v>0.4</v>
      </c>
      <c r="J277" s="8">
        <v>479.1</v>
      </c>
      <c r="K277" s="8">
        <v>1.19</v>
      </c>
      <c r="L277" s="8">
        <v>0.38</v>
      </c>
      <c r="M277" s="84">
        <v>1.2328E-2</v>
      </c>
      <c r="N277" s="84">
        <v>1.7013E-2</v>
      </c>
      <c r="O277" s="8" t="s">
        <v>245</v>
      </c>
      <c r="P277" s="163">
        <f t="shared" si="4"/>
        <v>0.27168076231907456</v>
      </c>
    </row>
    <row r="278" spans="1:16" x14ac:dyDescent="0.25">
      <c r="A278" s="8">
        <v>277</v>
      </c>
      <c r="B278" s="8">
        <v>4.7220000000000004</v>
      </c>
      <c r="C278" s="153">
        <v>56.2746</v>
      </c>
      <c r="D278" s="85">
        <v>298.56200000000001</v>
      </c>
      <c r="E278" s="85">
        <v>8.4614999999999991</v>
      </c>
      <c r="F278" s="156" t="s">
        <v>236</v>
      </c>
      <c r="G278" s="85">
        <v>2.8</v>
      </c>
      <c r="H278" s="85">
        <v>13.018000000000001</v>
      </c>
      <c r="I278" s="8">
        <v>0.4</v>
      </c>
      <c r="J278" s="8">
        <v>136.80000000000001</v>
      </c>
      <c r="K278" s="8">
        <v>0.68</v>
      </c>
      <c r="L278" s="8">
        <v>0</v>
      </c>
      <c r="M278" s="84">
        <v>1.2083999999999999E-2</v>
      </c>
      <c r="N278" s="84">
        <v>1.2083999999999999E-2</v>
      </c>
      <c r="O278" s="8" t="s">
        <v>237</v>
      </c>
      <c r="P278" s="163">
        <f t="shared" si="4"/>
        <v>0.26628621337842756</v>
      </c>
    </row>
    <row r="279" spans="1:16" x14ac:dyDescent="0.25">
      <c r="A279" s="8">
        <v>278</v>
      </c>
      <c r="B279" s="8">
        <v>5.649</v>
      </c>
      <c r="C279" s="153">
        <v>14.8126</v>
      </c>
      <c r="D279" s="85">
        <v>230.45060000000001</v>
      </c>
      <c r="E279" s="85">
        <v>-48.317599999999999</v>
      </c>
      <c r="F279" s="156" t="s">
        <v>278</v>
      </c>
      <c r="G279" s="85">
        <v>3.5999999999999997E-2</v>
      </c>
      <c r="H279" s="85">
        <v>4.516</v>
      </c>
      <c r="I279" s="8">
        <v>0.4</v>
      </c>
      <c r="J279" s="8">
        <v>27.6</v>
      </c>
      <c r="K279" s="8">
        <v>0.17</v>
      </c>
      <c r="L279" s="8">
        <v>0.16</v>
      </c>
      <c r="M279" s="84">
        <v>1.1476999999999999E-2</v>
      </c>
      <c r="N279" s="84">
        <v>1.3313E-2</v>
      </c>
      <c r="O279" s="8" t="s">
        <v>249</v>
      </c>
      <c r="P279" s="163">
        <f t="shared" si="4"/>
        <v>0.25291221904638045</v>
      </c>
    </row>
    <row r="280" spans="1:16" x14ac:dyDescent="0.25">
      <c r="A280" s="8">
        <v>279</v>
      </c>
      <c r="B280" s="8">
        <v>6.8540000000000001</v>
      </c>
      <c r="C280" s="153">
        <v>26.4971</v>
      </c>
      <c r="D280" s="85">
        <v>228.81270000000001</v>
      </c>
      <c r="E280" s="85">
        <v>-70.519599999999997</v>
      </c>
      <c r="F280" s="156" t="s">
        <v>374</v>
      </c>
      <c r="G280" s="85">
        <v>3.7999999999999999E-2</v>
      </c>
      <c r="H280" s="85">
        <v>5.07</v>
      </c>
      <c r="I280" s="8">
        <v>0.4</v>
      </c>
      <c r="J280" s="8">
        <v>59.5</v>
      </c>
      <c r="K280" s="8">
        <v>0.3</v>
      </c>
      <c r="L280" s="8">
        <v>0.28999999999999998</v>
      </c>
      <c r="M280" s="84">
        <v>1.1322E-2</v>
      </c>
      <c r="N280" s="84">
        <v>1.4605E-2</v>
      </c>
      <c r="O280" s="8" t="s">
        <v>375</v>
      </c>
      <c r="P280" s="163">
        <f t="shared" si="4"/>
        <v>0.2495026116629244</v>
      </c>
    </row>
    <row r="281" spans="1:16" x14ac:dyDescent="0.25">
      <c r="A281" s="8">
        <v>280</v>
      </c>
      <c r="B281" s="8">
        <v>6.92</v>
      </c>
      <c r="C281" s="153">
        <v>22.351400000000002</v>
      </c>
      <c r="D281" s="85">
        <v>155.9803</v>
      </c>
      <c r="E281" s="85">
        <v>-29.645499999999998</v>
      </c>
      <c r="F281" s="156" t="s">
        <v>382</v>
      </c>
      <c r="G281" s="85">
        <v>5.7000000000000002E-2</v>
      </c>
      <c r="H281" s="85">
        <v>8.5</v>
      </c>
      <c r="I281" s="8">
        <v>0.4</v>
      </c>
      <c r="J281" s="8">
        <v>49.8</v>
      </c>
      <c r="K281" s="8">
        <v>0.25</v>
      </c>
      <c r="L281" s="8">
        <v>0.31</v>
      </c>
      <c r="M281" s="84">
        <v>1.1185E-2</v>
      </c>
      <c r="N281" s="84">
        <v>1.4652E-2</v>
      </c>
      <c r="O281" s="8" t="s">
        <v>266</v>
      </c>
      <c r="P281" s="163">
        <f t="shared" si="4"/>
        <v>0.24648327962654362</v>
      </c>
    </row>
    <row r="282" spans="1:16" x14ac:dyDescent="0.25">
      <c r="A282" s="8">
        <v>281</v>
      </c>
      <c r="B282" s="8">
        <v>7.47</v>
      </c>
      <c r="C282" s="153">
        <v>45.850499999999997</v>
      </c>
      <c r="D282" s="85">
        <v>329.33269999999999</v>
      </c>
      <c r="E282" s="85">
        <v>-37.763599999999997</v>
      </c>
      <c r="F282" s="156" t="s">
        <v>434</v>
      </c>
      <c r="G282" s="85">
        <v>0.41299999999999998</v>
      </c>
      <c r="H282" s="85">
        <v>12.523</v>
      </c>
      <c r="I282" s="8">
        <v>0.4</v>
      </c>
      <c r="J282" s="8">
        <v>129.80000000000001</v>
      </c>
      <c r="K282" s="8">
        <v>0.51</v>
      </c>
      <c r="L282" s="8">
        <v>0.21</v>
      </c>
      <c r="M282" s="84">
        <v>1.1122999999999999E-2</v>
      </c>
      <c r="N282" s="84">
        <v>1.3459E-2</v>
      </c>
      <c r="O282" s="8" t="s">
        <v>435</v>
      </c>
      <c r="P282" s="163">
        <f t="shared" si="4"/>
        <v>0.24511973931667583</v>
      </c>
    </row>
    <row r="283" spans="1:16" x14ac:dyDescent="0.25">
      <c r="A283" s="8">
        <v>282</v>
      </c>
      <c r="B283" s="8">
        <v>4.5990000000000002</v>
      </c>
      <c r="C283" s="153">
        <v>78.492900000000006</v>
      </c>
      <c r="D283" s="85">
        <v>130.05340000000001</v>
      </c>
      <c r="E283" s="85">
        <v>64.3279</v>
      </c>
      <c r="F283" s="156" t="s">
        <v>232</v>
      </c>
      <c r="G283" s="85">
        <v>7.1</v>
      </c>
      <c r="H283" s="85">
        <v>13.002000000000001</v>
      </c>
      <c r="I283" s="8">
        <v>0.4</v>
      </c>
      <c r="J283" s="8">
        <v>269.3</v>
      </c>
      <c r="K283" s="8">
        <v>0.87</v>
      </c>
      <c r="L283" s="8">
        <v>0.43</v>
      </c>
      <c r="M283" s="84">
        <v>1.1084E-2</v>
      </c>
      <c r="N283" s="84">
        <v>1.585E-2</v>
      </c>
      <c r="O283" s="8" t="s">
        <v>221</v>
      </c>
      <c r="P283" s="163">
        <f t="shared" si="4"/>
        <v>0.24425365083124267</v>
      </c>
    </row>
    <row r="284" spans="1:16" x14ac:dyDescent="0.25">
      <c r="A284" s="8">
        <v>283</v>
      </c>
      <c r="B284" s="8">
        <v>8.17</v>
      </c>
      <c r="C284" s="153">
        <v>34.831099999999999</v>
      </c>
      <c r="D284" s="85">
        <v>103.7139</v>
      </c>
      <c r="E284" s="85">
        <v>-55.259300000000003</v>
      </c>
      <c r="F284" s="156" t="s">
        <v>557</v>
      </c>
      <c r="G284" s="85">
        <v>5.6000000000000001E-2</v>
      </c>
      <c r="H284" s="85">
        <v>8.4670000000000005</v>
      </c>
      <c r="I284" s="8">
        <v>0.4</v>
      </c>
      <c r="J284" s="8">
        <v>95.4</v>
      </c>
      <c r="K284" s="8">
        <v>0.38</v>
      </c>
      <c r="L284" s="8">
        <v>0.41</v>
      </c>
      <c r="M284" s="84">
        <v>1.091E-2</v>
      </c>
      <c r="N284" s="84">
        <v>1.5383000000000001E-2</v>
      </c>
      <c r="O284" s="8" t="s">
        <v>352</v>
      </c>
      <c r="P284" s="163">
        <f t="shared" si="4"/>
        <v>0.24041889265317451</v>
      </c>
    </row>
    <row r="285" spans="1:16" x14ac:dyDescent="0.25">
      <c r="A285" s="8">
        <v>284</v>
      </c>
      <c r="B285" s="8">
        <v>7.95</v>
      </c>
      <c r="C285" s="153">
        <v>139.0821</v>
      </c>
      <c r="D285" s="85">
        <v>164.69890000000001</v>
      </c>
      <c r="E285" s="85">
        <v>1.7292000000000001</v>
      </c>
      <c r="F285" s="156" t="s">
        <v>514</v>
      </c>
      <c r="G285" s="85">
        <v>1.2</v>
      </c>
      <c r="H285" s="85">
        <v>12.871</v>
      </c>
      <c r="I285" s="8">
        <v>0.4</v>
      </c>
      <c r="J285" s="8">
        <v>507</v>
      </c>
      <c r="K285" s="8">
        <v>1.51</v>
      </c>
      <c r="L285" s="8">
        <v>0.16</v>
      </c>
      <c r="M285" s="84">
        <v>1.0857E-2</v>
      </c>
      <c r="N285" s="84">
        <v>1.2593999999999999E-2</v>
      </c>
      <c r="O285" s="8" t="s">
        <v>343</v>
      </c>
      <c r="P285" s="163">
        <f t="shared" si="4"/>
        <v>0.23925327639227589</v>
      </c>
    </row>
    <row r="286" spans="1:16" x14ac:dyDescent="0.25">
      <c r="A286" s="8">
        <v>285</v>
      </c>
      <c r="B286" s="8">
        <v>6.6079999999999997</v>
      </c>
      <c r="C286" s="153">
        <v>131.40600000000001</v>
      </c>
      <c r="D286" s="85">
        <v>288.70920000000001</v>
      </c>
      <c r="E286" s="85">
        <v>31.860299999999999</v>
      </c>
      <c r="F286" s="156" t="s">
        <v>353</v>
      </c>
      <c r="G286" s="85">
        <v>22</v>
      </c>
      <c r="H286" s="85">
        <v>11.817</v>
      </c>
      <c r="I286" s="8">
        <v>0.4</v>
      </c>
      <c r="J286" s="8">
        <v>396</v>
      </c>
      <c r="K286" s="8">
        <v>1.4</v>
      </c>
      <c r="L286" s="8">
        <v>0.26</v>
      </c>
      <c r="M286" s="84">
        <v>1.0654E-2</v>
      </c>
      <c r="N286" s="84">
        <v>1.3424E-2</v>
      </c>
      <c r="O286" s="8" t="s">
        <v>343</v>
      </c>
      <c r="P286" s="163">
        <f t="shared" si="4"/>
        <v>0.23478212339596724</v>
      </c>
    </row>
    <row r="287" spans="1:16" x14ac:dyDescent="0.25">
      <c r="A287" s="8">
        <v>286</v>
      </c>
      <c r="B287" s="8">
        <v>5.22</v>
      </c>
      <c r="C287" s="153">
        <v>79.176599999999993</v>
      </c>
      <c r="D287" s="85">
        <v>352.82260000000002</v>
      </c>
      <c r="E287" s="85">
        <v>39.236199999999997</v>
      </c>
      <c r="F287" s="156" t="s">
        <v>260</v>
      </c>
      <c r="G287" s="85">
        <v>5.33</v>
      </c>
      <c r="H287" s="85">
        <v>13.089</v>
      </c>
      <c r="I287" s="8">
        <v>0.4</v>
      </c>
      <c r="J287" s="8">
        <v>185.8</v>
      </c>
      <c r="K287" s="8">
        <v>0.83</v>
      </c>
      <c r="L287" s="8">
        <v>0</v>
      </c>
      <c r="M287" s="84">
        <v>1.0482999999999999E-2</v>
      </c>
      <c r="N287" s="84">
        <v>1.0482999999999999E-2</v>
      </c>
      <c r="O287" s="8" t="s">
        <v>261</v>
      </c>
      <c r="P287" s="163">
        <f t="shared" si="4"/>
        <v>0.23101140954691787</v>
      </c>
    </row>
    <row r="288" spans="1:16" x14ac:dyDescent="0.25">
      <c r="A288" s="8">
        <v>287</v>
      </c>
      <c r="B288" s="8">
        <v>9</v>
      </c>
      <c r="C288" s="153">
        <v>100.70489999999999</v>
      </c>
      <c r="D288" s="85">
        <v>129.31870000000001</v>
      </c>
      <c r="E288" s="85">
        <v>-41.319099999999999</v>
      </c>
      <c r="F288" s="156" t="s">
        <v>633</v>
      </c>
      <c r="G288" s="85">
        <v>2.5</v>
      </c>
      <c r="H288" s="85">
        <v>12.986000000000001</v>
      </c>
      <c r="I288" s="8">
        <v>0.4</v>
      </c>
      <c r="J288" s="8">
        <v>377.8</v>
      </c>
      <c r="K288" s="8">
        <v>1.05</v>
      </c>
      <c r="L288" s="8">
        <v>0.14000000000000001</v>
      </c>
      <c r="M288" s="84">
        <v>1.0427000000000001E-2</v>
      </c>
      <c r="N288" s="84">
        <v>1.1886000000000001E-2</v>
      </c>
      <c r="O288" s="8" t="s">
        <v>381</v>
      </c>
      <c r="P288" s="163">
        <f t="shared" si="4"/>
        <v>0.22976870817832953</v>
      </c>
    </row>
    <row r="289" spans="1:16" x14ac:dyDescent="0.25">
      <c r="A289" s="8">
        <v>288</v>
      </c>
      <c r="B289" s="8">
        <v>8.5</v>
      </c>
      <c r="C289" s="153">
        <v>53.447400000000002</v>
      </c>
      <c r="D289" s="85">
        <v>47.8093</v>
      </c>
      <c r="E289" s="85">
        <v>21.0974</v>
      </c>
      <c r="F289" s="156" t="s">
        <v>597</v>
      </c>
      <c r="G289" s="85">
        <v>1.28</v>
      </c>
      <c r="H289" s="85">
        <v>12.882999999999999</v>
      </c>
      <c r="I289" s="8">
        <v>0.4</v>
      </c>
      <c r="J289" s="8">
        <v>147.69999999999999</v>
      </c>
      <c r="K289" s="8">
        <v>0.55000000000000004</v>
      </c>
      <c r="L289" s="8">
        <v>0.16</v>
      </c>
      <c r="M289" s="84">
        <v>1.0291E-2</v>
      </c>
      <c r="N289" s="84">
        <v>1.1937E-2</v>
      </c>
      <c r="O289" s="8" t="s">
        <v>337</v>
      </c>
      <c r="P289" s="163">
        <f t="shared" si="4"/>
        <v>0.22677140567620502</v>
      </c>
    </row>
    <row r="290" spans="1:16" x14ac:dyDescent="0.25">
      <c r="A290" s="8">
        <v>289</v>
      </c>
      <c r="B290" s="8">
        <v>8.2100000000000009</v>
      </c>
      <c r="C290" s="153">
        <v>29.2056</v>
      </c>
      <c r="D290" s="85">
        <v>175.87549999999999</v>
      </c>
      <c r="E290" s="85">
        <v>-58.006900000000002</v>
      </c>
      <c r="F290" s="156" t="s">
        <v>562</v>
      </c>
      <c r="G290" s="85">
        <v>0.3</v>
      </c>
      <c r="H290" s="85">
        <v>12.157</v>
      </c>
      <c r="I290" s="8">
        <v>0.4</v>
      </c>
      <c r="J290" s="8">
        <v>70.5</v>
      </c>
      <c r="K290" s="8">
        <v>0.3</v>
      </c>
      <c r="L290" s="8">
        <v>0.11</v>
      </c>
      <c r="M290" s="84">
        <v>1.0272E-2</v>
      </c>
      <c r="N290" s="84">
        <v>1.1402000000000001E-2</v>
      </c>
      <c r="O290" s="8" t="s">
        <v>563</v>
      </c>
      <c r="P290" s="163">
        <f t="shared" si="4"/>
        <v>0.22636397305632047</v>
      </c>
    </row>
    <row r="291" spans="1:16" x14ac:dyDescent="0.25">
      <c r="A291" s="8">
        <v>290</v>
      </c>
      <c r="B291" s="8">
        <v>6.17</v>
      </c>
      <c r="C291" s="153">
        <v>10.7828</v>
      </c>
      <c r="D291" s="85">
        <v>32.6081</v>
      </c>
      <c r="E291" s="85">
        <v>-50.823700000000002</v>
      </c>
      <c r="F291" s="156" t="s">
        <v>313</v>
      </c>
      <c r="G291" s="85">
        <v>4.01</v>
      </c>
      <c r="H291" s="85">
        <v>13.134</v>
      </c>
      <c r="I291" s="8">
        <v>0.4</v>
      </c>
      <c r="J291" s="8">
        <v>15.8</v>
      </c>
      <c r="K291" s="8">
        <v>0.11</v>
      </c>
      <c r="L291" s="8">
        <v>0.05</v>
      </c>
      <c r="M291" s="84">
        <v>1.0201E-2</v>
      </c>
      <c r="N291" s="84">
        <v>1.0711E-2</v>
      </c>
      <c r="O291" s="8" t="s">
        <v>314</v>
      </c>
      <c r="P291" s="163">
        <f t="shared" si="4"/>
        <v>0.22480880713244056</v>
      </c>
    </row>
    <row r="292" spans="1:16" x14ac:dyDescent="0.25">
      <c r="A292" s="8">
        <v>291</v>
      </c>
      <c r="B292" s="8">
        <v>7.72</v>
      </c>
      <c r="C292" s="153">
        <v>139.2758</v>
      </c>
      <c r="D292" s="85">
        <v>187.583</v>
      </c>
      <c r="E292" s="85">
        <v>21.9482</v>
      </c>
      <c r="F292" s="156" t="s">
        <v>473</v>
      </c>
      <c r="G292" s="85">
        <v>2.6</v>
      </c>
      <c r="H292" s="85">
        <v>12.997</v>
      </c>
      <c r="I292" s="8">
        <v>0.4</v>
      </c>
      <c r="J292" s="8">
        <v>443.4</v>
      </c>
      <c r="K292" s="8">
        <v>1.4</v>
      </c>
      <c r="L292" s="8">
        <v>0.1</v>
      </c>
      <c r="M292" s="84">
        <v>1.0052E-2</v>
      </c>
      <c r="N292" s="84">
        <v>1.1057000000000001E-2</v>
      </c>
      <c r="O292" s="8" t="s">
        <v>269</v>
      </c>
      <c r="P292" s="163">
        <f t="shared" si="4"/>
        <v>0.2215157242462113</v>
      </c>
    </row>
    <row r="293" spans="1:16" x14ac:dyDescent="0.25">
      <c r="A293" s="8">
        <v>292</v>
      </c>
      <c r="B293" s="8">
        <v>5.5190000000000001</v>
      </c>
      <c r="C293" s="153">
        <v>82.781499999999994</v>
      </c>
      <c r="D293" s="85">
        <v>230.03569999999999</v>
      </c>
      <c r="E293" s="85">
        <v>29.616199999999999</v>
      </c>
      <c r="F293" s="156" t="s">
        <v>274</v>
      </c>
      <c r="G293" s="85">
        <v>1.5</v>
      </c>
      <c r="H293" s="85">
        <v>12.909000000000001</v>
      </c>
      <c r="I293" s="8">
        <v>0.4</v>
      </c>
      <c r="J293" s="8">
        <v>187.3</v>
      </c>
      <c r="K293" s="8">
        <v>0.83</v>
      </c>
      <c r="L293" s="8">
        <v>0.19</v>
      </c>
      <c r="M293" s="84">
        <v>1.0026E-2</v>
      </c>
      <c r="N293" s="84">
        <v>1.1931000000000001E-2</v>
      </c>
      <c r="O293" s="8" t="s">
        <v>217</v>
      </c>
      <c r="P293" s="163">
        <f t="shared" si="4"/>
        <v>0.22095151657233195</v>
      </c>
    </row>
    <row r="294" spans="1:16" x14ac:dyDescent="0.25">
      <c r="A294" s="8">
        <v>293</v>
      </c>
      <c r="B294" s="8">
        <v>7.1470000000000002</v>
      </c>
      <c r="C294" s="153">
        <v>12.9955</v>
      </c>
      <c r="D294" s="85">
        <v>88.517700000000005</v>
      </c>
      <c r="E294" s="85">
        <v>-60.023499999999999</v>
      </c>
      <c r="F294" s="156" t="s">
        <v>394</v>
      </c>
      <c r="G294" s="85">
        <v>2.9000000000000001E-2</v>
      </c>
      <c r="H294" s="85">
        <v>1.768</v>
      </c>
      <c r="I294" s="8">
        <v>0.4</v>
      </c>
      <c r="J294" s="8">
        <v>20.5</v>
      </c>
      <c r="K294" s="8">
        <v>0.13</v>
      </c>
      <c r="L294" s="8">
        <v>0</v>
      </c>
      <c r="M294" s="84">
        <v>1.0004000000000001E-2</v>
      </c>
      <c r="N294" s="84">
        <v>1.0004000000000001E-2</v>
      </c>
      <c r="O294" s="8" t="s">
        <v>395</v>
      </c>
      <c r="P294" s="163">
        <f t="shared" si="4"/>
        <v>0.22044616333709813</v>
      </c>
    </row>
    <row r="295" spans="1:16" x14ac:dyDescent="0.25">
      <c r="A295" s="8">
        <v>294</v>
      </c>
      <c r="B295" s="8">
        <v>8.44</v>
      </c>
      <c r="C295" s="153">
        <v>35.373199999999997</v>
      </c>
      <c r="D295" s="85">
        <v>50.012300000000003</v>
      </c>
      <c r="E295" s="85">
        <v>-28.783799999999999</v>
      </c>
      <c r="F295" s="156" t="s">
        <v>591</v>
      </c>
      <c r="G295" s="85">
        <v>0.05</v>
      </c>
      <c r="H295" s="85">
        <v>7.7009999999999996</v>
      </c>
      <c r="I295" s="8">
        <v>0.4</v>
      </c>
      <c r="J295" s="8">
        <v>85.1</v>
      </c>
      <c r="K295" s="8">
        <v>0.35</v>
      </c>
      <c r="L295" s="8">
        <v>0.28000000000000003</v>
      </c>
      <c r="M295" s="84">
        <v>9.8945000000000005E-3</v>
      </c>
      <c r="N295" s="84">
        <v>1.2664999999999999E-2</v>
      </c>
      <c r="O295" s="8" t="s">
        <v>592</v>
      </c>
      <c r="P295" s="163">
        <f t="shared" si="4"/>
        <v>0.21804487371067982</v>
      </c>
    </row>
    <row r="296" spans="1:16" x14ac:dyDescent="0.25">
      <c r="A296" s="8">
        <v>295</v>
      </c>
      <c r="B296" s="8">
        <v>5.4130000000000003</v>
      </c>
      <c r="C296" s="153">
        <v>85.8369</v>
      </c>
      <c r="D296" s="85">
        <v>142.16659999999999</v>
      </c>
      <c r="E296" s="85">
        <v>45.601500000000001</v>
      </c>
      <c r="F296" s="156" t="s">
        <v>268</v>
      </c>
      <c r="G296" s="85">
        <v>2.7</v>
      </c>
      <c r="H296" s="85">
        <v>13.007999999999999</v>
      </c>
      <c r="I296" s="8">
        <v>0.4</v>
      </c>
      <c r="J296" s="8">
        <v>184</v>
      </c>
      <c r="K296" s="8">
        <v>0.81</v>
      </c>
      <c r="L296" s="8">
        <v>0</v>
      </c>
      <c r="M296" s="84">
        <v>9.4365000000000004E-3</v>
      </c>
      <c r="N296" s="84">
        <v>9.4365000000000004E-3</v>
      </c>
      <c r="O296" s="8" t="s">
        <v>269</v>
      </c>
      <c r="P296" s="163">
        <f t="shared" si="4"/>
        <v>0.20795203763221781</v>
      </c>
    </row>
    <row r="297" spans="1:16" x14ac:dyDescent="0.25">
      <c r="A297" s="8">
        <v>296</v>
      </c>
      <c r="B297" s="8">
        <v>7.6</v>
      </c>
      <c r="C297" s="153">
        <v>131.0616</v>
      </c>
      <c r="D297" s="85">
        <v>336.76280000000003</v>
      </c>
      <c r="E297" s="85">
        <v>-17.2637</v>
      </c>
      <c r="F297" s="156" t="s">
        <v>455</v>
      </c>
      <c r="G297" s="85">
        <v>2.2999999999999998</v>
      </c>
      <c r="H297" s="85">
        <v>12.965999999999999</v>
      </c>
      <c r="I297" s="8">
        <v>0.4</v>
      </c>
      <c r="J297" s="8">
        <v>373.3</v>
      </c>
      <c r="K297" s="8">
        <v>1.22</v>
      </c>
      <c r="L297" s="8">
        <v>0.11</v>
      </c>
      <c r="M297" s="84">
        <v>9.3086000000000002E-3</v>
      </c>
      <c r="N297" s="84">
        <v>1.0333E-2</v>
      </c>
      <c r="O297" s="8" t="s">
        <v>316</v>
      </c>
      <c r="P297" s="163">
        <f t="shared" si="4"/>
        <v>0.20513348163057882</v>
      </c>
    </row>
    <row r="298" spans="1:16" x14ac:dyDescent="0.25">
      <c r="A298" s="8">
        <v>297</v>
      </c>
      <c r="B298" s="8">
        <v>8.1999999999999993</v>
      </c>
      <c r="C298" s="153">
        <v>64.766800000000003</v>
      </c>
      <c r="D298" s="85">
        <v>257.52050000000003</v>
      </c>
      <c r="E298" s="85">
        <v>-56.449300000000001</v>
      </c>
      <c r="F298" s="156" t="s">
        <v>560</v>
      </c>
      <c r="G298" s="85">
        <v>5.0199999999999996</v>
      </c>
      <c r="H298" s="85">
        <v>13.1</v>
      </c>
      <c r="I298" s="8">
        <v>0.4</v>
      </c>
      <c r="J298" s="8">
        <v>163.9</v>
      </c>
      <c r="K298" s="8">
        <v>0.6</v>
      </c>
      <c r="L298" s="8">
        <v>0.61</v>
      </c>
      <c r="M298" s="84">
        <v>9.2639999999999997E-3</v>
      </c>
      <c r="N298" s="84">
        <v>1.4914999999999999E-2</v>
      </c>
      <c r="O298" s="8" t="s">
        <v>561</v>
      </c>
      <c r="P298" s="163">
        <f t="shared" si="4"/>
        <v>0.20415075784178535</v>
      </c>
    </row>
    <row r="299" spans="1:16" x14ac:dyDescent="0.25">
      <c r="A299" s="8">
        <v>298</v>
      </c>
      <c r="B299" s="8">
        <v>8.0299999999999994</v>
      </c>
      <c r="C299" s="153">
        <v>134.22819999999999</v>
      </c>
      <c r="D299" s="85">
        <v>169.44810000000001</v>
      </c>
      <c r="E299" s="85">
        <v>-23.9754</v>
      </c>
      <c r="F299" s="156" t="s">
        <v>531</v>
      </c>
      <c r="G299" s="85">
        <v>1.8</v>
      </c>
      <c r="H299" s="85">
        <v>12.930999999999999</v>
      </c>
      <c r="I299" s="8">
        <v>0.4</v>
      </c>
      <c r="J299" s="8">
        <v>436.9</v>
      </c>
      <c r="K299" s="8">
        <v>1.23</v>
      </c>
      <c r="L299" s="8">
        <v>0.21</v>
      </c>
      <c r="M299" s="84">
        <v>9.1634999999999998E-3</v>
      </c>
      <c r="N299" s="84">
        <v>1.1088000000000001E-2</v>
      </c>
      <c r="O299" s="8" t="s">
        <v>379</v>
      </c>
      <c r="P299" s="163">
        <f t="shared" si="4"/>
        <v>0.20193589850064339</v>
      </c>
    </row>
    <row r="300" spans="1:16" x14ac:dyDescent="0.25">
      <c r="A300" s="8">
        <v>299</v>
      </c>
      <c r="B300" s="8">
        <v>7.3</v>
      </c>
      <c r="C300" s="153">
        <v>38.654800000000002</v>
      </c>
      <c r="D300" s="85">
        <v>198.0823</v>
      </c>
      <c r="E300" s="85">
        <v>17.517099999999999</v>
      </c>
      <c r="F300" s="156" t="s">
        <v>412</v>
      </c>
      <c r="G300" s="85">
        <v>10.98</v>
      </c>
      <c r="H300" s="85">
        <v>12.694000000000001</v>
      </c>
      <c r="I300" s="8">
        <v>0.4</v>
      </c>
      <c r="J300" s="8">
        <v>83.9</v>
      </c>
      <c r="K300" s="8">
        <v>0.35</v>
      </c>
      <c r="L300" s="8">
        <v>0.34</v>
      </c>
      <c r="M300" s="84">
        <v>9.0545E-3</v>
      </c>
      <c r="N300" s="84">
        <v>1.2133E-2</v>
      </c>
      <c r="O300" s="8" t="s">
        <v>255</v>
      </c>
      <c r="P300" s="163">
        <f t="shared" si="4"/>
        <v>0.1995339499038313</v>
      </c>
    </row>
    <row r="301" spans="1:16" x14ac:dyDescent="0.25">
      <c r="A301" s="8">
        <v>300</v>
      </c>
      <c r="B301" s="8">
        <v>6.78</v>
      </c>
      <c r="C301" s="153">
        <v>38.956000000000003</v>
      </c>
      <c r="D301" s="85">
        <v>38.832999999999998</v>
      </c>
      <c r="E301" s="85">
        <v>-3.5606</v>
      </c>
      <c r="F301" s="156" t="s">
        <v>369</v>
      </c>
      <c r="G301" s="85">
        <v>0.215</v>
      </c>
      <c r="H301" s="85">
        <v>11.776999999999999</v>
      </c>
      <c r="I301" s="8">
        <v>0.4</v>
      </c>
      <c r="J301" s="8">
        <v>75.8</v>
      </c>
      <c r="K301" s="8">
        <v>0.35</v>
      </c>
      <c r="L301" s="8">
        <v>0.28000000000000003</v>
      </c>
      <c r="M301" s="84">
        <v>8.9844999999999994E-3</v>
      </c>
      <c r="N301" s="84">
        <v>1.15E-2</v>
      </c>
      <c r="O301" s="8" t="s">
        <v>321</v>
      </c>
      <c r="P301" s="163">
        <f t="shared" si="4"/>
        <v>0.19799119331406248</v>
      </c>
    </row>
    <row r="302" spans="1:16" x14ac:dyDescent="0.25">
      <c r="A302" s="8">
        <v>301</v>
      </c>
      <c r="B302" s="8">
        <v>5.95</v>
      </c>
      <c r="C302" s="153">
        <v>12.341100000000001</v>
      </c>
      <c r="D302" s="85">
        <v>133.14920000000001</v>
      </c>
      <c r="E302" s="85">
        <v>28.3308</v>
      </c>
      <c r="F302" s="156" t="s">
        <v>300</v>
      </c>
      <c r="G302" s="85">
        <v>0.8</v>
      </c>
      <c r="H302" s="85">
        <v>12.805999999999999</v>
      </c>
      <c r="I302" s="8">
        <v>0.4</v>
      </c>
      <c r="J302" s="8">
        <v>14.7</v>
      </c>
      <c r="K302" s="8">
        <v>0.11</v>
      </c>
      <c r="L302" s="8">
        <v>0.02</v>
      </c>
      <c r="M302" s="84">
        <v>8.9133000000000007E-3</v>
      </c>
      <c r="N302" s="84">
        <v>9.0916E-3</v>
      </c>
      <c r="O302" s="8" t="s">
        <v>226</v>
      </c>
      <c r="P302" s="163">
        <f t="shared" si="4"/>
        <v>0.19642239391526525</v>
      </c>
    </row>
    <row r="303" spans="1:16" x14ac:dyDescent="0.25">
      <c r="A303" s="8">
        <v>302</v>
      </c>
      <c r="B303" s="8">
        <v>9.407</v>
      </c>
      <c r="C303" s="153">
        <v>4.5404999999999998</v>
      </c>
      <c r="D303" s="85">
        <v>262.16640000000001</v>
      </c>
      <c r="E303" s="85">
        <v>-46.895200000000003</v>
      </c>
      <c r="F303" s="156" t="s">
        <v>649</v>
      </c>
      <c r="G303" s="85">
        <v>3.6999999999999998E-2</v>
      </c>
      <c r="H303" s="85">
        <v>4.7930000000000001</v>
      </c>
      <c r="I303" s="8">
        <v>0.4</v>
      </c>
      <c r="J303" s="8">
        <v>4.7</v>
      </c>
      <c r="K303" s="8">
        <v>0.04</v>
      </c>
      <c r="L303" s="8">
        <v>0.2</v>
      </c>
      <c r="M303" s="84">
        <v>8.8096000000000008E-3</v>
      </c>
      <c r="N303" s="84">
        <v>1.0572E-2</v>
      </c>
      <c r="O303" s="8" t="s">
        <v>650</v>
      </c>
      <c r="P303" s="163">
        <f t="shared" si="4"/>
        <v>0.19413708186304512</v>
      </c>
    </row>
    <row r="304" spans="1:16" x14ac:dyDescent="0.25">
      <c r="A304" s="8">
        <v>303</v>
      </c>
      <c r="B304" s="8">
        <v>8.3800000000000008</v>
      </c>
      <c r="C304" s="153">
        <v>28.645099999999999</v>
      </c>
      <c r="D304" s="85">
        <v>33.178899999999999</v>
      </c>
      <c r="E304" s="85">
        <v>-53.743899999999996</v>
      </c>
      <c r="F304" s="156" t="s">
        <v>584</v>
      </c>
      <c r="G304" s="85">
        <v>3.5999999999999997E-2</v>
      </c>
      <c r="H304" s="85">
        <v>4.5620000000000003</v>
      </c>
      <c r="I304" s="8">
        <v>0.4</v>
      </c>
      <c r="J304" s="8">
        <v>53.8</v>
      </c>
      <c r="K304" s="8">
        <v>0.25</v>
      </c>
      <c r="L304" s="8">
        <v>0.43</v>
      </c>
      <c r="M304" s="84">
        <v>8.7274999999999991E-3</v>
      </c>
      <c r="N304" s="84">
        <v>1.248E-2</v>
      </c>
      <c r="O304" s="8" t="s">
        <v>446</v>
      </c>
      <c r="P304" s="163">
        <f t="shared" si="4"/>
        <v>0.19232770617818501</v>
      </c>
    </row>
    <row r="305" spans="1:16" x14ac:dyDescent="0.25">
      <c r="A305" s="8">
        <v>304</v>
      </c>
      <c r="B305" s="8">
        <v>7.82</v>
      </c>
      <c r="C305" s="153">
        <v>136.9863</v>
      </c>
      <c r="D305" s="85">
        <v>11.418200000000001</v>
      </c>
      <c r="E305" s="85">
        <v>7.8449999999999998</v>
      </c>
      <c r="F305" s="156" t="s">
        <v>492</v>
      </c>
      <c r="G305" s="85">
        <v>2.2999999999999998</v>
      </c>
      <c r="H305" s="85">
        <v>12.965999999999999</v>
      </c>
      <c r="I305" s="8">
        <v>0.4</v>
      </c>
      <c r="J305" s="8">
        <v>356</v>
      </c>
      <c r="K305" s="8">
        <v>1.19</v>
      </c>
      <c r="L305" s="8">
        <v>0.04</v>
      </c>
      <c r="M305" s="84">
        <v>8.6870000000000003E-3</v>
      </c>
      <c r="N305" s="84">
        <v>9.0345000000000009E-3</v>
      </c>
      <c r="O305" s="8" t="s">
        <v>337</v>
      </c>
      <c r="P305" s="163">
        <f t="shared" si="4"/>
        <v>0.19143529499610473</v>
      </c>
    </row>
    <row r="306" spans="1:16" x14ac:dyDescent="0.25">
      <c r="A306" s="8">
        <v>305</v>
      </c>
      <c r="B306" s="8">
        <v>8.35</v>
      </c>
      <c r="C306" s="153">
        <v>193.79839999999999</v>
      </c>
      <c r="D306" s="85">
        <v>325.85379999999998</v>
      </c>
      <c r="E306" s="85">
        <v>-7.4082999999999997</v>
      </c>
      <c r="F306" s="156" t="s">
        <v>580</v>
      </c>
      <c r="G306" s="85">
        <v>2.2000000000000002</v>
      </c>
      <c r="H306" s="85">
        <v>12.959</v>
      </c>
      <c r="I306" s="8">
        <v>0.4</v>
      </c>
      <c r="J306" s="8">
        <v>610</v>
      </c>
      <c r="K306" s="8">
        <v>1.68</v>
      </c>
      <c r="L306" s="8">
        <v>0.23</v>
      </c>
      <c r="M306" s="84">
        <v>8.6688000000000008E-3</v>
      </c>
      <c r="N306" s="84">
        <v>1.0663000000000001E-2</v>
      </c>
      <c r="O306" s="8" t="s">
        <v>343</v>
      </c>
      <c r="P306" s="163">
        <f t="shared" si="4"/>
        <v>0.191034268850334</v>
      </c>
    </row>
    <row r="307" spans="1:16" x14ac:dyDescent="0.25">
      <c r="A307" s="8">
        <v>306</v>
      </c>
      <c r="B307" s="8">
        <v>7.1769999999999996</v>
      </c>
      <c r="C307" s="153">
        <v>59.0319</v>
      </c>
      <c r="D307" s="85">
        <v>286.33659999999998</v>
      </c>
      <c r="E307" s="85">
        <v>25.9207</v>
      </c>
      <c r="F307" s="156" t="s">
        <v>397</v>
      </c>
      <c r="G307" s="85">
        <v>0.15</v>
      </c>
      <c r="H307" s="85">
        <v>11.319000000000001</v>
      </c>
      <c r="I307" s="8">
        <v>0.4</v>
      </c>
      <c r="J307" s="8">
        <v>110.9</v>
      </c>
      <c r="K307" s="8">
        <v>0.51</v>
      </c>
      <c r="L307" s="8">
        <v>0.35</v>
      </c>
      <c r="M307" s="84">
        <v>8.6394000000000002E-3</v>
      </c>
      <c r="N307" s="84">
        <v>1.1663E-2</v>
      </c>
      <c r="O307" s="8" t="s">
        <v>398</v>
      </c>
      <c r="P307" s="163">
        <f t="shared" si="4"/>
        <v>0.19038625908261878</v>
      </c>
    </row>
    <row r="308" spans="1:16" x14ac:dyDescent="0.25">
      <c r="A308" s="8">
        <v>307</v>
      </c>
      <c r="B308" s="8">
        <v>7.96</v>
      </c>
      <c r="C308" s="153">
        <v>125.94459999999999</v>
      </c>
      <c r="D308" s="85">
        <v>76.898099999999999</v>
      </c>
      <c r="E308" s="85">
        <v>-13.986499999999999</v>
      </c>
      <c r="F308" s="156" t="s">
        <v>516</v>
      </c>
      <c r="G308" s="85">
        <v>1.3</v>
      </c>
      <c r="H308" s="85">
        <v>12.885999999999999</v>
      </c>
      <c r="I308" s="8">
        <v>0.4</v>
      </c>
      <c r="J308" s="8">
        <v>326.60000000000002</v>
      </c>
      <c r="K308" s="8">
        <v>1.06</v>
      </c>
      <c r="L308" s="8">
        <v>0.22</v>
      </c>
      <c r="M308" s="84">
        <v>8.4163999999999992E-3</v>
      </c>
      <c r="N308" s="84">
        <v>1.0267999999999999E-2</v>
      </c>
      <c r="O308" s="8" t="s">
        <v>217</v>
      </c>
      <c r="P308" s="163">
        <f t="shared" si="4"/>
        <v>0.18547206180556886</v>
      </c>
    </row>
    <row r="309" spans="1:16" x14ac:dyDescent="0.25">
      <c r="A309" s="8">
        <v>308</v>
      </c>
      <c r="B309" s="8">
        <v>8.5399999999999991</v>
      </c>
      <c r="C309" s="153">
        <v>107.7586</v>
      </c>
      <c r="D309" s="85">
        <v>324.53500000000003</v>
      </c>
      <c r="E309" s="85">
        <v>-31.737500000000001</v>
      </c>
      <c r="F309" s="156" t="s">
        <v>598</v>
      </c>
      <c r="G309" s="85">
        <v>1.37</v>
      </c>
      <c r="H309" s="85">
        <v>12.897</v>
      </c>
      <c r="I309" s="8">
        <v>0.4</v>
      </c>
      <c r="J309" s="8">
        <v>279.8</v>
      </c>
      <c r="K309" s="8">
        <v>0.9</v>
      </c>
      <c r="L309" s="8">
        <v>0.27</v>
      </c>
      <c r="M309" s="84">
        <v>8.352E-3</v>
      </c>
      <c r="N309" s="84">
        <v>1.0607E-2</v>
      </c>
      <c r="O309" s="8" t="s">
        <v>284</v>
      </c>
      <c r="P309" s="163">
        <f t="shared" si="4"/>
        <v>0.18405293827574801</v>
      </c>
    </row>
    <row r="310" spans="1:16" x14ac:dyDescent="0.25">
      <c r="A310" s="8">
        <v>309</v>
      </c>
      <c r="B310" s="8">
        <v>6.0570000000000004</v>
      </c>
      <c r="C310" s="153">
        <v>139.47</v>
      </c>
      <c r="D310" s="85">
        <v>280.90050000000002</v>
      </c>
      <c r="E310" s="85">
        <v>36.556600000000003</v>
      </c>
      <c r="F310" s="156" t="s">
        <v>308</v>
      </c>
      <c r="G310" s="85">
        <v>2.7</v>
      </c>
      <c r="H310" s="85">
        <v>13.007999999999999</v>
      </c>
      <c r="I310" s="8">
        <v>0.4</v>
      </c>
      <c r="J310" s="8">
        <v>323.60000000000002</v>
      </c>
      <c r="K310" s="8">
        <v>1.1599999999999999</v>
      </c>
      <c r="L310" s="8">
        <v>0.21</v>
      </c>
      <c r="M310" s="84">
        <v>8.3172000000000003E-3</v>
      </c>
      <c r="N310" s="84">
        <v>1.0064E-2</v>
      </c>
      <c r="O310" s="8" t="s">
        <v>309</v>
      </c>
      <c r="P310" s="163">
        <f t="shared" si="4"/>
        <v>0.18328603417061404</v>
      </c>
    </row>
    <row r="311" spans="1:16" x14ac:dyDescent="0.25">
      <c r="A311" s="8">
        <v>310</v>
      </c>
      <c r="B311" s="8">
        <v>8.35</v>
      </c>
      <c r="C311" s="153">
        <v>159.23570000000001</v>
      </c>
      <c r="D311" s="85">
        <v>4.8211000000000004</v>
      </c>
      <c r="E311" s="85">
        <v>14.0548</v>
      </c>
      <c r="F311" s="156" t="s">
        <v>578</v>
      </c>
      <c r="G311" s="85">
        <v>3.1</v>
      </c>
      <c r="H311" s="85">
        <v>13.05</v>
      </c>
      <c r="I311" s="8">
        <v>0.4</v>
      </c>
      <c r="J311" s="8">
        <v>431.8</v>
      </c>
      <c r="K311" s="8">
        <v>1.31</v>
      </c>
      <c r="L311" s="8">
        <v>0.1</v>
      </c>
      <c r="M311" s="84">
        <v>8.2267999999999994E-3</v>
      </c>
      <c r="N311" s="84">
        <v>9.0495000000000003E-3</v>
      </c>
      <c r="O311" s="8" t="s">
        <v>343</v>
      </c>
      <c r="P311" s="163">
        <f t="shared" si="4"/>
        <v>0.18129383681876848</v>
      </c>
    </row>
    <row r="312" spans="1:16" x14ac:dyDescent="0.25">
      <c r="A312" s="8">
        <v>311</v>
      </c>
      <c r="B312" s="8">
        <v>5.71</v>
      </c>
      <c r="C312" s="153">
        <v>15.857900000000001</v>
      </c>
      <c r="D312" s="85">
        <v>300.90589999999997</v>
      </c>
      <c r="E312" s="85">
        <v>29.896799999999999</v>
      </c>
      <c r="F312" s="156" t="s">
        <v>285</v>
      </c>
      <c r="G312" s="85">
        <v>5.7000000000000002E-2</v>
      </c>
      <c r="H312" s="85">
        <v>8.5</v>
      </c>
      <c r="I312" s="8">
        <v>0.4</v>
      </c>
      <c r="J312" s="8">
        <v>17.100000000000001</v>
      </c>
      <c r="K312" s="8">
        <v>0.13</v>
      </c>
      <c r="L312" s="8">
        <v>0.01</v>
      </c>
      <c r="M312" s="84">
        <v>8.1977999999999999E-3</v>
      </c>
      <c r="N312" s="84">
        <v>8.2798000000000004E-3</v>
      </c>
      <c r="O312" s="8" t="s">
        <v>286</v>
      </c>
      <c r="P312" s="163">
        <f t="shared" si="4"/>
        <v>0.18065494899370396</v>
      </c>
    </row>
    <row r="313" spans="1:16" x14ac:dyDescent="0.25">
      <c r="A313" s="8">
        <v>312</v>
      </c>
      <c r="B313" s="8">
        <v>8.1</v>
      </c>
      <c r="C313" s="153">
        <v>55.035800000000002</v>
      </c>
      <c r="D313" s="85">
        <v>242.90190000000001</v>
      </c>
      <c r="E313" s="85">
        <v>-27.078199999999999</v>
      </c>
      <c r="F313" s="156" t="s">
        <v>546</v>
      </c>
      <c r="G313" s="85">
        <v>5.76</v>
      </c>
      <c r="H313" s="85">
        <v>13.074</v>
      </c>
      <c r="I313" s="8">
        <v>0.4</v>
      </c>
      <c r="J313" s="8">
        <v>103.9</v>
      </c>
      <c r="K313" s="8">
        <v>0.45</v>
      </c>
      <c r="L313" s="8">
        <v>0.31</v>
      </c>
      <c r="M313" s="84">
        <v>8.1764999999999997E-3</v>
      </c>
      <c r="N313" s="84">
        <v>1.0711E-2</v>
      </c>
      <c r="O313" s="8" t="s">
        <v>387</v>
      </c>
      <c r="P313" s="163">
        <f t="shared" si="4"/>
        <v>0.1801853244113924</v>
      </c>
    </row>
    <row r="314" spans="1:16" x14ac:dyDescent="0.25">
      <c r="A314" s="8">
        <v>313</v>
      </c>
      <c r="B314" s="8">
        <v>8</v>
      </c>
      <c r="C314" s="153">
        <v>127.06480000000001</v>
      </c>
      <c r="D314" s="85">
        <v>283.92039999999997</v>
      </c>
      <c r="E314" s="85">
        <v>4.2652999999999999</v>
      </c>
      <c r="F314" s="156" t="s">
        <v>522</v>
      </c>
      <c r="G314" s="85">
        <v>0.61</v>
      </c>
      <c r="H314" s="85">
        <v>12.734999999999999</v>
      </c>
      <c r="I314" s="8">
        <v>0.4</v>
      </c>
      <c r="J314" s="8">
        <v>297.3</v>
      </c>
      <c r="K314" s="8">
        <v>1.03</v>
      </c>
      <c r="L314" s="8">
        <v>0.33</v>
      </c>
      <c r="M314" s="84">
        <v>8.1060999999999998E-3</v>
      </c>
      <c r="N314" s="84">
        <v>1.0781000000000001E-2</v>
      </c>
      <c r="O314" s="8" t="s">
        <v>226</v>
      </c>
      <c r="P314" s="163">
        <f t="shared" si="4"/>
        <v>0.17863401248912586</v>
      </c>
    </row>
    <row r="315" spans="1:16" x14ac:dyDescent="0.25">
      <c r="A315" s="8">
        <v>314</v>
      </c>
      <c r="B315" s="8">
        <v>5.7969999999999997</v>
      </c>
      <c r="C315" s="153">
        <v>97.087400000000002</v>
      </c>
      <c r="D315" s="85">
        <v>181.31299999999999</v>
      </c>
      <c r="E315" s="85">
        <v>76.905699999999996</v>
      </c>
      <c r="F315" s="156" t="s">
        <v>293</v>
      </c>
      <c r="G315" s="85">
        <v>6.3</v>
      </c>
      <c r="H315" s="85">
        <v>13.055999999999999</v>
      </c>
      <c r="I315" s="8">
        <v>0.4</v>
      </c>
      <c r="J315" s="8">
        <v>198.2</v>
      </c>
      <c r="K315" s="8">
        <v>0.78</v>
      </c>
      <c r="L315" s="8">
        <v>0.03</v>
      </c>
      <c r="M315" s="84">
        <v>8.0339999999999995E-3</v>
      </c>
      <c r="N315" s="84">
        <v>8.2749999999999994E-3</v>
      </c>
      <c r="O315" s="8" t="s">
        <v>214</v>
      </c>
      <c r="P315" s="163">
        <f t="shared" si="4"/>
        <v>0.17704510259707801</v>
      </c>
    </row>
    <row r="316" spans="1:16" x14ac:dyDescent="0.25">
      <c r="A316" s="8">
        <v>315</v>
      </c>
      <c r="B316" s="8">
        <v>7.94</v>
      </c>
      <c r="C316" s="153">
        <v>32.383400000000002</v>
      </c>
      <c r="D316" s="85">
        <v>51.802</v>
      </c>
      <c r="E316" s="85">
        <v>-58.323700000000002</v>
      </c>
      <c r="F316" s="156" t="s">
        <v>512</v>
      </c>
      <c r="G316" s="85">
        <v>6.5000000000000002E-2</v>
      </c>
      <c r="H316" s="85">
        <v>9.0030000000000001</v>
      </c>
      <c r="I316" s="8">
        <v>0.4</v>
      </c>
      <c r="J316" s="8">
        <v>53.9</v>
      </c>
      <c r="K316" s="8">
        <v>0.26</v>
      </c>
      <c r="L316" s="8">
        <v>0.24</v>
      </c>
      <c r="M316" s="84">
        <v>8.0288000000000009E-3</v>
      </c>
      <c r="N316" s="84">
        <v>9.9556999999999996E-3</v>
      </c>
      <c r="O316" s="8" t="s">
        <v>468</v>
      </c>
      <c r="P316" s="163">
        <f t="shared" si="4"/>
        <v>0.17693065679621398</v>
      </c>
    </row>
    <row r="317" spans="1:16" x14ac:dyDescent="0.25">
      <c r="A317" s="8">
        <v>316</v>
      </c>
      <c r="B317" s="8">
        <v>8.35</v>
      </c>
      <c r="C317" s="153">
        <v>185.52879999999999</v>
      </c>
      <c r="D317" s="85">
        <v>253.4316</v>
      </c>
      <c r="E317" s="85">
        <v>11.973699999999999</v>
      </c>
      <c r="F317" s="156" t="s">
        <v>579</v>
      </c>
      <c r="G317" s="85">
        <v>1.5</v>
      </c>
      <c r="H317" s="85">
        <v>12.909000000000001</v>
      </c>
      <c r="I317" s="8">
        <v>0.4</v>
      </c>
      <c r="J317" s="8">
        <v>689</v>
      </c>
      <c r="K317" s="8">
        <v>1.48</v>
      </c>
      <c r="L317" s="8">
        <v>0.22</v>
      </c>
      <c r="M317" s="84">
        <v>7.9772000000000003E-3</v>
      </c>
      <c r="N317" s="84">
        <v>9.7321999999999999E-3</v>
      </c>
      <c r="O317" s="8" t="s">
        <v>343</v>
      </c>
      <c r="P317" s="163">
        <f t="shared" si="4"/>
        <v>0.17579339998624896</v>
      </c>
    </row>
    <row r="318" spans="1:16" x14ac:dyDescent="0.25">
      <c r="A318" s="8">
        <v>317</v>
      </c>
      <c r="B318" s="8">
        <v>7.7670000000000003</v>
      </c>
      <c r="C318" s="153">
        <v>19.316199999999998</v>
      </c>
      <c r="D318" s="85">
        <v>303.49939999999998</v>
      </c>
      <c r="E318" s="85">
        <v>-0.86687000000000003</v>
      </c>
      <c r="F318" s="156" t="s">
        <v>479</v>
      </c>
      <c r="G318" s="85">
        <v>0.73299999999999998</v>
      </c>
      <c r="H318" s="85">
        <v>12.794</v>
      </c>
      <c r="I318" s="8">
        <v>0.4</v>
      </c>
      <c r="J318" s="8">
        <v>24.4</v>
      </c>
      <c r="K318" s="8">
        <v>0.15</v>
      </c>
      <c r="L318" s="8">
        <v>0.01</v>
      </c>
      <c r="M318" s="84">
        <v>7.7654999999999998E-3</v>
      </c>
      <c r="N318" s="84">
        <v>7.8431999999999998E-3</v>
      </c>
      <c r="O318" s="8" t="s">
        <v>395</v>
      </c>
      <c r="P318" s="163">
        <f t="shared" si="4"/>
        <v>0.17112826672672871</v>
      </c>
    </row>
    <row r="319" spans="1:16" x14ac:dyDescent="0.25">
      <c r="A319" s="8">
        <v>318</v>
      </c>
      <c r="B319" s="8">
        <v>6.92</v>
      </c>
      <c r="C319" s="153">
        <v>37.4251</v>
      </c>
      <c r="D319" s="85">
        <v>275.01639999999998</v>
      </c>
      <c r="E319" s="85">
        <v>-9.5957000000000008</v>
      </c>
      <c r="F319" s="156" t="s">
        <v>380</v>
      </c>
      <c r="G319" s="85">
        <v>7.6589999999999998</v>
      </c>
      <c r="H319" s="85">
        <v>12.958</v>
      </c>
      <c r="I319" s="8">
        <v>0.4</v>
      </c>
      <c r="J319" s="8">
        <v>58.1</v>
      </c>
      <c r="K319" s="8">
        <v>0.28999999999999998</v>
      </c>
      <c r="L319" s="8">
        <v>0.53</v>
      </c>
      <c r="M319" s="84">
        <v>7.7488000000000001E-3</v>
      </c>
      <c r="N319" s="84">
        <v>1.1856E-2</v>
      </c>
      <c r="O319" s="8" t="s">
        <v>381</v>
      </c>
      <c r="P319" s="163">
        <f t="shared" si="4"/>
        <v>0.17076042005081843</v>
      </c>
    </row>
    <row r="320" spans="1:16" x14ac:dyDescent="0.25">
      <c r="A320" s="8">
        <v>319</v>
      </c>
      <c r="B320" s="8">
        <v>5.476</v>
      </c>
      <c r="C320" s="153">
        <v>134.77090000000001</v>
      </c>
      <c r="D320" s="85">
        <v>210.5949</v>
      </c>
      <c r="E320" s="85">
        <v>-27.4298</v>
      </c>
      <c r="F320" s="156" t="s">
        <v>272</v>
      </c>
      <c r="G320" s="85">
        <v>3.71</v>
      </c>
      <c r="H320" s="85">
        <v>13.116</v>
      </c>
      <c r="I320" s="8">
        <v>0.4</v>
      </c>
      <c r="J320" s="8">
        <v>345</v>
      </c>
      <c r="K320" s="8">
        <v>1.02</v>
      </c>
      <c r="L320" s="8">
        <v>0.68</v>
      </c>
      <c r="M320" s="84">
        <v>7.5684000000000003E-3</v>
      </c>
      <c r="N320" s="84">
        <v>1.2715000000000001E-2</v>
      </c>
      <c r="O320" s="8" t="s">
        <v>273</v>
      </c>
      <c r="P320" s="163">
        <f t="shared" si="4"/>
        <v>0.16678470808667514</v>
      </c>
    </row>
    <row r="321" spans="1:16" x14ac:dyDescent="0.25">
      <c r="A321" s="8">
        <v>320</v>
      </c>
      <c r="B321" s="8">
        <v>9.9510000000000005</v>
      </c>
      <c r="C321" s="153">
        <v>9.2738999999999994</v>
      </c>
      <c r="D321" s="85">
        <v>70.732399999999998</v>
      </c>
      <c r="E321" s="85">
        <v>18.958200000000001</v>
      </c>
      <c r="F321" s="156" t="s">
        <v>664</v>
      </c>
      <c r="G321" s="85">
        <v>2.5999999999999999E-2</v>
      </c>
      <c r="H321" s="85">
        <v>1.7350000000000001</v>
      </c>
      <c r="I321" s="8">
        <v>0.4</v>
      </c>
      <c r="J321" s="8">
        <v>8.8000000000000007</v>
      </c>
      <c r="K321" s="8">
        <v>7.0000000000000007E-2</v>
      </c>
      <c r="L321" s="8">
        <v>0</v>
      </c>
      <c r="M321" s="84">
        <v>7.5481000000000003E-3</v>
      </c>
      <c r="N321" s="84">
        <v>7.5481000000000003E-3</v>
      </c>
      <c r="O321" s="8" t="s">
        <v>665</v>
      </c>
      <c r="P321" s="163">
        <f t="shared" si="4"/>
        <v>0.16633659898732187</v>
      </c>
    </row>
    <row r="322" spans="1:16" x14ac:dyDescent="0.25">
      <c r="A322" s="8">
        <v>321</v>
      </c>
      <c r="B322" s="8">
        <v>7.52</v>
      </c>
      <c r="C322" s="153">
        <v>45.106000000000002</v>
      </c>
      <c r="D322" s="85">
        <v>209.3218</v>
      </c>
      <c r="E322" s="85">
        <v>-56.04</v>
      </c>
      <c r="F322" s="156" t="s">
        <v>443</v>
      </c>
      <c r="G322" s="85">
        <v>1.22</v>
      </c>
      <c r="H322" s="85">
        <v>12.874000000000001</v>
      </c>
      <c r="I322" s="8">
        <v>0.4</v>
      </c>
      <c r="J322" s="8">
        <v>63.3</v>
      </c>
      <c r="K322" s="8">
        <v>0.33</v>
      </c>
      <c r="L322" s="8">
        <v>0.03</v>
      </c>
      <c r="M322" s="84">
        <v>7.3160999999999999E-3</v>
      </c>
      <c r="N322" s="84">
        <v>7.5355999999999999E-3</v>
      </c>
      <c r="O322" s="8" t="s">
        <v>247</v>
      </c>
      <c r="P322" s="163">
        <f t="shared" ref="P322:P385" si="5">(K322*AU)/(C322*pc)/FWHMsky</f>
        <v>0.16122478642848048</v>
      </c>
    </row>
    <row r="323" spans="1:16" x14ac:dyDescent="0.25">
      <c r="A323" s="8">
        <v>322</v>
      </c>
      <c r="B323" s="8">
        <v>6.5839999999999996</v>
      </c>
      <c r="C323" s="153">
        <v>17.838000000000001</v>
      </c>
      <c r="D323" s="85">
        <v>256.11599999999999</v>
      </c>
      <c r="E323" s="85">
        <v>-28.582699999999999</v>
      </c>
      <c r="F323" s="156" t="s">
        <v>351</v>
      </c>
      <c r="G323" s="85">
        <v>1.9E-2</v>
      </c>
      <c r="H323" s="85">
        <v>1.613</v>
      </c>
      <c r="I323" s="8">
        <v>0.4</v>
      </c>
      <c r="J323" s="8">
        <v>18.600000000000001</v>
      </c>
      <c r="K323" s="8">
        <v>0.13</v>
      </c>
      <c r="L323" s="8">
        <v>0.38</v>
      </c>
      <c r="M323" s="84">
        <v>7.2877999999999997E-3</v>
      </c>
      <c r="N323" s="84">
        <v>1.0057E-2</v>
      </c>
      <c r="O323" s="8" t="s">
        <v>352</v>
      </c>
      <c r="P323" s="163">
        <f t="shared" si="5"/>
        <v>0.16060141919762633</v>
      </c>
    </row>
    <row r="324" spans="1:16" x14ac:dyDescent="0.25">
      <c r="A324" s="8">
        <v>323</v>
      </c>
      <c r="B324" s="8">
        <v>9.85</v>
      </c>
      <c r="C324" s="153">
        <v>111.9821</v>
      </c>
      <c r="D324" s="85">
        <v>38.545999999999999</v>
      </c>
      <c r="E324" s="85">
        <v>-12.3843</v>
      </c>
      <c r="F324" s="156" t="s">
        <v>660</v>
      </c>
      <c r="G324" s="85">
        <v>2.93</v>
      </c>
      <c r="H324" s="85">
        <v>13.032</v>
      </c>
      <c r="I324" s="8">
        <v>0.4</v>
      </c>
      <c r="J324" s="8">
        <v>290</v>
      </c>
      <c r="K324" s="8">
        <v>0.81</v>
      </c>
      <c r="L324" s="8">
        <v>0.27</v>
      </c>
      <c r="M324" s="84">
        <v>7.2332999999999998E-3</v>
      </c>
      <c r="N324" s="84">
        <v>9.1862999999999997E-3</v>
      </c>
      <c r="O324" s="8" t="s">
        <v>661</v>
      </c>
      <c r="P324" s="163">
        <f t="shared" si="5"/>
        <v>0.15940010286494821</v>
      </c>
    </row>
    <row r="325" spans="1:16" x14ac:dyDescent="0.25">
      <c r="A325" s="8">
        <v>324</v>
      </c>
      <c r="B325" s="8">
        <v>6.42</v>
      </c>
      <c r="C325" s="153">
        <v>32.851500000000001</v>
      </c>
      <c r="D325" s="85">
        <v>29.29</v>
      </c>
      <c r="E325" s="85">
        <v>-10.2424</v>
      </c>
      <c r="F325" s="156" t="s">
        <v>332</v>
      </c>
      <c r="G325" s="85">
        <v>7.9000000000000001E-2</v>
      </c>
      <c r="H325" s="85">
        <v>9.9339999999999993</v>
      </c>
      <c r="I325" s="8">
        <v>0.4</v>
      </c>
      <c r="J325" s="8">
        <v>37.9</v>
      </c>
      <c r="K325" s="8">
        <v>0.23</v>
      </c>
      <c r="L325" s="8">
        <v>0.3</v>
      </c>
      <c r="M325" s="84">
        <v>7.0012E-3</v>
      </c>
      <c r="N325" s="84">
        <v>9.1015999999999996E-3</v>
      </c>
      <c r="O325" s="8" t="s">
        <v>333</v>
      </c>
      <c r="P325" s="163">
        <f t="shared" si="5"/>
        <v>0.15428539537449276</v>
      </c>
    </row>
    <row r="326" spans="1:16" x14ac:dyDescent="0.25">
      <c r="A326" s="8">
        <v>325</v>
      </c>
      <c r="B326" s="8">
        <v>7.484</v>
      </c>
      <c r="C326" s="153">
        <v>38.565399999999997</v>
      </c>
      <c r="D326" s="85">
        <v>73.909899999999993</v>
      </c>
      <c r="E326" s="85">
        <v>-23.241900000000001</v>
      </c>
      <c r="F326" s="156" t="s">
        <v>438</v>
      </c>
      <c r="G326" s="85">
        <v>0.05</v>
      </c>
      <c r="H326" s="85">
        <v>7.7469999999999999</v>
      </c>
      <c r="I326" s="8">
        <v>0.4</v>
      </c>
      <c r="J326" s="8">
        <v>51.3</v>
      </c>
      <c r="K326" s="8">
        <v>0.27</v>
      </c>
      <c r="L326" s="8">
        <v>0.11</v>
      </c>
      <c r="M326" s="84">
        <v>7.0010999999999997E-3</v>
      </c>
      <c r="N326" s="84">
        <v>7.7711999999999998E-3</v>
      </c>
      <c r="O326" s="8" t="s">
        <v>282</v>
      </c>
      <c r="P326" s="163">
        <f t="shared" si="5"/>
        <v>0.15428301239827166</v>
      </c>
    </row>
    <row r="327" spans="1:16" x14ac:dyDescent="0.25">
      <c r="A327" s="8">
        <v>326</v>
      </c>
      <c r="B327" s="8">
        <v>8.9600000000000009</v>
      </c>
      <c r="C327" s="153">
        <v>25.920200000000001</v>
      </c>
      <c r="D327" s="85">
        <v>176.17070000000001</v>
      </c>
      <c r="E327" s="85">
        <v>30.959299999999999</v>
      </c>
      <c r="F327" s="156" t="s">
        <v>628</v>
      </c>
      <c r="G327" s="85">
        <v>0.41</v>
      </c>
      <c r="H327" s="85">
        <v>12.52</v>
      </c>
      <c r="I327" s="8">
        <v>0.4</v>
      </c>
      <c r="J327" s="8">
        <v>32</v>
      </c>
      <c r="K327" s="8">
        <v>0.18</v>
      </c>
      <c r="L327" s="8">
        <v>0.05</v>
      </c>
      <c r="M327" s="84">
        <v>6.9443999999999999E-3</v>
      </c>
      <c r="N327" s="84">
        <v>7.2915999999999996E-3</v>
      </c>
      <c r="O327" s="8" t="s">
        <v>629</v>
      </c>
      <c r="P327" s="163">
        <f t="shared" si="5"/>
        <v>0.15303344074876751</v>
      </c>
    </row>
    <row r="328" spans="1:16" x14ac:dyDescent="0.25">
      <c r="A328" s="8">
        <v>327</v>
      </c>
      <c r="B328" s="8">
        <v>9.8130000000000006</v>
      </c>
      <c r="C328" s="153">
        <v>8.8826000000000001</v>
      </c>
      <c r="D328" s="85">
        <v>173.8623</v>
      </c>
      <c r="E328" s="85">
        <v>-32.54</v>
      </c>
      <c r="F328" s="156" t="s">
        <v>657</v>
      </c>
      <c r="G328" s="85">
        <v>1.7999999999999999E-2</v>
      </c>
      <c r="H328" s="85">
        <v>1.591</v>
      </c>
      <c r="I328" s="8">
        <v>0.4</v>
      </c>
      <c r="J328" s="8">
        <v>7.4</v>
      </c>
      <c r="K328" s="8">
        <v>0.06</v>
      </c>
      <c r="L328" s="8">
        <v>0.08</v>
      </c>
      <c r="M328" s="84">
        <v>6.7548E-3</v>
      </c>
      <c r="N328" s="84">
        <v>7.2951999999999999E-3</v>
      </c>
      <c r="O328" s="8" t="s">
        <v>608</v>
      </c>
      <c r="P328" s="163">
        <f t="shared" si="5"/>
        <v>0.14885496704779394</v>
      </c>
    </row>
    <row r="329" spans="1:16" x14ac:dyDescent="0.25">
      <c r="A329" s="8">
        <v>328</v>
      </c>
      <c r="B329" s="8">
        <v>8.1270000000000007</v>
      </c>
      <c r="C329" s="153">
        <v>34.352499999999999</v>
      </c>
      <c r="D329" s="85">
        <v>97.305000000000007</v>
      </c>
      <c r="E329" s="85">
        <v>10.9339</v>
      </c>
      <c r="F329" s="156" t="s">
        <v>552</v>
      </c>
      <c r="G329" s="85">
        <v>0.47</v>
      </c>
      <c r="H329" s="85">
        <v>12.584</v>
      </c>
      <c r="I329" s="8">
        <v>0.4</v>
      </c>
      <c r="J329" s="8">
        <v>43.6</v>
      </c>
      <c r="K329" s="8">
        <v>0.23</v>
      </c>
      <c r="L329" s="8">
        <v>0.38</v>
      </c>
      <c r="M329" s="84">
        <v>6.6953000000000004E-3</v>
      </c>
      <c r="N329" s="84">
        <v>9.2394999999999994E-3</v>
      </c>
      <c r="O329" s="8" t="s">
        <v>553</v>
      </c>
      <c r="P329" s="163">
        <f t="shared" si="5"/>
        <v>0.1475440409328331</v>
      </c>
    </row>
    <row r="330" spans="1:16" x14ac:dyDescent="0.25">
      <c r="A330" s="8">
        <v>329</v>
      </c>
      <c r="B330" s="8">
        <v>7.53</v>
      </c>
      <c r="C330" s="153">
        <v>17.956499999999998</v>
      </c>
      <c r="D330" s="85">
        <v>171.69280000000001</v>
      </c>
      <c r="E330" s="85">
        <v>3.0063</v>
      </c>
      <c r="F330" s="156" t="s">
        <v>445</v>
      </c>
      <c r="G330" s="85">
        <v>0.109</v>
      </c>
      <c r="H330" s="85">
        <v>10.727</v>
      </c>
      <c r="I330" s="8">
        <v>0.4</v>
      </c>
      <c r="J330" s="8">
        <v>17</v>
      </c>
      <c r="K330" s="8">
        <v>0.12</v>
      </c>
      <c r="L330" s="8">
        <v>0.25</v>
      </c>
      <c r="M330" s="84">
        <v>6.6828E-3</v>
      </c>
      <c r="N330" s="84">
        <v>8.3534999999999998E-3</v>
      </c>
      <c r="O330" s="8" t="s">
        <v>446</v>
      </c>
      <c r="P330" s="163">
        <f t="shared" si="5"/>
        <v>0.14726913711455292</v>
      </c>
    </row>
    <row r="331" spans="1:16" x14ac:dyDescent="0.25">
      <c r="A331" s="8">
        <v>330</v>
      </c>
      <c r="B331" s="8">
        <v>8.0749999999999993</v>
      </c>
      <c r="C331" s="153">
        <v>25.9</v>
      </c>
      <c r="D331" s="85">
        <v>86.132999999999996</v>
      </c>
      <c r="E331" s="85">
        <v>-70.143600000000006</v>
      </c>
      <c r="F331" s="156" t="s">
        <v>542</v>
      </c>
      <c r="G331" s="85">
        <v>1.6E-2</v>
      </c>
      <c r="H331" s="85">
        <v>1.5469999999999999</v>
      </c>
      <c r="I331" s="8">
        <v>0.4</v>
      </c>
      <c r="J331" s="8">
        <v>33.9</v>
      </c>
      <c r="K331" s="8">
        <v>0.17</v>
      </c>
      <c r="L331" s="8">
        <v>0.2</v>
      </c>
      <c r="M331" s="84">
        <v>6.5636999999999996E-3</v>
      </c>
      <c r="N331" s="84">
        <v>7.8764000000000004E-3</v>
      </c>
      <c r="O331" s="8" t="s">
        <v>296</v>
      </c>
      <c r="P331" s="163">
        <f t="shared" si="5"/>
        <v>0.14464430640333648</v>
      </c>
    </row>
    <row r="332" spans="1:16" x14ac:dyDescent="0.25">
      <c r="A332" s="8">
        <v>331</v>
      </c>
      <c r="B332" s="8">
        <v>9</v>
      </c>
      <c r="C332" s="153">
        <v>100.70489999999999</v>
      </c>
      <c r="D332" s="85">
        <v>129.31870000000001</v>
      </c>
      <c r="E332" s="85">
        <v>-41.319099999999999</v>
      </c>
      <c r="F332" s="156" t="s">
        <v>633</v>
      </c>
      <c r="G332" s="85">
        <v>2.9</v>
      </c>
      <c r="H332" s="85">
        <v>13.029</v>
      </c>
      <c r="I332" s="8">
        <v>0.4</v>
      </c>
      <c r="J332" s="8">
        <v>188.3</v>
      </c>
      <c r="K332" s="8">
        <v>0.66</v>
      </c>
      <c r="L332" s="8">
        <v>0.19</v>
      </c>
      <c r="M332" s="84">
        <v>6.5538000000000003E-3</v>
      </c>
      <c r="N332" s="84">
        <v>7.7990000000000004E-3</v>
      </c>
      <c r="O332" s="8" t="s">
        <v>381</v>
      </c>
      <c r="P332" s="163">
        <f t="shared" si="5"/>
        <v>0.14442604514066429</v>
      </c>
    </row>
    <row r="333" spans="1:16" x14ac:dyDescent="0.25">
      <c r="A333" s="8">
        <v>332</v>
      </c>
      <c r="B333" s="8">
        <v>8.7100000000000009</v>
      </c>
      <c r="C333" s="153">
        <v>243.9024</v>
      </c>
      <c r="D333" s="85">
        <v>176.59809999999999</v>
      </c>
      <c r="E333" s="85">
        <v>14.124000000000001</v>
      </c>
      <c r="F333" s="156" t="s">
        <v>614</v>
      </c>
      <c r="G333" s="85">
        <v>2.6</v>
      </c>
      <c r="H333" s="85">
        <v>12.997</v>
      </c>
      <c r="I333" s="8">
        <v>0.4</v>
      </c>
      <c r="J333" s="8">
        <v>520</v>
      </c>
      <c r="K333" s="8">
        <v>1.57</v>
      </c>
      <c r="L333" s="8">
        <v>0.68</v>
      </c>
      <c r="M333" s="84">
        <v>6.437E-3</v>
      </c>
      <c r="N333" s="84">
        <v>1.0814000000000001E-2</v>
      </c>
      <c r="O333" s="8" t="s">
        <v>425</v>
      </c>
      <c r="P333" s="163">
        <f t="shared" si="5"/>
        <v>0.14185209839188501</v>
      </c>
    </row>
    <row r="334" spans="1:16" x14ac:dyDescent="0.25">
      <c r="A334" s="8">
        <v>333</v>
      </c>
      <c r="B334" s="8">
        <v>5.95</v>
      </c>
      <c r="C334" s="153">
        <v>12.4938</v>
      </c>
      <c r="D334" s="85">
        <v>124.5998</v>
      </c>
      <c r="E334" s="85">
        <v>-12.632199999999999</v>
      </c>
      <c r="F334" s="156" t="s">
        <v>302</v>
      </c>
      <c r="G334" s="85">
        <v>3.3000000000000002E-2</v>
      </c>
      <c r="H334" s="85">
        <v>3.87</v>
      </c>
      <c r="I334" s="8">
        <v>0.4</v>
      </c>
      <c r="J334" s="8">
        <v>8.6999999999999993</v>
      </c>
      <c r="K334" s="8">
        <v>0.08</v>
      </c>
      <c r="L334" s="8">
        <v>0.1</v>
      </c>
      <c r="M334" s="84">
        <v>6.4032000000000004E-3</v>
      </c>
      <c r="N334" s="84">
        <v>7.0435000000000003E-3</v>
      </c>
      <c r="O334" s="8" t="s">
        <v>303</v>
      </c>
      <c r="P334" s="163">
        <f t="shared" si="5"/>
        <v>0.14110669615315699</v>
      </c>
    </row>
    <row r="335" spans="1:16" x14ac:dyDescent="0.25">
      <c r="A335" s="8">
        <v>334</v>
      </c>
      <c r="B335" s="8">
        <v>8.69</v>
      </c>
      <c r="C335" s="153">
        <v>43.9754</v>
      </c>
      <c r="D335" s="85">
        <v>85.007199999999997</v>
      </c>
      <c r="E335" s="85">
        <v>6.0606</v>
      </c>
      <c r="F335" s="156" t="s">
        <v>610</v>
      </c>
      <c r="G335" s="85">
        <v>2.8130000000000002</v>
      </c>
      <c r="H335" s="85">
        <v>13.02</v>
      </c>
      <c r="I335" s="8">
        <v>0.4</v>
      </c>
      <c r="J335" s="8">
        <v>55</v>
      </c>
      <c r="K335" s="8">
        <v>0.28000000000000003</v>
      </c>
      <c r="L335" s="8">
        <v>0.68</v>
      </c>
      <c r="M335" s="84">
        <v>6.3671999999999999E-3</v>
      </c>
      <c r="N335" s="84">
        <v>1.0697E-2</v>
      </c>
      <c r="O335" s="8" t="s">
        <v>343</v>
      </c>
      <c r="P335" s="163">
        <f t="shared" si="5"/>
        <v>0.1403138104802707</v>
      </c>
    </row>
    <row r="336" spans="1:16" x14ac:dyDescent="0.25">
      <c r="A336" s="8">
        <v>335</v>
      </c>
      <c r="B336" s="8">
        <v>8.2539999999999996</v>
      </c>
      <c r="C336" s="153">
        <v>157.97790000000001</v>
      </c>
      <c r="D336" s="85">
        <v>166.18520000000001</v>
      </c>
      <c r="E336" s="85">
        <v>-2.5131999999999999</v>
      </c>
      <c r="F336" s="156" t="s">
        <v>568</v>
      </c>
      <c r="G336" s="85">
        <v>0.9</v>
      </c>
      <c r="H336" s="85">
        <v>12.824</v>
      </c>
      <c r="I336" s="8">
        <v>0.4</v>
      </c>
      <c r="J336" s="8">
        <v>361.1</v>
      </c>
      <c r="K336" s="8">
        <v>0.99</v>
      </c>
      <c r="L336" s="8">
        <v>0.28000000000000003</v>
      </c>
      <c r="M336" s="84">
        <v>6.2667E-3</v>
      </c>
      <c r="N336" s="84">
        <v>8.0213999999999997E-3</v>
      </c>
      <c r="O336" s="8" t="s">
        <v>343</v>
      </c>
      <c r="P336" s="163">
        <f t="shared" si="5"/>
        <v>0.13809916228744093</v>
      </c>
    </row>
    <row r="337" spans="1:16" x14ac:dyDescent="0.25">
      <c r="A337" s="8">
        <v>336</v>
      </c>
      <c r="B337" s="8">
        <v>6.4379999999999997</v>
      </c>
      <c r="C337" s="153">
        <v>122.24939999999999</v>
      </c>
      <c r="D337" s="85">
        <v>173.76560000000001</v>
      </c>
      <c r="E337" s="85">
        <v>20.441500000000001</v>
      </c>
      <c r="F337" s="156" t="s">
        <v>335</v>
      </c>
      <c r="G337" s="85">
        <v>1.7</v>
      </c>
      <c r="H337" s="85">
        <v>12.923</v>
      </c>
      <c r="I337" s="8">
        <v>0.4</v>
      </c>
      <c r="J337" s="8">
        <v>157.6</v>
      </c>
      <c r="K337" s="8">
        <v>0.76</v>
      </c>
      <c r="L337" s="8">
        <v>0.09</v>
      </c>
      <c r="M337" s="84">
        <v>6.2167999999999998E-3</v>
      </c>
      <c r="N337" s="84">
        <v>6.7762999999999999E-3</v>
      </c>
      <c r="O337" s="8" t="s">
        <v>214</v>
      </c>
      <c r="P337" s="163">
        <f t="shared" si="5"/>
        <v>0.13699951888339715</v>
      </c>
    </row>
    <row r="338" spans="1:16" x14ac:dyDescent="0.25">
      <c r="A338" s="8">
        <v>337</v>
      </c>
      <c r="B338" s="8">
        <v>6.0739999999999998</v>
      </c>
      <c r="C338" s="153">
        <v>17.727399999999999</v>
      </c>
      <c r="D338" s="85">
        <v>301.38650000000001</v>
      </c>
      <c r="E338" s="85">
        <v>-67.320899999999995</v>
      </c>
      <c r="F338" s="156" t="s">
        <v>312</v>
      </c>
      <c r="G338" s="85">
        <v>3.2000000000000001E-2</v>
      </c>
      <c r="H338" s="85">
        <v>3.5470000000000002</v>
      </c>
      <c r="I338" s="8">
        <v>0.4</v>
      </c>
      <c r="J338" s="8">
        <v>14.3</v>
      </c>
      <c r="K338" s="8">
        <v>0.11</v>
      </c>
      <c r="L338" s="8">
        <v>0.23</v>
      </c>
      <c r="M338" s="84">
        <v>6.2050999999999999E-3</v>
      </c>
      <c r="N338" s="84">
        <v>7.6322999999999998E-3</v>
      </c>
      <c r="O338" s="8" t="s">
        <v>247</v>
      </c>
      <c r="P338" s="163">
        <f t="shared" si="5"/>
        <v>0.1367413385802588</v>
      </c>
    </row>
    <row r="339" spans="1:16" x14ac:dyDescent="0.25">
      <c r="A339" s="8">
        <v>338</v>
      </c>
      <c r="B339" s="8">
        <v>7.4859999999999998</v>
      </c>
      <c r="C339" s="153">
        <v>42.194099999999999</v>
      </c>
      <c r="D339" s="85">
        <v>161.56299999999999</v>
      </c>
      <c r="E339" s="85">
        <v>-41.464399999999998</v>
      </c>
      <c r="F339" s="156" t="s">
        <v>439</v>
      </c>
      <c r="G339" s="85">
        <v>3.2000000000000001E-2</v>
      </c>
      <c r="H339" s="85">
        <v>3.593</v>
      </c>
      <c r="I339" s="8">
        <v>0.4</v>
      </c>
      <c r="J339" s="8">
        <v>46</v>
      </c>
      <c r="K339" s="8">
        <v>0.26</v>
      </c>
      <c r="L339" s="8">
        <v>0.24</v>
      </c>
      <c r="M339" s="84">
        <v>6.1619999999999999E-3</v>
      </c>
      <c r="N339" s="84">
        <v>7.6408999999999999E-3</v>
      </c>
      <c r="O339" s="8" t="s">
        <v>440</v>
      </c>
      <c r="P339" s="163">
        <f t="shared" si="5"/>
        <v>0.13579188159706015</v>
      </c>
    </row>
    <row r="340" spans="1:16" x14ac:dyDescent="0.25">
      <c r="A340" s="8">
        <v>339</v>
      </c>
      <c r="B340" s="8">
        <v>7.1470000000000002</v>
      </c>
      <c r="C340" s="153">
        <v>12.9955</v>
      </c>
      <c r="D340" s="85">
        <v>88.517700000000005</v>
      </c>
      <c r="E340" s="85">
        <v>-60.023499999999999</v>
      </c>
      <c r="F340" s="156" t="s">
        <v>394</v>
      </c>
      <c r="G340" s="85">
        <v>2.1999999999999999E-2</v>
      </c>
      <c r="H340" s="85">
        <v>1.6559999999999999</v>
      </c>
      <c r="I340" s="8">
        <v>0.4</v>
      </c>
      <c r="J340" s="8">
        <v>9.6</v>
      </c>
      <c r="K340" s="8">
        <v>0.08</v>
      </c>
      <c r="L340" s="8">
        <v>0</v>
      </c>
      <c r="M340" s="84">
        <v>6.156E-3</v>
      </c>
      <c r="N340" s="84">
        <v>6.156E-3</v>
      </c>
      <c r="O340" s="8" t="s">
        <v>395</v>
      </c>
      <c r="P340" s="163">
        <f t="shared" si="5"/>
        <v>0.13565917743821423</v>
      </c>
    </row>
    <row r="341" spans="1:16" x14ac:dyDescent="0.25">
      <c r="A341" s="8">
        <v>340</v>
      </c>
      <c r="B341" s="8">
        <v>6.74</v>
      </c>
      <c r="C341" s="153">
        <v>52.328600000000002</v>
      </c>
      <c r="D341" s="85">
        <v>287.26830000000001</v>
      </c>
      <c r="E341" s="85">
        <v>34.600499999999997</v>
      </c>
      <c r="F341" s="156" t="s">
        <v>368</v>
      </c>
      <c r="G341" s="85">
        <v>6.2919999999999998</v>
      </c>
      <c r="H341" s="85">
        <v>13.055999999999999</v>
      </c>
      <c r="I341" s="8">
        <v>0.4</v>
      </c>
      <c r="J341" s="8">
        <v>71.5</v>
      </c>
      <c r="K341" s="8">
        <v>0.32</v>
      </c>
      <c r="L341" s="8">
        <v>0.12</v>
      </c>
      <c r="M341" s="84">
        <v>6.1152000000000003E-3</v>
      </c>
      <c r="N341" s="84">
        <v>6.8490000000000001E-3</v>
      </c>
      <c r="O341" s="8" t="s">
        <v>253</v>
      </c>
      <c r="P341" s="163">
        <f t="shared" si="5"/>
        <v>0.1347606349413753</v>
      </c>
    </row>
    <row r="342" spans="1:16" x14ac:dyDescent="0.25">
      <c r="A342" s="8">
        <v>341</v>
      </c>
      <c r="B342" s="8">
        <v>5.649</v>
      </c>
      <c r="C342" s="153">
        <v>14.8126</v>
      </c>
      <c r="D342" s="85">
        <v>230.45060000000001</v>
      </c>
      <c r="E342" s="85">
        <v>-48.317599999999999</v>
      </c>
      <c r="F342" s="156" t="s">
        <v>278</v>
      </c>
      <c r="G342" s="85">
        <v>1.7000000000000001E-2</v>
      </c>
      <c r="H342" s="85">
        <v>1.556</v>
      </c>
      <c r="I342" s="8">
        <v>0.4</v>
      </c>
      <c r="J342" s="8">
        <v>11.6</v>
      </c>
      <c r="K342" s="8">
        <v>0.09</v>
      </c>
      <c r="L342" s="8">
        <v>0.18</v>
      </c>
      <c r="M342" s="84">
        <v>6.0759000000000004E-3</v>
      </c>
      <c r="N342" s="84">
        <v>7.1695999999999999E-3</v>
      </c>
      <c r="O342" s="8" t="s">
        <v>249</v>
      </c>
      <c r="P342" s="163">
        <f t="shared" si="5"/>
        <v>0.13389470420102495</v>
      </c>
    </row>
    <row r="343" spans="1:16" x14ac:dyDescent="0.25">
      <c r="A343" s="8">
        <v>342</v>
      </c>
      <c r="B343" s="8">
        <v>6.5650000000000004</v>
      </c>
      <c r="C343" s="153">
        <v>125.3133</v>
      </c>
      <c r="D343" s="85">
        <v>242.5163</v>
      </c>
      <c r="E343" s="85">
        <v>26.742699999999999</v>
      </c>
      <c r="F343" s="156" t="s">
        <v>349</v>
      </c>
      <c r="G343" s="85">
        <v>2.9</v>
      </c>
      <c r="H343" s="85">
        <v>13.029</v>
      </c>
      <c r="I343" s="8">
        <v>0.4</v>
      </c>
      <c r="J343" s="8">
        <v>176.3</v>
      </c>
      <c r="K343" s="8">
        <v>0.76</v>
      </c>
      <c r="L343" s="8">
        <v>0.11</v>
      </c>
      <c r="M343" s="84">
        <v>6.0648000000000004E-3</v>
      </c>
      <c r="N343" s="84">
        <v>6.7318999999999999E-3</v>
      </c>
      <c r="O343" s="8" t="s">
        <v>217</v>
      </c>
      <c r="P343" s="163">
        <f t="shared" si="5"/>
        <v>0.1336498917815106</v>
      </c>
    </row>
    <row r="344" spans="1:16" x14ac:dyDescent="0.25">
      <c r="A344" s="8">
        <v>343</v>
      </c>
      <c r="B344" s="8">
        <v>4.74</v>
      </c>
      <c r="C344" s="153">
        <v>8.5550999999999995</v>
      </c>
      <c r="D344" s="85">
        <v>199.60130000000001</v>
      </c>
      <c r="E344" s="85">
        <v>-18.311199999999999</v>
      </c>
      <c r="F344" s="156" t="s">
        <v>240</v>
      </c>
      <c r="G344" s="85">
        <v>1.6E-2</v>
      </c>
      <c r="H344" s="85">
        <v>1.5429999999999999</v>
      </c>
      <c r="I344" s="8">
        <v>0.4</v>
      </c>
      <c r="J344" s="8">
        <v>4.2</v>
      </c>
      <c r="K344" s="8">
        <v>0.05</v>
      </c>
      <c r="L344" s="8">
        <v>0.12</v>
      </c>
      <c r="M344" s="84">
        <v>5.8444999999999999E-3</v>
      </c>
      <c r="N344" s="84">
        <v>6.5458000000000001E-3</v>
      </c>
      <c r="O344" s="8" t="s">
        <v>241</v>
      </c>
      <c r="P344" s="163">
        <f t="shared" si="5"/>
        <v>0.12879443551202738</v>
      </c>
    </row>
    <row r="345" spans="1:16" x14ac:dyDescent="0.25">
      <c r="A345" s="8">
        <v>344</v>
      </c>
      <c r="B345" s="8">
        <v>5.15</v>
      </c>
      <c r="C345" s="153">
        <v>15.511100000000001</v>
      </c>
      <c r="D345" s="85">
        <v>266.03629999999998</v>
      </c>
      <c r="E345" s="85">
        <v>-51.834099999999999</v>
      </c>
      <c r="F345" s="156" t="s">
        <v>258</v>
      </c>
      <c r="G345" s="85">
        <v>3.3000000000000002E-2</v>
      </c>
      <c r="H345" s="85">
        <v>3.919</v>
      </c>
      <c r="I345" s="8">
        <v>0.4</v>
      </c>
      <c r="J345" s="8">
        <v>9.6</v>
      </c>
      <c r="K345" s="8">
        <v>0.09</v>
      </c>
      <c r="L345" s="8">
        <v>0.17</v>
      </c>
      <c r="M345" s="84">
        <v>5.8022999999999998E-3</v>
      </c>
      <c r="N345" s="84">
        <v>6.7886999999999999E-3</v>
      </c>
      <c r="O345" s="8" t="s">
        <v>259</v>
      </c>
      <c r="P345" s="163">
        <f t="shared" si="5"/>
        <v>0.1278651221027588</v>
      </c>
    </row>
    <row r="346" spans="1:16" x14ac:dyDescent="0.25">
      <c r="A346" s="8">
        <v>345</v>
      </c>
      <c r="B346" s="8">
        <v>10.237</v>
      </c>
      <c r="C346" s="153">
        <v>23.015000000000001</v>
      </c>
      <c r="D346" s="85">
        <v>41.678699999999999</v>
      </c>
      <c r="E346" s="85">
        <v>-23.086600000000001</v>
      </c>
      <c r="F346" s="156" t="s">
        <v>675</v>
      </c>
      <c r="G346" s="85">
        <v>0.35</v>
      </c>
      <c r="H346" s="85">
        <v>12.345000000000001</v>
      </c>
      <c r="I346" s="8">
        <v>0.4</v>
      </c>
      <c r="J346" s="8">
        <v>57.4</v>
      </c>
      <c r="K346" s="8">
        <v>0.13</v>
      </c>
      <c r="L346" s="8">
        <v>0.16</v>
      </c>
      <c r="M346" s="84">
        <v>5.6484999999999999E-3</v>
      </c>
      <c r="N346" s="84">
        <v>6.5522999999999996E-3</v>
      </c>
      <c r="O346" s="8" t="s">
        <v>676</v>
      </c>
      <c r="P346" s="163">
        <f t="shared" si="5"/>
        <v>0.1244756947924075</v>
      </c>
    </row>
    <row r="347" spans="1:16" x14ac:dyDescent="0.25">
      <c r="A347" s="8">
        <v>346</v>
      </c>
      <c r="B347" s="8">
        <v>8.3000000000000007</v>
      </c>
      <c r="C347" s="153">
        <v>42.955300000000001</v>
      </c>
      <c r="D347" s="85">
        <v>245.75059999999999</v>
      </c>
      <c r="E347" s="85">
        <v>-61.688800000000001</v>
      </c>
      <c r="F347" s="156" t="s">
        <v>574</v>
      </c>
      <c r="G347" s="85">
        <v>2.12</v>
      </c>
      <c r="H347" s="85">
        <v>12.952999999999999</v>
      </c>
      <c r="I347" s="8">
        <v>0.4</v>
      </c>
      <c r="J347" s="8">
        <v>44.2</v>
      </c>
      <c r="K347" s="8">
        <v>0.24</v>
      </c>
      <c r="L347" s="8">
        <v>0.47</v>
      </c>
      <c r="M347" s="84">
        <v>5.5871999999999996E-3</v>
      </c>
      <c r="N347" s="84">
        <v>8.2132000000000004E-3</v>
      </c>
      <c r="O347" s="8" t="s">
        <v>314</v>
      </c>
      <c r="P347" s="163">
        <f t="shared" si="5"/>
        <v>0.12312512125849286</v>
      </c>
    </row>
    <row r="348" spans="1:16" x14ac:dyDescent="0.25">
      <c r="A348" s="8">
        <v>347</v>
      </c>
      <c r="B348" s="8">
        <v>8.44</v>
      </c>
      <c r="C348" s="153">
        <v>226.75739999999999</v>
      </c>
      <c r="D348" s="85">
        <v>67.856099999999998</v>
      </c>
      <c r="E348" s="85">
        <v>4.5753000000000004</v>
      </c>
      <c r="F348" s="156" t="s">
        <v>593</v>
      </c>
      <c r="G348" s="85">
        <v>1.7</v>
      </c>
      <c r="H348" s="85">
        <v>12.923</v>
      </c>
      <c r="I348" s="8">
        <v>0.4</v>
      </c>
      <c r="J348" s="8">
        <v>387.1</v>
      </c>
      <c r="K348" s="8">
        <v>1.24</v>
      </c>
      <c r="L348" s="8">
        <v>0.17</v>
      </c>
      <c r="M348" s="84">
        <v>5.4684E-3</v>
      </c>
      <c r="N348" s="84">
        <v>6.398E-3</v>
      </c>
      <c r="O348" s="8" t="s">
        <v>343</v>
      </c>
      <c r="P348" s="163">
        <f t="shared" si="5"/>
        <v>0.12050703538748395</v>
      </c>
    </row>
    <row r="349" spans="1:16" x14ac:dyDescent="0.25">
      <c r="A349" s="8">
        <v>348</v>
      </c>
      <c r="B349" s="8">
        <v>6.5519999999999996</v>
      </c>
      <c r="C349" s="153">
        <v>22.055599999999998</v>
      </c>
      <c r="D349" s="85">
        <v>11.163600000000001</v>
      </c>
      <c r="E349" s="85">
        <v>-65.649500000000003</v>
      </c>
      <c r="F349" s="156" t="s">
        <v>347</v>
      </c>
      <c r="G349" s="85">
        <v>4.1000000000000002E-2</v>
      </c>
      <c r="H349" s="85">
        <v>5.601</v>
      </c>
      <c r="I349" s="8">
        <v>0.4</v>
      </c>
      <c r="J349" s="8">
        <v>15.6</v>
      </c>
      <c r="K349" s="8">
        <v>0.12</v>
      </c>
      <c r="L349" s="8">
        <v>0.27</v>
      </c>
      <c r="M349" s="84">
        <v>5.4408E-3</v>
      </c>
      <c r="N349" s="84">
        <v>6.9097999999999998E-3</v>
      </c>
      <c r="O349" s="8" t="s">
        <v>348</v>
      </c>
      <c r="P349" s="163">
        <f t="shared" si="5"/>
        <v>0.11989872234704428</v>
      </c>
    </row>
    <row r="350" spans="1:16" x14ac:dyDescent="0.25">
      <c r="A350" s="8">
        <v>349</v>
      </c>
      <c r="B350" s="8">
        <v>5.78</v>
      </c>
      <c r="C350" s="153">
        <v>25.779800000000002</v>
      </c>
      <c r="D350" s="85">
        <v>39.244199999999999</v>
      </c>
      <c r="E350" s="85">
        <v>-34.578000000000003</v>
      </c>
      <c r="F350" s="156" t="s">
        <v>292</v>
      </c>
      <c r="G350" s="85">
        <v>6.9000000000000006E-2</v>
      </c>
      <c r="H350" s="85">
        <v>9.282</v>
      </c>
      <c r="I350" s="8">
        <v>0.4</v>
      </c>
      <c r="J350" s="8">
        <v>17.2</v>
      </c>
      <c r="K350" s="8">
        <v>0.14000000000000001</v>
      </c>
      <c r="L350" s="8">
        <v>0.2</v>
      </c>
      <c r="M350" s="84">
        <v>5.4305999999999998E-3</v>
      </c>
      <c r="N350" s="84">
        <v>6.5167000000000003E-3</v>
      </c>
      <c r="O350" s="8" t="s">
        <v>253</v>
      </c>
      <c r="P350" s="163">
        <f t="shared" si="5"/>
        <v>0.1196742399358043</v>
      </c>
    </row>
    <row r="351" spans="1:16" x14ac:dyDescent="0.25">
      <c r="A351" s="8">
        <v>350</v>
      </c>
      <c r="B351" s="8">
        <v>8.02</v>
      </c>
      <c r="C351" s="153">
        <v>51.203299999999999</v>
      </c>
      <c r="D351" s="85">
        <v>184.80619999999999</v>
      </c>
      <c r="E351" s="85">
        <v>-3.3197999999999999</v>
      </c>
      <c r="F351" s="156" t="s">
        <v>524</v>
      </c>
      <c r="G351" s="85">
        <v>0.21</v>
      </c>
      <c r="H351" s="85">
        <v>11.741</v>
      </c>
      <c r="I351" s="8">
        <v>0.4</v>
      </c>
      <c r="J351" s="8">
        <v>48.1</v>
      </c>
      <c r="K351" s="8">
        <v>0.27</v>
      </c>
      <c r="L351" s="8">
        <v>0.05</v>
      </c>
      <c r="M351" s="84">
        <v>5.2731000000000002E-3</v>
      </c>
      <c r="N351" s="84">
        <v>5.5367999999999997E-3</v>
      </c>
      <c r="O351" s="8" t="s">
        <v>337</v>
      </c>
      <c r="P351" s="163">
        <f t="shared" si="5"/>
        <v>0.11620317609107823</v>
      </c>
    </row>
    <row r="352" spans="1:16" x14ac:dyDescent="0.25">
      <c r="A352" s="8">
        <v>351</v>
      </c>
      <c r="B352" s="8">
        <v>7.9790000000000001</v>
      </c>
      <c r="C352" s="153">
        <v>68.823099999999997</v>
      </c>
      <c r="D352" s="85">
        <v>268.4187</v>
      </c>
      <c r="E352" s="85">
        <v>56.392000000000003</v>
      </c>
      <c r="F352" s="156" t="s">
        <v>519</v>
      </c>
      <c r="G352" s="85">
        <v>0.77</v>
      </c>
      <c r="H352" s="85">
        <v>12.8</v>
      </c>
      <c r="I352" s="8">
        <v>0.4</v>
      </c>
      <c r="J352" s="8">
        <v>75.2</v>
      </c>
      <c r="K352" s="8">
        <v>0.36</v>
      </c>
      <c r="L352" s="8">
        <v>0.73</v>
      </c>
      <c r="M352" s="84">
        <v>5.2307999999999999E-3</v>
      </c>
      <c r="N352" s="84">
        <v>9.0492999999999997E-3</v>
      </c>
      <c r="O352" s="8" t="s">
        <v>321</v>
      </c>
      <c r="P352" s="163">
        <f t="shared" si="5"/>
        <v>0.11527110493122814</v>
      </c>
    </row>
    <row r="353" spans="1:16" x14ac:dyDescent="0.25">
      <c r="A353" s="8">
        <v>352</v>
      </c>
      <c r="B353" s="8">
        <v>8.76</v>
      </c>
      <c r="C353" s="153">
        <v>66.050200000000004</v>
      </c>
      <c r="D353" s="85">
        <v>188.03</v>
      </c>
      <c r="E353" s="85">
        <v>74.489599999999996</v>
      </c>
      <c r="F353" s="156" t="s">
        <v>618</v>
      </c>
      <c r="G353" s="85">
        <v>0.77</v>
      </c>
      <c r="H353" s="85">
        <v>12.8</v>
      </c>
      <c r="I353" s="8">
        <v>0.4</v>
      </c>
      <c r="J353" s="8">
        <v>68.3</v>
      </c>
      <c r="K353" s="8">
        <v>0.33</v>
      </c>
      <c r="L353" s="8">
        <v>0.12</v>
      </c>
      <c r="M353" s="84">
        <v>4.9962000000000001E-3</v>
      </c>
      <c r="N353" s="84">
        <v>5.5957000000000003E-3</v>
      </c>
      <c r="O353" s="8" t="s">
        <v>282</v>
      </c>
      <c r="P353" s="163">
        <f t="shared" si="5"/>
        <v>0.11010118389714249</v>
      </c>
    </row>
    <row r="354" spans="1:16" x14ac:dyDescent="0.25">
      <c r="A354" s="8">
        <v>353</v>
      </c>
      <c r="B354" s="8">
        <v>6.42</v>
      </c>
      <c r="C354" s="153">
        <v>120.62730000000001</v>
      </c>
      <c r="D354" s="85">
        <v>77.403000000000006</v>
      </c>
      <c r="E354" s="85">
        <v>69.639399999999995</v>
      </c>
      <c r="F354" s="156" t="s">
        <v>334</v>
      </c>
      <c r="G354" s="85">
        <v>3.04</v>
      </c>
      <c r="H354" s="85">
        <v>13.044</v>
      </c>
      <c r="I354" s="8">
        <v>0.4</v>
      </c>
      <c r="J354" s="8">
        <v>157.5</v>
      </c>
      <c r="K354" s="8">
        <v>0.59</v>
      </c>
      <c r="L354" s="8">
        <v>0.01</v>
      </c>
      <c r="M354" s="84">
        <v>4.8910999999999998E-3</v>
      </c>
      <c r="N354" s="84">
        <v>4.9399999999999999E-3</v>
      </c>
      <c r="O354" s="8" t="s">
        <v>221</v>
      </c>
      <c r="P354" s="163">
        <f t="shared" si="5"/>
        <v>0.10778506563553654</v>
      </c>
    </row>
    <row r="355" spans="1:16" x14ac:dyDescent="0.25">
      <c r="A355" s="8">
        <v>354</v>
      </c>
      <c r="B355" s="8">
        <v>8.44</v>
      </c>
      <c r="C355" s="153">
        <v>35.373199999999997</v>
      </c>
      <c r="D355" s="85">
        <v>50.012300000000003</v>
      </c>
      <c r="E355" s="85">
        <v>-28.783799999999999</v>
      </c>
      <c r="F355" s="156" t="s">
        <v>591</v>
      </c>
      <c r="G355" s="85">
        <v>3.7999999999999999E-2</v>
      </c>
      <c r="H355" s="85">
        <v>5.0010000000000003</v>
      </c>
      <c r="I355" s="8">
        <v>0.4</v>
      </c>
      <c r="J355" s="8">
        <v>29.1</v>
      </c>
      <c r="K355" s="8">
        <v>0.17</v>
      </c>
      <c r="L355" s="8">
        <v>0.11</v>
      </c>
      <c r="M355" s="84">
        <v>4.8059000000000001E-3</v>
      </c>
      <c r="N355" s="84">
        <v>5.3344999999999998E-3</v>
      </c>
      <c r="O355" s="8" t="s">
        <v>592</v>
      </c>
      <c r="P355" s="163">
        <f t="shared" si="5"/>
        <v>0.10590751008804448</v>
      </c>
    </row>
    <row r="356" spans="1:16" x14ac:dyDescent="0.25">
      <c r="A356" s="8">
        <v>355</v>
      </c>
      <c r="B356" s="8">
        <v>7.17</v>
      </c>
      <c r="C356" s="153">
        <v>37.9651</v>
      </c>
      <c r="D356" s="85">
        <v>203.10650000000001</v>
      </c>
      <c r="E356" s="85">
        <v>-47.2714</v>
      </c>
      <c r="F356" s="156" t="s">
        <v>396</v>
      </c>
      <c r="G356" s="85">
        <v>0.17799999999999999</v>
      </c>
      <c r="H356" s="85">
        <v>11.516</v>
      </c>
      <c r="I356" s="8">
        <v>0.4</v>
      </c>
      <c r="J356" s="8">
        <v>25.8</v>
      </c>
      <c r="K356" s="8">
        <v>0.18</v>
      </c>
      <c r="L356" s="8">
        <v>0.42</v>
      </c>
      <c r="M356" s="84">
        <v>4.7412000000000001E-3</v>
      </c>
      <c r="N356" s="84">
        <v>6.7324999999999998E-3</v>
      </c>
      <c r="O356" s="8" t="s">
        <v>282</v>
      </c>
      <c r="P356" s="163">
        <f t="shared" si="5"/>
        <v>0.10448167898665363</v>
      </c>
    </row>
    <row r="357" spans="1:16" x14ac:dyDescent="0.25">
      <c r="A357" s="8">
        <v>356</v>
      </c>
      <c r="B357" s="8">
        <v>6.46</v>
      </c>
      <c r="C357" s="153">
        <v>23.245000000000001</v>
      </c>
      <c r="D357" s="85">
        <v>4.6744000000000003</v>
      </c>
      <c r="E357" s="85">
        <v>-8.0530000000000008</v>
      </c>
      <c r="F357" s="156" t="s">
        <v>341</v>
      </c>
      <c r="G357" s="85">
        <v>1.9E-2</v>
      </c>
      <c r="H357" s="85">
        <v>1.599</v>
      </c>
      <c r="I357" s="8">
        <v>0.4</v>
      </c>
      <c r="J357" s="8">
        <v>13.5</v>
      </c>
      <c r="K357" s="8">
        <v>0.11</v>
      </c>
      <c r="L357" s="8">
        <v>0</v>
      </c>
      <c r="M357" s="84">
        <v>4.7321999999999998E-3</v>
      </c>
      <c r="N357" s="84">
        <v>4.7321999999999998E-3</v>
      </c>
      <c r="O357" s="8" t="s">
        <v>282</v>
      </c>
      <c r="P357" s="163">
        <f t="shared" si="5"/>
        <v>0.10428343323500452</v>
      </c>
    </row>
    <row r="358" spans="1:16" x14ac:dyDescent="0.25">
      <c r="A358" s="8">
        <v>357</v>
      </c>
      <c r="B358" s="8">
        <v>9.39</v>
      </c>
      <c r="C358" s="153">
        <v>53.134999999999998</v>
      </c>
      <c r="D358" s="85">
        <v>178.22069999999999</v>
      </c>
      <c r="E358" s="85">
        <v>-50.2928</v>
      </c>
      <c r="F358" s="156" t="s">
        <v>647</v>
      </c>
      <c r="G358" s="85">
        <v>9.8000000000000004E-2</v>
      </c>
      <c r="H358" s="85">
        <v>10.539</v>
      </c>
      <c r="I358" s="8">
        <v>0.4</v>
      </c>
      <c r="J358" s="8">
        <v>47.8</v>
      </c>
      <c r="K358" s="8">
        <v>0.25</v>
      </c>
      <c r="L358" s="8">
        <v>0</v>
      </c>
      <c r="M358" s="84">
        <v>4.705E-3</v>
      </c>
      <c r="N358" s="84">
        <v>4.705E-3</v>
      </c>
      <c r="O358" s="8" t="s">
        <v>648</v>
      </c>
      <c r="P358" s="163">
        <f t="shared" si="5"/>
        <v>0.10368394422216481</v>
      </c>
    </row>
    <row r="359" spans="1:16" x14ac:dyDescent="0.25">
      <c r="A359" s="8">
        <v>358</v>
      </c>
      <c r="B359" s="8">
        <v>7.94</v>
      </c>
      <c r="C359" s="153">
        <v>32.383400000000002</v>
      </c>
      <c r="D359" s="85">
        <v>51.802</v>
      </c>
      <c r="E359" s="85">
        <v>-58.323700000000002</v>
      </c>
      <c r="F359" s="156" t="s">
        <v>512</v>
      </c>
      <c r="G359" s="85">
        <v>3.2000000000000001E-2</v>
      </c>
      <c r="H359" s="85">
        <v>3.6859999999999999</v>
      </c>
      <c r="I359" s="8">
        <v>0.4</v>
      </c>
      <c r="J359" s="8">
        <v>22.7</v>
      </c>
      <c r="K359" s="8">
        <v>0.15</v>
      </c>
      <c r="L359" s="8">
        <v>0.26</v>
      </c>
      <c r="M359" s="84">
        <v>4.6319999999999998E-3</v>
      </c>
      <c r="N359" s="84">
        <v>5.8363E-3</v>
      </c>
      <c r="O359" s="8" t="s">
        <v>468</v>
      </c>
      <c r="P359" s="163">
        <f t="shared" si="5"/>
        <v>0.10207537892089268</v>
      </c>
    </row>
    <row r="360" spans="1:16" x14ac:dyDescent="0.25">
      <c r="A360" s="8">
        <v>359</v>
      </c>
      <c r="B360" s="8">
        <v>8.3699999999999992</v>
      </c>
      <c r="C360" s="153">
        <v>43.802</v>
      </c>
      <c r="D360" s="85">
        <v>46.908000000000001</v>
      </c>
      <c r="E360" s="85">
        <v>-72.321899999999999</v>
      </c>
      <c r="F360" s="156" t="s">
        <v>582</v>
      </c>
      <c r="G360" s="85">
        <v>4.2000000000000003E-2</v>
      </c>
      <c r="H360" s="85">
        <v>5.9930000000000003</v>
      </c>
      <c r="I360" s="8">
        <v>0.4</v>
      </c>
      <c r="J360" s="8">
        <v>33.799999999999997</v>
      </c>
      <c r="K360" s="8">
        <v>0.2</v>
      </c>
      <c r="L360" s="8">
        <v>0.16</v>
      </c>
      <c r="M360" s="84">
        <v>4.5659999999999997E-3</v>
      </c>
      <c r="N360" s="84">
        <v>5.2966000000000003E-3</v>
      </c>
      <c r="O360" s="8" t="s">
        <v>226</v>
      </c>
      <c r="P360" s="163">
        <f t="shared" si="5"/>
        <v>0.10062091002684311</v>
      </c>
    </row>
    <row r="361" spans="1:16" x14ac:dyDescent="0.25">
      <c r="A361" s="8">
        <v>360</v>
      </c>
      <c r="B361" s="8">
        <v>7.61</v>
      </c>
      <c r="C361" s="153">
        <v>64.433000000000007</v>
      </c>
      <c r="D361" s="85">
        <v>130.60470000000001</v>
      </c>
      <c r="E361" s="85">
        <v>4.5781000000000001</v>
      </c>
      <c r="F361" s="156" t="s">
        <v>458</v>
      </c>
      <c r="G361" s="85">
        <v>1.88</v>
      </c>
      <c r="H361" s="85">
        <v>12.936</v>
      </c>
      <c r="I361" s="8">
        <v>0.4</v>
      </c>
      <c r="J361" s="8">
        <v>51.7</v>
      </c>
      <c r="K361" s="8">
        <v>0.28999999999999998</v>
      </c>
      <c r="L361" s="8">
        <v>0.64</v>
      </c>
      <c r="M361" s="84">
        <v>4.5008000000000001E-3</v>
      </c>
      <c r="N361" s="84">
        <v>7.3813000000000004E-3</v>
      </c>
      <c r="O361" s="8" t="s">
        <v>331</v>
      </c>
      <c r="P361" s="163">
        <f t="shared" si="5"/>
        <v>9.9184048491361296E-2</v>
      </c>
    </row>
    <row r="362" spans="1:16" x14ac:dyDescent="0.25">
      <c r="A362" s="8">
        <v>361</v>
      </c>
      <c r="B362" s="8">
        <v>8.9700000000000006</v>
      </c>
      <c r="C362" s="153">
        <v>118.4834</v>
      </c>
      <c r="D362" s="85">
        <v>293.01729999999998</v>
      </c>
      <c r="E362" s="85">
        <v>16.474299999999999</v>
      </c>
      <c r="F362" s="156" t="s">
        <v>630</v>
      </c>
      <c r="G362" s="85">
        <v>1.08</v>
      </c>
      <c r="H362" s="85">
        <v>12.853</v>
      </c>
      <c r="I362" s="8">
        <v>0.4</v>
      </c>
      <c r="J362" s="8">
        <v>141.6</v>
      </c>
      <c r="K362" s="8">
        <v>0.53</v>
      </c>
      <c r="L362" s="8">
        <v>0.1</v>
      </c>
      <c r="M362" s="84">
        <v>4.4732000000000001E-3</v>
      </c>
      <c r="N362" s="84">
        <v>4.9205000000000004E-3</v>
      </c>
      <c r="O362" s="8" t="s">
        <v>255</v>
      </c>
      <c r="P362" s="163">
        <f t="shared" si="5"/>
        <v>9.8575853812760447E-2</v>
      </c>
    </row>
    <row r="363" spans="1:16" x14ac:dyDescent="0.25">
      <c r="A363" s="8">
        <v>362</v>
      </c>
      <c r="B363" s="8">
        <v>4.0999999999999996</v>
      </c>
      <c r="C363" s="153">
        <v>13.4916</v>
      </c>
      <c r="D363" s="85">
        <v>24.199300000000001</v>
      </c>
      <c r="E363" s="85">
        <v>41.405500000000004</v>
      </c>
      <c r="F363" s="156" t="s">
        <v>222</v>
      </c>
      <c r="G363" s="85">
        <v>0.62</v>
      </c>
      <c r="H363" s="85">
        <v>12.744999999999999</v>
      </c>
      <c r="I363" s="8">
        <v>0.4</v>
      </c>
      <c r="J363" s="8">
        <v>4.5999999999999996</v>
      </c>
      <c r="K363" s="8">
        <v>0.06</v>
      </c>
      <c r="L363" s="8">
        <v>0.01</v>
      </c>
      <c r="M363" s="84">
        <v>4.4472000000000001E-3</v>
      </c>
      <c r="N363" s="84">
        <v>4.4917000000000004E-3</v>
      </c>
      <c r="O363" s="8" t="s">
        <v>223</v>
      </c>
      <c r="P363" s="163">
        <f t="shared" si="5"/>
        <v>9.80031375299249E-2</v>
      </c>
    </row>
    <row r="364" spans="1:16" x14ac:dyDescent="0.25">
      <c r="A364" s="8">
        <v>363</v>
      </c>
      <c r="B364" s="8">
        <v>8.02</v>
      </c>
      <c r="C364" s="153">
        <v>47.370899999999999</v>
      </c>
      <c r="D364" s="85">
        <v>322.05090000000001</v>
      </c>
      <c r="E364" s="85">
        <v>-21.726299999999998</v>
      </c>
      <c r="F364" s="156" t="s">
        <v>525</v>
      </c>
      <c r="G364" s="85">
        <v>5.3999999999999999E-2</v>
      </c>
      <c r="H364" s="85">
        <v>8.3040000000000003</v>
      </c>
      <c r="I364" s="8">
        <v>0.4</v>
      </c>
      <c r="J364" s="8">
        <v>34.9</v>
      </c>
      <c r="K364" s="8">
        <v>0.21</v>
      </c>
      <c r="L364" s="8">
        <v>0.17</v>
      </c>
      <c r="M364" s="84">
        <v>4.4330999999999997E-3</v>
      </c>
      <c r="N364" s="84">
        <v>5.1866999999999998E-3</v>
      </c>
      <c r="O364" s="8" t="s">
        <v>266</v>
      </c>
      <c r="P364" s="163">
        <f t="shared" si="5"/>
        <v>9.7692189847471148E-2</v>
      </c>
    </row>
    <row r="365" spans="1:16" x14ac:dyDescent="0.25">
      <c r="A365" s="8">
        <v>364</v>
      </c>
      <c r="B365" s="8">
        <v>9.1780000000000008</v>
      </c>
      <c r="C365" s="153">
        <v>310.55900000000003</v>
      </c>
      <c r="D365" s="85">
        <v>5.3055000000000003</v>
      </c>
      <c r="E365" s="85">
        <v>-8.2812000000000001</v>
      </c>
      <c r="F365" s="156" t="s">
        <v>643</v>
      </c>
      <c r="G365" s="85">
        <v>6.1</v>
      </c>
      <c r="H365" s="85">
        <v>13.063000000000001</v>
      </c>
      <c r="I365" s="8">
        <v>0.4</v>
      </c>
      <c r="J365" s="8">
        <v>533</v>
      </c>
      <c r="K365" s="8">
        <v>1.3</v>
      </c>
      <c r="L365" s="8">
        <v>0.64</v>
      </c>
      <c r="M365" s="84">
        <v>4.1859999999999996E-3</v>
      </c>
      <c r="N365" s="84">
        <v>6.8649999999999996E-3</v>
      </c>
      <c r="O365" s="8" t="s">
        <v>208</v>
      </c>
      <c r="P365" s="163">
        <f t="shared" si="5"/>
        <v>9.2246823168778178E-2</v>
      </c>
    </row>
    <row r="366" spans="1:16" x14ac:dyDescent="0.25">
      <c r="A366" s="8">
        <v>365</v>
      </c>
      <c r="B366" s="8">
        <v>8.1300000000000008</v>
      </c>
      <c r="C366" s="153">
        <v>21.519300000000001</v>
      </c>
      <c r="D366" s="85">
        <v>340.83879999999999</v>
      </c>
      <c r="E366" s="85">
        <v>-6.4008000000000003</v>
      </c>
      <c r="F366" s="156" t="s">
        <v>554</v>
      </c>
      <c r="G366" s="85">
        <v>0.01</v>
      </c>
      <c r="H366" s="85">
        <v>1.365</v>
      </c>
      <c r="I366" s="8">
        <v>0.4</v>
      </c>
      <c r="J366" s="8">
        <v>10.9</v>
      </c>
      <c r="K366" s="8">
        <v>0.09</v>
      </c>
      <c r="L366" s="8">
        <v>0.38</v>
      </c>
      <c r="M366" s="84">
        <v>4.1822999999999999E-3</v>
      </c>
      <c r="N366" s="84">
        <v>5.7716E-3</v>
      </c>
      <c r="O366" s="8" t="s">
        <v>343</v>
      </c>
      <c r="P366" s="163">
        <f t="shared" si="5"/>
        <v>9.2165112036548674E-2</v>
      </c>
    </row>
    <row r="367" spans="1:16" x14ac:dyDescent="0.25">
      <c r="A367" s="8">
        <v>366</v>
      </c>
      <c r="B367" s="8">
        <v>8.0749999999999993</v>
      </c>
      <c r="C367" s="153">
        <v>25.9</v>
      </c>
      <c r="D367" s="85">
        <v>86.132999999999996</v>
      </c>
      <c r="E367" s="85">
        <v>-70.143600000000006</v>
      </c>
      <c r="F367" s="156" t="s">
        <v>542</v>
      </c>
      <c r="G367" s="85">
        <v>1.9E-2</v>
      </c>
      <c r="H367" s="85">
        <v>1.601</v>
      </c>
      <c r="I367" s="8">
        <v>0.4</v>
      </c>
      <c r="J367" s="8">
        <v>14</v>
      </c>
      <c r="K367" s="8">
        <v>0.1</v>
      </c>
      <c r="L367" s="8">
        <v>0.11</v>
      </c>
      <c r="M367" s="84">
        <v>3.8609999999999998E-3</v>
      </c>
      <c r="N367" s="84">
        <v>4.2856999999999999E-3</v>
      </c>
      <c r="O367" s="8" t="s">
        <v>296</v>
      </c>
      <c r="P367" s="163">
        <f t="shared" si="5"/>
        <v>8.5084886119609696E-2</v>
      </c>
    </row>
    <row r="368" spans="1:16" x14ac:dyDescent="0.25">
      <c r="A368" s="8">
        <v>367</v>
      </c>
      <c r="B368" s="8">
        <v>7.1470000000000002</v>
      </c>
      <c r="C368" s="153">
        <v>12.9955</v>
      </c>
      <c r="D368" s="85">
        <v>88.517700000000005</v>
      </c>
      <c r="E368" s="85">
        <v>-60.023499999999999</v>
      </c>
      <c r="F368" s="156" t="s">
        <v>394</v>
      </c>
      <c r="G368" s="85">
        <v>1.2999999999999999E-2</v>
      </c>
      <c r="H368" s="85">
        <v>1.4730000000000001</v>
      </c>
      <c r="I368" s="8">
        <v>0.4</v>
      </c>
      <c r="J368" s="8">
        <v>4.3</v>
      </c>
      <c r="K368" s="8">
        <v>0.05</v>
      </c>
      <c r="L368" s="8">
        <v>0</v>
      </c>
      <c r="M368" s="84">
        <v>3.8474999999999998E-3</v>
      </c>
      <c r="N368" s="84">
        <v>3.8474999999999998E-3</v>
      </c>
      <c r="O368" s="8" t="s">
        <v>395</v>
      </c>
      <c r="P368" s="163">
        <f t="shared" si="5"/>
        <v>8.4786985898883879E-2</v>
      </c>
    </row>
    <row r="369" spans="1:16" x14ac:dyDescent="0.25">
      <c r="A369" s="8">
        <v>368</v>
      </c>
      <c r="B369" s="8">
        <v>7.45</v>
      </c>
      <c r="C369" s="153">
        <v>39.698300000000003</v>
      </c>
      <c r="D369" s="85">
        <v>176.21029999999999</v>
      </c>
      <c r="E369" s="85">
        <v>-58.703699999999998</v>
      </c>
      <c r="F369" s="156" t="s">
        <v>430</v>
      </c>
      <c r="G369" s="85">
        <v>0.17199999999999999</v>
      </c>
      <c r="H369" s="85">
        <v>11.474</v>
      </c>
      <c r="I369" s="8">
        <v>0.4</v>
      </c>
      <c r="J369" s="8">
        <v>20.7</v>
      </c>
      <c r="K369" s="8">
        <v>0.15</v>
      </c>
      <c r="L369" s="8">
        <v>0.11</v>
      </c>
      <c r="M369" s="84">
        <v>3.7785000000000002E-3</v>
      </c>
      <c r="N369" s="84">
        <v>4.1941000000000001E-3</v>
      </c>
      <c r="O369" s="8" t="s">
        <v>381</v>
      </c>
      <c r="P369" s="163">
        <f t="shared" si="5"/>
        <v>8.3266734992350711E-2</v>
      </c>
    </row>
    <row r="370" spans="1:16" x14ac:dyDescent="0.25">
      <c r="A370" s="8">
        <v>369</v>
      </c>
      <c r="B370" s="8">
        <v>6.8540000000000001</v>
      </c>
      <c r="C370" s="153">
        <v>26.4971</v>
      </c>
      <c r="D370" s="85">
        <v>228.81270000000001</v>
      </c>
      <c r="E370" s="85">
        <v>-70.519599999999997</v>
      </c>
      <c r="F370" s="156" t="s">
        <v>374</v>
      </c>
      <c r="G370" s="85">
        <v>2.9000000000000001E-2</v>
      </c>
      <c r="H370" s="85">
        <v>1.774</v>
      </c>
      <c r="I370" s="8">
        <v>0.4</v>
      </c>
      <c r="J370" s="8">
        <v>12.1</v>
      </c>
      <c r="K370" s="8">
        <v>0.1</v>
      </c>
      <c r="L370" s="8">
        <v>0.15</v>
      </c>
      <c r="M370" s="84">
        <v>3.774E-3</v>
      </c>
      <c r="N370" s="84">
        <v>4.3401000000000004E-3</v>
      </c>
      <c r="O370" s="8" t="s">
        <v>375</v>
      </c>
      <c r="P370" s="163">
        <f t="shared" si="5"/>
        <v>8.3167537220974794E-2</v>
      </c>
    </row>
    <row r="371" spans="1:16" x14ac:dyDescent="0.25">
      <c r="A371" s="8">
        <v>370</v>
      </c>
      <c r="B371" s="8">
        <v>6.88</v>
      </c>
      <c r="C371" s="153">
        <v>38.520800000000001</v>
      </c>
      <c r="D371" s="85">
        <v>307.07760000000002</v>
      </c>
      <c r="E371" s="85">
        <v>18.769500000000001</v>
      </c>
      <c r="F371" s="156" t="s">
        <v>377</v>
      </c>
      <c r="G371" s="85">
        <v>3.7</v>
      </c>
      <c r="H371" s="85">
        <v>13.115</v>
      </c>
      <c r="I371" s="8">
        <v>0.4</v>
      </c>
      <c r="J371" s="8">
        <v>18.2</v>
      </c>
      <c r="K371" s="8">
        <v>0.14000000000000001</v>
      </c>
      <c r="L371" s="8">
        <v>0.01</v>
      </c>
      <c r="M371" s="84">
        <v>3.6343999999999999E-3</v>
      </c>
      <c r="N371" s="84">
        <v>3.6706999999999998E-3</v>
      </c>
      <c r="O371" s="8" t="s">
        <v>259</v>
      </c>
      <c r="P371" s="163">
        <f t="shared" si="5"/>
        <v>8.0091222682214497E-2</v>
      </c>
    </row>
    <row r="372" spans="1:16" x14ac:dyDescent="0.25">
      <c r="A372" s="8">
        <v>371</v>
      </c>
      <c r="B372" s="8">
        <v>8.35</v>
      </c>
      <c r="C372" s="153">
        <v>52.356000000000002</v>
      </c>
      <c r="D372" s="85">
        <v>23.334099999999999</v>
      </c>
      <c r="E372" s="85">
        <v>29.2651</v>
      </c>
      <c r="F372" s="156" t="s">
        <v>581</v>
      </c>
      <c r="G372" s="85">
        <v>0.7</v>
      </c>
      <c r="H372" s="85">
        <v>12.788</v>
      </c>
      <c r="I372" s="8">
        <v>0.4</v>
      </c>
      <c r="J372" s="8">
        <v>30.1</v>
      </c>
      <c r="K372" s="8">
        <v>0.19</v>
      </c>
      <c r="L372" s="8">
        <v>0.2</v>
      </c>
      <c r="M372" s="84">
        <v>3.6289999999999998E-3</v>
      </c>
      <c r="N372" s="84">
        <v>4.3547999999999998E-3</v>
      </c>
      <c r="O372" s="8" t="s">
        <v>266</v>
      </c>
      <c r="P372" s="163">
        <f t="shared" si="5"/>
        <v>7.9972252386469406E-2</v>
      </c>
    </row>
    <row r="373" spans="1:16" x14ac:dyDescent="0.25">
      <c r="A373" s="8">
        <v>372</v>
      </c>
      <c r="B373" s="8">
        <v>7.1849999999999996</v>
      </c>
      <c r="C373" s="153">
        <v>16.8095</v>
      </c>
      <c r="D373" s="85">
        <v>20.496300000000002</v>
      </c>
      <c r="E373" s="85">
        <v>76.710300000000004</v>
      </c>
      <c r="F373" s="156" t="s">
        <v>401</v>
      </c>
      <c r="G373" s="85">
        <v>2.9000000000000001E-2</v>
      </c>
      <c r="H373" s="85">
        <v>1.7709999999999999</v>
      </c>
      <c r="I373" s="8">
        <v>0.4</v>
      </c>
      <c r="J373" s="8">
        <v>5.4</v>
      </c>
      <c r="K373" s="8">
        <v>0.06</v>
      </c>
      <c r="L373" s="8">
        <v>0.17</v>
      </c>
      <c r="M373" s="84">
        <v>3.5693999999999999E-3</v>
      </c>
      <c r="N373" s="84">
        <v>4.1761999999999997E-3</v>
      </c>
      <c r="O373" s="8" t="s">
        <v>343</v>
      </c>
      <c r="P373" s="163">
        <f t="shared" si="5"/>
        <v>7.8659039846440085E-2</v>
      </c>
    </row>
    <row r="374" spans="1:16" x14ac:dyDescent="0.25">
      <c r="A374" s="8">
        <v>373</v>
      </c>
      <c r="B374" s="8">
        <v>6.18</v>
      </c>
      <c r="C374" s="153">
        <v>19.856999999999999</v>
      </c>
      <c r="D374" s="85">
        <v>344.56479999999999</v>
      </c>
      <c r="E374" s="85">
        <v>-2.3954</v>
      </c>
      <c r="F374" s="156" t="s">
        <v>315</v>
      </c>
      <c r="G374" s="85">
        <v>1.33</v>
      </c>
      <c r="H374" s="85">
        <v>12.891</v>
      </c>
      <c r="I374" s="8">
        <v>0.4</v>
      </c>
      <c r="J374" s="8">
        <v>7.1</v>
      </c>
      <c r="K374" s="8">
        <v>7.0000000000000007E-2</v>
      </c>
      <c r="L374" s="8">
        <v>0.13</v>
      </c>
      <c r="M374" s="84">
        <v>3.5252E-3</v>
      </c>
      <c r="N374" s="84">
        <v>3.9835000000000001E-3</v>
      </c>
      <c r="O374" s="8" t="s">
        <v>316</v>
      </c>
      <c r="P374" s="163">
        <f t="shared" si="5"/>
        <v>7.7684896275798165E-2</v>
      </c>
    </row>
    <row r="375" spans="1:16" x14ac:dyDescent="0.25">
      <c r="A375" s="8">
        <v>374</v>
      </c>
      <c r="B375" s="8">
        <v>8.3800000000000008</v>
      </c>
      <c r="C375" s="153">
        <v>28.645099999999999</v>
      </c>
      <c r="D375" s="85">
        <v>33.178899999999999</v>
      </c>
      <c r="E375" s="85">
        <v>-53.743899999999996</v>
      </c>
      <c r="F375" s="156" t="s">
        <v>584</v>
      </c>
      <c r="G375" s="85">
        <v>3.2000000000000001E-2</v>
      </c>
      <c r="H375" s="85">
        <v>3.7549999999999999</v>
      </c>
      <c r="I375" s="8">
        <v>0.4</v>
      </c>
      <c r="J375" s="8">
        <v>14.2</v>
      </c>
      <c r="K375" s="8">
        <v>0.1</v>
      </c>
      <c r="L375" s="8">
        <v>0.17</v>
      </c>
      <c r="M375" s="84">
        <v>3.4910000000000002E-3</v>
      </c>
      <c r="N375" s="84">
        <v>4.0844999999999996E-3</v>
      </c>
      <c r="O375" s="8" t="s">
        <v>446</v>
      </c>
      <c r="P375" s="163">
        <f t="shared" si="5"/>
        <v>7.6931082471274018E-2</v>
      </c>
    </row>
    <row r="376" spans="1:16" x14ac:dyDescent="0.25">
      <c r="A376" s="8">
        <v>375</v>
      </c>
      <c r="B376" s="8">
        <v>7.72</v>
      </c>
      <c r="C376" s="153">
        <v>41.373600000000003</v>
      </c>
      <c r="D376" s="85">
        <v>16.167300000000001</v>
      </c>
      <c r="E376" s="85">
        <v>-39.488199999999999</v>
      </c>
      <c r="F376" s="156" t="s">
        <v>474</v>
      </c>
      <c r="G376" s="85">
        <v>0.39</v>
      </c>
      <c r="H376" s="85">
        <v>12.496</v>
      </c>
      <c r="I376" s="8">
        <v>0.4</v>
      </c>
      <c r="J376" s="8">
        <v>22</v>
      </c>
      <c r="K376" s="8">
        <v>0.14000000000000001</v>
      </c>
      <c r="L376" s="8">
        <v>0.17</v>
      </c>
      <c r="M376" s="84">
        <v>3.3838000000000002E-3</v>
      </c>
      <c r="N376" s="84">
        <v>3.9589999999999998E-3</v>
      </c>
      <c r="O376" s="8" t="s">
        <v>475</v>
      </c>
      <c r="P376" s="163">
        <f t="shared" si="5"/>
        <v>7.4568758113798359E-2</v>
      </c>
    </row>
    <row r="377" spans="1:16" x14ac:dyDescent="0.25">
      <c r="A377" s="8">
        <v>376</v>
      </c>
      <c r="B377" s="8">
        <v>7.484</v>
      </c>
      <c r="C377" s="153">
        <v>38.565399999999997</v>
      </c>
      <c r="D377" s="85">
        <v>73.909899999999993</v>
      </c>
      <c r="E377" s="85">
        <v>-23.241900000000001</v>
      </c>
      <c r="F377" s="156" t="s">
        <v>438</v>
      </c>
      <c r="G377" s="85">
        <v>3.5999999999999997E-2</v>
      </c>
      <c r="H377" s="85">
        <v>4.6319999999999997</v>
      </c>
      <c r="I377" s="8">
        <v>0.4</v>
      </c>
      <c r="J377" s="8">
        <v>16.5</v>
      </c>
      <c r="K377" s="8">
        <v>0.13</v>
      </c>
      <c r="L377" s="8">
        <v>0.13</v>
      </c>
      <c r="M377" s="84">
        <v>3.3709E-3</v>
      </c>
      <c r="N377" s="84">
        <v>3.8091000000000002E-3</v>
      </c>
      <c r="O377" s="8" t="s">
        <v>282</v>
      </c>
      <c r="P377" s="163">
        <f t="shared" si="5"/>
        <v>7.4284413376945607E-2</v>
      </c>
    </row>
    <row r="378" spans="1:16" x14ac:dyDescent="0.25">
      <c r="A378" s="8">
        <v>377</v>
      </c>
      <c r="B378" s="8">
        <v>5.9379999999999997</v>
      </c>
      <c r="C378" s="153">
        <v>39.277299999999997</v>
      </c>
      <c r="D378" s="85">
        <v>86.645499999999998</v>
      </c>
      <c r="E378" s="85">
        <v>1.1681999999999999</v>
      </c>
      <c r="F378" s="156" t="s">
        <v>298</v>
      </c>
      <c r="G378" s="85">
        <v>0.78</v>
      </c>
      <c r="H378" s="85">
        <v>12.802</v>
      </c>
      <c r="I378" s="8">
        <v>0.4</v>
      </c>
      <c r="J378" s="8">
        <v>14.3</v>
      </c>
      <c r="K378" s="8">
        <v>0.13</v>
      </c>
      <c r="L378" s="8">
        <v>0.25</v>
      </c>
      <c r="M378" s="84">
        <v>3.3097999999999999E-3</v>
      </c>
      <c r="N378" s="84">
        <v>4.1373E-3</v>
      </c>
      <c r="O378" s="8" t="s">
        <v>249</v>
      </c>
      <c r="P378" s="163">
        <f t="shared" si="5"/>
        <v>7.2938010393974614E-2</v>
      </c>
    </row>
    <row r="379" spans="1:16" x14ac:dyDescent="0.25">
      <c r="A379" s="8">
        <v>378</v>
      </c>
      <c r="B379" s="8">
        <v>7.56</v>
      </c>
      <c r="C379" s="153">
        <v>561.79780000000005</v>
      </c>
      <c r="D379" s="85">
        <v>32.417400000000001</v>
      </c>
      <c r="E379" s="85">
        <v>32.316400000000002</v>
      </c>
      <c r="F379" s="156" t="s">
        <v>451</v>
      </c>
      <c r="G379" s="85">
        <v>14</v>
      </c>
      <c r="H379" s="85">
        <v>12.452999999999999</v>
      </c>
      <c r="I379" s="8">
        <v>0.4</v>
      </c>
      <c r="J379" s="8">
        <v>471.6</v>
      </c>
      <c r="K379" s="8">
        <v>1.85</v>
      </c>
      <c r="L379" s="8">
        <v>0.27</v>
      </c>
      <c r="M379" s="84">
        <v>3.2929999999999999E-3</v>
      </c>
      <c r="N379" s="84">
        <v>4.1821000000000002E-3</v>
      </c>
      <c r="O379" s="8" t="s">
        <v>452</v>
      </c>
      <c r="P379" s="163">
        <f t="shared" si="5"/>
        <v>7.2567787172201415E-2</v>
      </c>
    </row>
    <row r="380" spans="1:16" x14ac:dyDescent="0.25">
      <c r="A380" s="8">
        <v>379</v>
      </c>
      <c r="B380" s="8">
        <v>8.1300000000000008</v>
      </c>
      <c r="C380" s="153">
        <v>21.519300000000001</v>
      </c>
      <c r="D380" s="85">
        <v>340.83879999999999</v>
      </c>
      <c r="E380" s="85">
        <v>-6.4008000000000003</v>
      </c>
      <c r="F380" s="156" t="s">
        <v>554</v>
      </c>
      <c r="G380" s="85">
        <v>8.9999999999999993E-3</v>
      </c>
      <c r="H380" s="85">
        <v>1.3280000000000001</v>
      </c>
      <c r="I380" s="8">
        <v>0.4</v>
      </c>
      <c r="J380" s="8">
        <v>7.3</v>
      </c>
      <c r="K380" s="8">
        <v>7.0000000000000007E-2</v>
      </c>
      <c r="L380" s="8">
        <v>0.34</v>
      </c>
      <c r="M380" s="84">
        <v>3.2529E-3</v>
      </c>
      <c r="N380" s="84">
        <v>4.3588999999999998E-3</v>
      </c>
      <c r="O380" s="8" t="s">
        <v>343</v>
      </c>
      <c r="P380" s="163">
        <f t="shared" si="5"/>
        <v>7.1683976028426757E-2</v>
      </c>
    </row>
    <row r="381" spans="1:16" x14ac:dyDescent="0.25">
      <c r="A381" s="8">
        <v>380</v>
      </c>
      <c r="B381" s="8">
        <v>5.46</v>
      </c>
      <c r="C381" s="153">
        <v>15.607900000000001</v>
      </c>
      <c r="D381" s="85">
        <v>344.36660000000001</v>
      </c>
      <c r="E381" s="85">
        <v>20.768799999999999</v>
      </c>
      <c r="F381" s="156" t="s">
        <v>270</v>
      </c>
      <c r="G381" s="85">
        <v>0.46800000000000003</v>
      </c>
      <c r="H381" s="85">
        <v>12.582000000000001</v>
      </c>
      <c r="I381" s="8">
        <v>0.4</v>
      </c>
      <c r="J381" s="8">
        <v>4.2</v>
      </c>
      <c r="K381" s="8">
        <v>0.05</v>
      </c>
      <c r="L381" s="8">
        <v>0</v>
      </c>
      <c r="M381" s="84">
        <v>3.2035000000000002E-3</v>
      </c>
      <c r="N381" s="84">
        <v>3.2035000000000002E-3</v>
      </c>
      <c r="O381" s="8" t="s">
        <v>271</v>
      </c>
      <c r="P381" s="163">
        <f t="shared" si="5"/>
        <v>7.0595613455297981E-2</v>
      </c>
    </row>
    <row r="382" spans="1:16" x14ac:dyDescent="0.25">
      <c r="A382" s="8">
        <v>381</v>
      </c>
      <c r="B382" s="8">
        <v>4.49</v>
      </c>
      <c r="C382" s="153">
        <v>15.617699999999999</v>
      </c>
      <c r="D382" s="85">
        <v>206.81559999999999</v>
      </c>
      <c r="E382" s="85">
        <v>17.456900000000001</v>
      </c>
      <c r="F382" s="156" t="s">
        <v>230</v>
      </c>
      <c r="G382" s="85">
        <v>5.95</v>
      </c>
      <c r="H382" s="85">
        <v>13.068</v>
      </c>
      <c r="I382" s="8">
        <v>0.4</v>
      </c>
      <c r="J382" s="8">
        <v>3.3</v>
      </c>
      <c r="K382" s="8">
        <v>0.05</v>
      </c>
      <c r="L382" s="8">
        <v>0.02</v>
      </c>
      <c r="M382" s="84">
        <v>3.2014999999999999E-3</v>
      </c>
      <c r="N382" s="84">
        <v>3.2655000000000002E-3</v>
      </c>
      <c r="O382" s="8" t="s">
        <v>231</v>
      </c>
      <c r="P382" s="163">
        <f t="shared" si="5"/>
        <v>7.0551315190389471E-2</v>
      </c>
    </row>
    <row r="383" spans="1:16" x14ac:dyDescent="0.25">
      <c r="A383" s="8">
        <v>382</v>
      </c>
      <c r="B383" s="8">
        <v>8.17</v>
      </c>
      <c r="C383" s="153">
        <v>34.831099999999999</v>
      </c>
      <c r="D383" s="85">
        <v>103.7139</v>
      </c>
      <c r="E383" s="85">
        <v>-55.259300000000003</v>
      </c>
      <c r="F383" s="156" t="s">
        <v>557</v>
      </c>
      <c r="G383" s="85">
        <v>4.1000000000000002E-2</v>
      </c>
      <c r="H383" s="85">
        <v>5.7850000000000001</v>
      </c>
      <c r="I383" s="8">
        <v>0.4</v>
      </c>
      <c r="J383" s="8">
        <v>14.1</v>
      </c>
      <c r="K383" s="8">
        <v>0.11</v>
      </c>
      <c r="L383" s="8">
        <v>0.15</v>
      </c>
      <c r="M383" s="84">
        <v>3.1581000000000001E-3</v>
      </c>
      <c r="N383" s="84">
        <v>3.6318000000000001E-3</v>
      </c>
      <c r="O383" s="8" t="s">
        <v>352</v>
      </c>
      <c r="P383" s="163">
        <f t="shared" si="5"/>
        <v>6.9594942610129468E-2</v>
      </c>
    </row>
    <row r="384" spans="1:16" x14ac:dyDescent="0.25">
      <c r="A384" s="8">
        <v>383</v>
      </c>
      <c r="B384" s="8">
        <v>6.5030000000000001</v>
      </c>
      <c r="C384" s="153">
        <v>25.654199999999999</v>
      </c>
      <c r="D384" s="85">
        <v>166.9768</v>
      </c>
      <c r="E384" s="85">
        <v>-30.174600000000002</v>
      </c>
      <c r="F384" s="156" t="s">
        <v>344</v>
      </c>
      <c r="G384" s="85">
        <v>2.8000000000000001E-2</v>
      </c>
      <c r="H384" s="85">
        <v>1.7629999999999999</v>
      </c>
      <c r="I384" s="8">
        <v>0.4</v>
      </c>
      <c r="J384" s="8">
        <v>8.1</v>
      </c>
      <c r="K384" s="8">
        <v>0.08</v>
      </c>
      <c r="L384" s="8">
        <v>0.1</v>
      </c>
      <c r="M384" s="84">
        <v>3.1183999999999999E-3</v>
      </c>
      <c r="N384" s="84">
        <v>3.4302E-3</v>
      </c>
      <c r="O384" s="8" t="s">
        <v>282</v>
      </c>
      <c r="P384" s="163">
        <f t="shared" si="5"/>
        <v>6.8720086395144375E-2</v>
      </c>
    </row>
    <row r="385" spans="1:16" x14ac:dyDescent="0.25">
      <c r="A385" s="8">
        <v>384</v>
      </c>
      <c r="B385" s="8">
        <v>8.11</v>
      </c>
      <c r="C385" s="153">
        <v>251.25630000000001</v>
      </c>
      <c r="D385" s="85">
        <v>15.138299999999999</v>
      </c>
      <c r="E385" s="85">
        <v>20.2925</v>
      </c>
      <c r="F385" s="156" t="s">
        <v>551</v>
      </c>
      <c r="G385" s="85">
        <v>7.6</v>
      </c>
      <c r="H385" s="85">
        <v>12.962999999999999</v>
      </c>
      <c r="I385" s="8">
        <v>0.4</v>
      </c>
      <c r="J385" s="8">
        <v>177.1</v>
      </c>
      <c r="K385" s="8">
        <v>0.76</v>
      </c>
      <c r="L385" s="8">
        <v>7.0000000000000007E-2</v>
      </c>
      <c r="M385" s="84">
        <v>3.0247999999999998E-3</v>
      </c>
      <c r="N385" s="84">
        <v>3.2364999999999998E-3</v>
      </c>
      <c r="O385" s="8" t="s">
        <v>337</v>
      </c>
      <c r="P385" s="163">
        <f t="shared" si="5"/>
        <v>6.6657468822807514E-2</v>
      </c>
    </row>
    <row r="386" spans="1:16" x14ac:dyDescent="0.25">
      <c r="A386" s="8">
        <v>385</v>
      </c>
      <c r="B386" s="8">
        <v>8.3800000000000008</v>
      </c>
      <c r="C386" s="153">
        <v>26.759399999999999</v>
      </c>
      <c r="D386" s="85">
        <v>291.28989999999999</v>
      </c>
      <c r="E386" s="85">
        <v>-66.468800000000002</v>
      </c>
      <c r="F386" s="156" t="s">
        <v>585</v>
      </c>
      <c r="G386" s="85">
        <v>2.4E-2</v>
      </c>
      <c r="H386" s="85">
        <v>1.6930000000000001</v>
      </c>
      <c r="I386" s="8">
        <v>0.4</v>
      </c>
      <c r="J386" s="8">
        <v>9.4</v>
      </c>
      <c r="K386" s="8">
        <v>0.08</v>
      </c>
      <c r="L386" s="8">
        <v>0.4</v>
      </c>
      <c r="M386" s="84">
        <v>2.9895999999999998E-3</v>
      </c>
      <c r="N386" s="84">
        <v>4.1853999999999997E-3</v>
      </c>
      <c r="O386" s="8" t="s">
        <v>586</v>
      </c>
      <c r="P386" s="163">
        <f t="shared" ref="P386:P437" si="6">(K386*AU)/(C386*pc)/FWHMsky</f>
        <v>6.5881852373308555E-2</v>
      </c>
    </row>
    <row r="387" spans="1:16" x14ac:dyDescent="0.25">
      <c r="A387" s="8">
        <v>386</v>
      </c>
      <c r="B387" s="8">
        <v>8.02</v>
      </c>
      <c r="C387" s="153">
        <v>80.385900000000007</v>
      </c>
      <c r="D387" s="85">
        <v>94.894499999999994</v>
      </c>
      <c r="E387" s="85">
        <v>41.092300000000002</v>
      </c>
      <c r="F387" s="156" t="s">
        <v>526</v>
      </c>
      <c r="G387" s="85">
        <v>2.4900000000000002</v>
      </c>
      <c r="H387" s="85">
        <v>12.984999999999999</v>
      </c>
      <c r="I387" s="8">
        <v>0.4</v>
      </c>
      <c r="J387" s="8">
        <v>37</v>
      </c>
      <c r="K387" s="8">
        <v>0.24</v>
      </c>
      <c r="L387" s="8">
        <v>0.14000000000000001</v>
      </c>
      <c r="M387" s="84">
        <v>2.9856000000000001E-3</v>
      </c>
      <c r="N387" s="84">
        <v>3.4036000000000001E-3</v>
      </c>
      <c r="O387" s="8" t="s">
        <v>331</v>
      </c>
      <c r="P387" s="163">
        <f t="shared" si="6"/>
        <v>6.5793584710688538E-2</v>
      </c>
    </row>
    <row r="388" spans="1:16" x14ac:dyDescent="0.25">
      <c r="A388" s="8">
        <v>387</v>
      </c>
      <c r="B388" s="8">
        <v>7.407</v>
      </c>
      <c r="C388" s="153">
        <v>483.09179999999998</v>
      </c>
      <c r="D388" s="85">
        <v>166.44149999999999</v>
      </c>
      <c r="E388" s="85">
        <v>44.301600000000001</v>
      </c>
      <c r="F388" s="156" t="s">
        <v>424</v>
      </c>
      <c r="G388" s="85">
        <v>4</v>
      </c>
      <c r="H388" s="85">
        <v>13.135</v>
      </c>
      <c r="I388" s="8">
        <v>0.4</v>
      </c>
      <c r="J388" s="8">
        <v>647.29999999999995</v>
      </c>
      <c r="K388" s="8">
        <v>1.4</v>
      </c>
      <c r="L388" s="8">
        <v>0.3</v>
      </c>
      <c r="M388" s="84">
        <v>2.898E-3</v>
      </c>
      <c r="N388" s="84">
        <v>3.7674000000000002E-3</v>
      </c>
      <c r="O388" s="8" t="s">
        <v>425</v>
      </c>
      <c r="P388" s="163">
        <f t="shared" si="6"/>
        <v>6.3863182332986143E-2</v>
      </c>
    </row>
    <row r="389" spans="1:16" x14ac:dyDescent="0.25">
      <c r="A389" s="8">
        <v>388</v>
      </c>
      <c r="B389" s="8">
        <v>9.0299999999999994</v>
      </c>
      <c r="C389" s="153">
        <v>27.956399999999999</v>
      </c>
      <c r="D389" s="85">
        <v>215.3466</v>
      </c>
      <c r="E389" s="85">
        <v>-40.393900000000002</v>
      </c>
      <c r="F389" s="156" t="s">
        <v>634</v>
      </c>
      <c r="G389" s="85">
        <v>4.2000000000000003E-2</v>
      </c>
      <c r="H389" s="85">
        <v>5.9470000000000001</v>
      </c>
      <c r="I389" s="8">
        <v>0.4</v>
      </c>
      <c r="J389" s="8">
        <v>9.6999999999999993</v>
      </c>
      <c r="K389" s="8">
        <v>0.08</v>
      </c>
      <c r="L389" s="8">
        <v>0</v>
      </c>
      <c r="M389" s="84">
        <v>2.8616000000000002E-3</v>
      </c>
      <c r="N389" s="84">
        <v>2.8616000000000002E-3</v>
      </c>
      <c r="O389" s="8" t="s">
        <v>635</v>
      </c>
      <c r="P389" s="163">
        <f t="shared" si="6"/>
        <v>6.3061010730935063E-2</v>
      </c>
    </row>
    <row r="390" spans="1:16" x14ac:dyDescent="0.25">
      <c r="A390" s="8">
        <v>389</v>
      </c>
      <c r="B390" s="8">
        <v>8.0399999999999991</v>
      </c>
      <c r="C390" s="153">
        <v>31.7058</v>
      </c>
      <c r="D390" s="85">
        <v>221.88630000000001</v>
      </c>
      <c r="E390" s="85">
        <v>-0.28148000000000001</v>
      </c>
      <c r="F390" s="156" t="s">
        <v>532</v>
      </c>
      <c r="G390" s="85">
        <v>1.02</v>
      </c>
      <c r="H390" s="85">
        <v>12.843999999999999</v>
      </c>
      <c r="I390" s="8">
        <v>0.4</v>
      </c>
      <c r="J390" s="8">
        <v>10.7</v>
      </c>
      <c r="K390" s="8">
        <v>0.09</v>
      </c>
      <c r="L390" s="8">
        <v>0.04</v>
      </c>
      <c r="M390" s="84">
        <v>2.8386000000000002E-3</v>
      </c>
      <c r="N390" s="84">
        <v>2.9521E-3</v>
      </c>
      <c r="O390" s="8" t="s">
        <v>296</v>
      </c>
      <c r="P390" s="163">
        <f t="shared" si="6"/>
        <v>6.2554128753985139E-2</v>
      </c>
    </row>
    <row r="391" spans="1:16" x14ac:dyDescent="0.25">
      <c r="A391" s="8">
        <v>390</v>
      </c>
      <c r="B391" s="8">
        <v>6.3739999999999997</v>
      </c>
      <c r="C391" s="153">
        <v>21.881799999999998</v>
      </c>
      <c r="D391" s="85">
        <v>96.1828</v>
      </c>
      <c r="E391" s="85">
        <v>-28.780100000000001</v>
      </c>
      <c r="F391" s="156" t="s">
        <v>326</v>
      </c>
      <c r="G391" s="85">
        <v>0.04</v>
      </c>
      <c r="H391" s="85">
        <v>5.4850000000000003</v>
      </c>
      <c r="I391" s="8">
        <v>0.4</v>
      </c>
      <c r="J391" s="8">
        <v>5.9</v>
      </c>
      <c r="K391" s="8">
        <v>0.06</v>
      </c>
      <c r="L391" s="8">
        <v>0.3</v>
      </c>
      <c r="M391" s="84">
        <v>2.7420000000000001E-3</v>
      </c>
      <c r="N391" s="84">
        <v>3.5645999999999998E-3</v>
      </c>
      <c r="O391" s="8" t="s">
        <v>327</v>
      </c>
      <c r="P391" s="163">
        <f t="shared" si="6"/>
        <v>6.0425519395055922E-2</v>
      </c>
    </row>
    <row r="392" spans="1:16" x14ac:dyDescent="0.25">
      <c r="A392" s="8">
        <v>391</v>
      </c>
      <c r="B392" s="8">
        <v>9.42</v>
      </c>
      <c r="C392" s="153">
        <v>43.878900000000002</v>
      </c>
      <c r="D392" s="85">
        <v>65.195999999999998</v>
      </c>
      <c r="E392" s="85">
        <v>-59.410800000000002</v>
      </c>
      <c r="F392" s="156" t="s">
        <v>651</v>
      </c>
      <c r="G392" s="85">
        <v>0.62</v>
      </c>
      <c r="H392" s="85">
        <v>12.744999999999999</v>
      </c>
      <c r="I392" s="8">
        <v>0.4</v>
      </c>
      <c r="J392" s="8">
        <v>18</v>
      </c>
      <c r="K392" s="8">
        <v>0.12</v>
      </c>
      <c r="L392" s="8">
        <v>0.05</v>
      </c>
      <c r="M392" s="84">
        <v>2.7347999999999999E-3</v>
      </c>
      <c r="N392" s="84">
        <v>2.8714999999999999E-3</v>
      </c>
      <c r="O392" s="8" t="s">
        <v>446</v>
      </c>
      <c r="P392" s="163">
        <f t="shared" si="6"/>
        <v>6.0266740064073378E-2</v>
      </c>
    </row>
    <row r="393" spans="1:16" x14ac:dyDescent="0.25">
      <c r="A393" s="8">
        <v>392</v>
      </c>
      <c r="B393" s="8">
        <v>8.9600000000000009</v>
      </c>
      <c r="C393" s="153">
        <v>25.920200000000001</v>
      </c>
      <c r="D393" s="85">
        <v>176.17070000000001</v>
      </c>
      <c r="E393" s="85">
        <v>30.959299999999999</v>
      </c>
      <c r="F393" s="156" t="s">
        <v>628</v>
      </c>
      <c r="G393" s="85">
        <v>3.5999999999999997E-2</v>
      </c>
      <c r="H393" s="85">
        <v>4.5620000000000003</v>
      </c>
      <c r="I393" s="8">
        <v>0.4</v>
      </c>
      <c r="J393" s="8">
        <v>8.1</v>
      </c>
      <c r="K393" s="8">
        <v>7.0000000000000007E-2</v>
      </c>
      <c r="L393" s="8">
        <v>0.19</v>
      </c>
      <c r="M393" s="84">
        <v>2.7006E-3</v>
      </c>
      <c r="N393" s="84">
        <v>3.2136999999999999E-3</v>
      </c>
      <c r="O393" s="8" t="s">
        <v>629</v>
      </c>
      <c r="P393" s="163">
        <f t="shared" si="6"/>
        <v>5.9513004735631821E-2</v>
      </c>
    </row>
    <row r="394" spans="1:16" x14ac:dyDescent="0.25">
      <c r="A394" s="8">
        <v>393</v>
      </c>
      <c r="B394" s="8">
        <v>7.0030000000000001</v>
      </c>
      <c r="C394" s="153">
        <v>38.0807</v>
      </c>
      <c r="D394" s="85">
        <v>186.44280000000001</v>
      </c>
      <c r="E394" s="85">
        <v>-64.022099999999995</v>
      </c>
      <c r="F394" s="156" t="s">
        <v>384</v>
      </c>
      <c r="G394" s="85">
        <v>0.26100000000000001</v>
      </c>
      <c r="H394" s="85">
        <v>12.01</v>
      </c>
      <c r="I394" s="8">
        <v>0.4</v>
      </c>
      <c r="J394" s="8">
        <v>10.9</v>
      </c>
      <c r="K394" s="8">
        <v>0.1</v>
      </c>
      <c r="L394" s="8">
        <v>0.53</v>
      </c>
      <c r="M394" s="84">
        <v>2.6259999999999999E-3</v>
      </c>
      <c r="N394" s="84">
        <v>4.0178000000000002E-3</v>
      </c>
      <c r="O394" s="8" t="s">
        <v>385</v>
      </c>
      <c r="P394" s="163">
        <f t="shared" si="6"/>
        <v>5.7869171273056713E-2</v>
      </c>
    </row>
    <row r="395" spans="1:16" x14ac:dyDescent="0.25">
      <c r="A395" s="8">
        <v>394</v>
      </c>
      <c r="B395" s="8">
        <v>7.4859999999999998</v>
      </c>
      <c r="C395" s="153">
        <v>42.194099999999999</v>
      </c>
      <c r="D395" s="85">
        <v>161.56299999999999</v>
      </c>
      <c r="E395" s="85">
        <v>-41.464399999999998</v>
      </c>
      <c r="F395" s="156" t="s">
        <v>439</v>
      </c>
      <c r="G395" s="85">
        <v>2.5999999999999999E-2</v>
      </c>
      <c r="H395" s="85">
        <v>1.732</v>
      </c>
      <c r="I395" s="8">
        <v>0.4</v>
      </c>
      <c r="J395" s="8">
        <v>13.2</v>
      </c>
      <c r="K395" s="8">
        <v>0.11</v>
      </c>
      <c r="L395" s="8">
        <v>0.15</v>
      </c>
      <c r="M395" s="84">
        <v>2.6069999999999999E-3</v>
      </c>
      <c r="N395" s="84">
        <v>2.9979999999999998E-3</v>
      </c>
      <c r="O395" s="8" t="s">
        <v>440</v>
      </c>
      <c r="P395" s="163">
        <f t="shared" si="6"/>
        <v>5.7450411444910067E-2</v>
      </c>
    </row>
    <row r="396" spans="1:16" x14ac:dyDescent="0.25">
      <c r="A396" s="8">
        <v>395</v>
      </c>
      <c r="B396" s="8">
        <v>6.46</v>
      </c>
      <c r="C396" s="153">
        <v>23.245000000000001</v>
      </c>
      <c r="D396" s="85">
        <v>4.6744000000000003</v>
      </c>
      <c r="E396" s="85">
        <v>-8.0530000000000008</v>
      </c>
      <c r="F396" s="156" t="s">
        <v>341</v>
      </c>
      <c r="G396" s="85">
        <v>2.4E-2</v>
      </c>
      <c r="H396" s="85">
        <v>1.6950000000000001</v>
      </c>
      <c r="I396" s="8">
        <v>0.4</v>
      </c>
      <c r="J396" s="8">
        <v>5.8</v>
      </c>
      <c r="K396" s="8">
        <v>0.06</v>
      </c>
      <c r="L396" s="8">
        <v>0.14000000000000001</v>
      </c>
      <c r="M396" s="84">
        <v>2.5812000000000001E-3</v>
      </c>
      <c r="N396" s="84">
        <v>2.9426000000000001E-3</v>
      </c>
      <c r="O396" s="8" t="s">
        <v>282</v>
      </c>
      <c r="P396" s="163">
        <f t="shared" si="6"/>
        <v>5.6881872673638825E-2</v>
      </c>
    </row>
    <row r="397" spans="1:16" x14ac:dyDescent="0.25">
      <c r="A397" s="8">
        <v>396</v>
      </c>
      <c r="B397" s="8">
        <v>8.7100000000000009</v>
      </c>
      <c r="C397" s="153">
        <v>243.9024</v>
      </c>
      <c r="D397" s="85">
        <v>176.59809999999999</v>
      </c>
      <c r="E397" s="85">
        <v>14.124000000000001</v>
      </c>
      <c r="F397" s="156" t="s">
        <v>614</v>
      </c>
      <c r="G397" s="85">
        <v>5.9</v>
      </c>
      <c r="H397" s="85">
        <v>13.07</v>
      </c>
      <c r="I397" s="8">
        <v>0.4</v>
      </c>
      <c r="J397" s="8">
        <v>127.6</v>
      </c>
      <c r="K397" s="8">
        <v>0.61</v>
      </c>
      <c r="L397" s="8">
        <v>0.05</v>
      </c>
      <c r="M397" s="84">
        <v>2.5010000000000002E-3</v>
      </c>
      <c r="N397" s="84">
        <v>2.6259999999999999E-3</v>
      </c>
      <c r="O397" s="8" t="s">
        <v>425</v>
      </c>
      <c r="P397" s="163">
        <f t="shared" si="6"/>
        <v>5.5114509566273791E-2</v>
      </c>
    </row>
    <row r="398" spans="1:16" x14ac:dyDescent="0.25">
      <c r="A398" s="8">
        <v>397</v>
      </c>
      <c r="B398" s="8">
        <v>9.1199999999999992</v>
      </c>
      <c r="C398" s="153">
        <v>29.429099999999998</v>
      </c>
      <c r="D398" s="85">
        <v>267.65980000000002</v>
      </c>
      <c r="E398" s="85">
        <v>-40.318399999999997</v>
      </c>
      <c r="F398" s="156" t="s">
        <v>639</v>
      </c>
      <c r="G398" s="85">
        <v>14.4</v>
      </c>
      <c r="H398" s="85">
        <v>12.422000000000001</v>
      </c>
      <c r="I398" s="8">
        <v>0.4</v>
      </c>
      <c r="J398" s="8">
        <v>8.4</v>
      </c>
      <c r="K398" s="8">
        <v>7.0000000000000007E-2</v>
      </c>
      <c r="L398" s="8">
        <v>0.28000000000000003</v>
      </c>
      <c r="M398" s="84">
        <v>2.3785999999999998E-3</v>
      </c>
      <c r="N398" s="84">
        <v>3.0446000000000002E-3</v>
      </c>
      <c r="O398" s="8" t="s">
        <v>429</v>
      </c>
      <c r="P398" s="163">
        <f t="shared" si="6"/>
        <v>5.2417130844929813E-2</v>
      </c>
    </row>
    <row r="399" spans="1:16" x14ac:dyDescent="0.25">
      <c r="A399" s="8">
        <v>398</v>
      </c>
      <c r="B399" s="8">
        <v>8.2200000000000006</v>
      </c>
      <c r="C399" s="153">
        <v>98.425200000000004</v>
      </c>
      <c r="D399" s="85">
        <v>359.97430000000003</v>
      </c>
      <c r="E399" s="85">
        <v>-22.428100000000001</v>
      </c>
      <c r="F399" s="156" t="s">
        <v>564</v>
      </c>
      <c r="G399" s="85">
        <v>0.71</v>
      </c>
      <c r="H399" s="85">
        <v>12.79</v>
      </c>
      <c r="I399" s="8">
        <v>0.4</v>
      </c>
      <c r="J399" s="8">
        <v>26.7</v>
      </c>
      <c r="K399" s="8">
        <v>0.23</v>
      </c>
      <c r="L399" s="8">
        <v>0.05</v>
      </c>
      <c r="M399" s="84">
        <v>2.3368E-3</v>
      </c>
      <c r="N399" s="84">
        <v>2.4535999999999998E-3</v>
      </c>
      <c r="O399" s="8" t="s">
        <v>247</v>
      </c>
      <c r="P399" s="163">
        <f t="shared" si="6"/>
        <v>5.1496026080161884E-2</v>
      </c>
    </row>
    <row r="400" spans="1:16" x14ac:dyDescent="0.25">
      <c r="A400" s="8">
        <v>399</v>
      </c>
      <c r="B400" s="8">
        <v>8.3699999999999992</v>
      </c>
      <c r="C400" s="153">
        <v>43.802</v>
      </c>
      <c r="D400" s="85">
        <v>46.908000000000001</v>
      </c>
      <c r="E400" s="85">
        <v>-72.321899999999999</v>
      </c>
      <c r="F400" s="156" t="s">
        <v>582</v>
      </c>
      <c r="G400" s="85">
        <v>3.7999999999999999E-2</v>
      </c>
      <c r="H400" s="85">
        <v>4.9779999999999998</v>
      </c>
      <c r="I400" s="8">
        <v>0.4</v>
      </c>
      <c r="J400" s="8">
        <v>11.8</v>
      </c>
      <c r="K400" s="8">
        <v>0.1</v>
      </c>
      <c r="L400" s="8">
        <v>0.4</v>
      </c>
      <c r="M400" s="84">
        <v>2.2829999999999999E-3</v>
      </c>
      <c r="N400" s="84">
        <v>3.1962000000000002E-3</v>
      </c>
      <c r="O400" s="8" t="s">
        <v>226</v>
      </c>
      <c r="P400" s="163">
        <f t="shared" si="6"/>
        <v>5.0310455013421553E-2</v>
      </c>
    </row>
    <row r="401" spans="1:16" x14ac:dyDescent="0.25">
      <c r="A401" s="8">
        <v>400</v>
      </c>
      <c r="B401" s="8">
        <v>8.42</v>
      </c>
      <c r="C401" s="153">
        <v>24.473800000000001</v>
      </c>
      <c r="D401" s="85">
        <v>259.4187</v>
      </c>
      <c r="E401" s="85">
        <v>29.2272</v>
      </c>
      <c r="F401" s="156" t="s">
        <v>590</v>
      </c>
      <c r="G401" s="85">
        <v>1.2999999999999999E-2</v>
      </c>
      <c r="H401" s="85">
        <v>1.47</v>
      </c>
      <c r="I401" s="8">
        <v>0.4</v>
      </c>
      <c r="J401" s="8">
        <v>4.5999999999999996</v>
      </c>
      <c r="K401" s="8">
        <v>0.05</v>
      </c>
      <c r="L401" s="8">
        <v>0</v>
      </c>
      <c r="M401" s="84">
        <v>2.0430000000000001E-3</v>
      </c>
      <c r="N401" s="84">
        <v>2.0430000000000001E-3</v>
      </c>
      <c r="O401" s="8" t="s">
        <v>425</v>
      </c>
      <c r="P401" s="163">
        <f t="shared" si="6"/>
        <v>4.5021585338155312E-2</v>
      </c>
    </row>
    <row r="402" spans="1:16" x14ac:dyDescent="0.25">
      <c r="A402" s="8">
        <v>401</v>
      </c>
      <c r="B402" s="8">
        <v>8.0749999999999993</v>
      </c>
      <c r="C402" s="153">
        <v>25.9</v>
      </c>
      <c r="D402" s="85">
        <v>86.132999999999996</v>
      </c>
      <c r="E402" s="85">
        <v>-70.143600000000006</v>
      </c>
      <c r="F402" s="156" t="s">
        <v>542</v>
      </c>
      <c r="G402" s="85">
        <v>1.2E-2</v>
      </c>
      <c r="H402" s="85">
        <v>1.43</v>
      </c>
      <c r="I402" s="8">
        <v>0.4</v>
      </c>
      <c r="J402" s="8">
        <v>5.6</v>
      </c>
      <c r="K402" s="8">
        <v>0.05</v>
      </c>
      <c r="L402" s="8">
        <v>0.2</v>
      </c>
      <c r="M402" s="84">
        <v>1.9304999999999999E-3</v>
      </c>
      <c r="N402" s="84">
        <v>2.3165999999999998E-3</v>
      </c>
      <c r="O402" s="8" t="s">
        <v>296</v>
      </c>
      <c r="P402" s="163">
        <f t="shared" si="6"/>
        <v>4.2542443059804848E-2</v>
      </c>
    </row>
    <row r="403" spans="1:16" x14ac:dyDescent="0.25">
      <c r="A403" s="8">
        <v>402</v>
      </c>
      <c r="B403" s="8">
        <v>10.042</v>
      </c>
      <c r="C403" s="153">
        <v>10.4145</v>
      </c>
      <c r="D403" s="85">
        <v>33.087499999999999</v>
      </c>
      <c r="E403" s="85">
        <v>3.5756000000000001</v>
      </c>
      <c r="F403" s="156" t="s">
        <v>670</v>
      </c>
      <c r="G403" s="85">
        <v>2.1000000000000001E-2</v>
      </c>
      <c r="H403" s="85">
        <v>1.645</v>
      </c>
      <c r="I403" s="8">
        <v>0.4</v>
      </c>
      <c r="J403" s="8">
        <v>1.9</v>
      </c>
      <c r="K403" s="8">
        <v>0.02</v>
      </c>
      <c r="L403" s="8">
        <v>0.21</v>
      </c>
      <c r="M403" s="84">
        <v>1.9204000000000001E-3</v>
      </c>
      <c r="N403" s="84">
        <v>2.3237000000000002E-3</v>
      </c>
      <c r="O403" s="8" t="s">
        <v>671</v>
      </c>
      <c r="P403" s="163">
        <f t="shared" si="6"/>
        <v>4.2319814691015235E-2</v>
      </c>
    </row>
    <row r="404" spans="1:16" x14ac:dyDescent="0.25">
      <c r="A404" s="8">
        <v>403</v>
      </c>
      <c r="B404" s="8">
        <v>6.2539999999999996</v>
      </c>
      <c r="C404" s="153">
        <v>27.548200000000001</v>
      </c>
      <c r="D404" s="85">
        <v>288.88850000000002</v>
      </c>
      <c r="E404" s="85">
        <v>-24.179400000000001</v>
      </c>
      <c r="F404" s="156" t="s">
        <v>317</v>
      </c>
      <c r="G404" s="85">
        <v>0.95</v>
      </c>
      <c r="H404" s="85">
        <v>12.833</v>
      </c>
      <c r="I404" s="8">
        <v>0.4</v>
      </c>
      <c r="J404" s="8">
        <v>3.1</v>
      </c>
      <c r="K404" s="8">
        <v>0.05</v>
      </c>
      <c r="L404" s="8">
        <v>0.02</v>
      </c>
      <c r="M404" s="84">
        <v>1.815E-3</v>
      </c>
      <c r="N404" s="84">
        <v>1.8513E-3</v>
      </c>
      <c r="O404" s="8" t="s">
        <v>255</v>
      </c>
      <c r="P404" s="163">
        <f t="shared" si="6"/>
        <v>3.9997142290565099E-2</v>
      </c>
    </row>
    <row r="405" spans="1:16" x14ac:dyDescent="0.25">
      <c r="A405" s="8">
        <v>404</v>
      </c>
      <c r="B405" s="8">
        <v>8.0399999999999991</v>
      </c>
      <c r="C405" s="153">
        <v>94.162000000000006</v>
      </c>
      <c r="D405" s="85">
        <v>77.004199999999997</v>
      </c>
      <c r="E405" s="85">
        <v>-26.797499999999999</v>
      </c>
      <c r="F405" s="156" t="s">
        <v>533</v>
      </c>
      <c r="G405" s="85">
        <v>0.33</v>
      </c>
      <c r="H405" s="85">
        <v>12.27</v>
      </c>
      <c r="I405" s="8">
        <v>0.4</v>
      </c>
      <c r="J405" s="8">
        <v>18.2</v>
      </c>
      <c r="K405" s="8">
        <v>0.17</v>
      </c>
      <c r="L405" s="8">
        <v>0.48</v>
      </c>
      <c r="M405" s="84">
        <v>1.8054E-3</v>
      </c>
      <c r="N405" s="84">
        <v>2.6719999999999999E-3</v>
      </c>
      <c r="O405" s="8" t="s">
        <v>249</v>
      </c>
      <c r="P405" s="163">
        <f t="shared" si="6"/>
        <v>3.9785556125044225E-2</v>
      </c>
    </row>
    <row r="406" spans="1:16" x14ac:dyDescent="0.25">
      <c r="A406" s="8">
        <v>405</v>
      </c>
      <c r="B406" s="8">
        <v>6.36</v>
      </c>
      <c r="C406" s="153">
        <v>29.146000000000001</v>
      </c>
      <c r="D406" s="85">
        <v>131.91829999999999</v>
      </c>
      <c r="E406" s="85">
        <v>-41.736800000000002</v>
      </c>
      <c r="F406" s="156" t="s">
        <v>324</v>
      </c>
      <c r="G406" s="85">
        <v>0.42</v>
      </c>
      <c r="H406" s="85">
        <v>12.53</v>
      </c>
      <c r="I406" s="8">
        <v>0.4</v>
      </c>
      <c r="J406" s="8">
        <v>3.5</v>
      </c>
      <c r="K406" s="8">
        <v>0.05</v>
      </c>
      <c r="L406" s="8">
        <v>0.02</v>
      </c>
      <c r="M406" s="84">
        <v>1.7155E-3</v>
      </c>
      <c r="N406" s="84">
        <v>1.7497999999999999E-3</v>
      </c>
      <c r="O406" s="8" t="s">
        <v>325</v>
      </c>
      <c r="P406" s="163">
        <f t="shared" si="6"/>
        <v>3.7804476609104014E-2</v>
      </c>
    </row>
    <row r="407" spans="1:16" x14ac:dyDescent="0.25">
      <c r="A407" s="8">
        <v>406</v>
      </c>
      <c r="B407" s="8">
        <v>8.06</v>
      </c>
      <c r="C407" s="153">
        <v>29.638400000000001</v>
      </c>
      <c r="D407" s="85">
        <v>176.42619999999999</v>
      </c>
      <c r="E407" s="85">
        <v>2.8214999999999999</v>
      </c>
      <c r="F407" s="156" t="s">
        <v>535</v>
      </c>
      <c r="G407" s="85">
        <v>0.45</v>
      </c>
      <c r="H407" s="85">
        <v>12.563000000000001</v>
      </c>
      <c r="I407" s="8">
        <v>0.4</v>
      </c>
      <c r="J407" s="8">
        <v>4.0999999999999996</v>
      </c>
      <c r="K407" s="8">
        <v>0.05</v>
      </c>
      <c r="L407" s="8">
        <v>0</v>
      </c>
      <c r="M407" s="84">
        <v>1.6869999999999999E-3</v>
      </c>
      <c r="N407" s="84">
        <v>1.6869999999999999E-3</v>
      </c>
      <c r="O407" s="8" t="s">
        <v>296</v>
      </c>
      <c r="P407" s="163">
        <f t="shared" si="6"/>
        <v>3.7176408822640408E-2</v>
      </c>
    </row>
    <row r="408" spans="1:16" x14ac:dyDescent="0.25">
      <c r="A408" s="8">
        <v>407</v>
      </c>
      <c r="B408" s="8">
        <v>7.96</v>
      </c>
      <c r="C408" s="153">
        <v>65.530799999999999</v>
      </c>
      <c r="D408" s="85">
        <v>287.791</v>
      </c>
      <c r="E408" s="85">
        <v>-2.6383999999999999</v>
      </c>
      <c r="F408" s="156" t="s">
        <v>515</v>
      </c>
      <c r="G408" s="85">
        <v>0.08</v>
      </c>
      <c r="H408" s="85">
        <v>9.9990000000000006</v>
      </c>
      <c r="I408" s="8">
        <v>0.4</v>
      </c>
      <c r="J408" s="8">
        <v>14.5</v>
      </c>
      <c r="K408" s="8">
        <v>0.11</v>
      </c>
      <c r="L408" s="8">
        <v>0.12</v>
      </c>
      <c r="M408" s="84">
        <v>1.6785999999999999E-3</v>
      </c>
      <c r="N408" s="84">
        <v>1.8799999999999999E-3</v>
      </c>
      <c r="O408" s="8" t="s">
        <v>337</v>
      </c>
      <c r="P408" s="163">
        <f t="shared" si="6"/>
        <v>3.6991283572727331E-2</v>
      </c>
    </row>
    <row r="409" spans="1:16" x14ac:dyDescent="0.25">
      <c r="A409" s="8">
        <v>408</v>
      </c>
      <c r="B409" s="8">
        <v>6.2850000000000001</v>
      </c>
      <c r="C409" s="153">
        <v>24.2014</v>
      </c>
      <c r="D409" s="85">
        <v>227.68639999999999</v>
      </c>
      <c r="E409" s="85">
        <v>-61.4223</v>
      </c>
      <c r="F409" s="156" t="s">
        <v>318</v>
      </c>
      <c r="G409" s="85">
        <v>3.5000000000000003E-2</v>
      </c>
      <c r="H409" s="85">
        <v>4.3550000000000004</v>
      </c>
      <c r="I409" s="8">
        <v>0.4</v>
      </c>
      <c r="J409" s="8">
        <v>3.3</v>
      </c>
      <c r="K409" s="8">
        <v>0.04</v>
      </c>
      <c r="L409" s="8">
        <v>0.4</v>
      </c>
      <c r="M409" s="84">
        <v>1.6528000000000001E-3</v>
      </c>
      <c r="N409" s="84">
        <v>2.3138999999999998E-3</v>
      </c>
      <c r="O409" s="8" t="s">
        <v>319</v>
      </c>
      <c r="P409" s="163">
        <f t="shared" si="6"/>
        <v>3.6422662333549155E-2</v>
      </c>
    </row>
    <row r="410" spans="1:16" x14ac:dyDescent="0.25">
      <c r="A410" s="8">
        <v>409</v>
      </c>
      <c r="B410" s="8">
        <v>7.95</v>
      </c>
      <c r="C410" s="153">
        <v>42.734999999999999</v>
      </c>
      <c r="D410" s="85">
        <v>275.45740000000001</v>
      </c>
      <c r="E410" s="85">
        <v>-11.922700000000001</v>
      </c>
      <c r="F410" s="156" t="s">
        <v>513</v>
      </c>
      <c r="G410" s="85">
        <v>0.23</v>
      </c>
      <c r="H410" s="85">
        <v>11.882</v>
      </c>
      <c r="I410" s="8">
        <v>0.4</v>
      </c>
      <c r="J410" s="8">
        <v>6.4</v>
      </c>
      <c r="K410" s="8">
        <v>7.0000000000000007E-2</v>
      </c>
      <c r="L410" s="8">
        <v>0.08</v>
      </c>
      <c r="M410" s="84">
        <v>1.6379999999999999E-3</v>
      </c>
      <c r="N410" s="84">
        <v>1.769E-3</v>
      </c>
      <c r="O410" s="8" t="s">
        <v>337</v>
      </c>
      <c r="P410" s="163">
        <f t="shared" si="6"/>
        <v>3.6096618353773813E-2</v>
      </c>
    </row>
    <row r="411" spans="1:16" x14ac:dyDescent="0.25">
      <c r="A411" s="8">
        <v>410</v>
      </c>
      <c r="B411" s="8">
        <v>6.6829999999999998</v>
      </c>
      <c r="C411" s="153">
        <v>50.276499999999999</v>
      </c>
      <c r="D411" s="85">
        <v>294.2989</v>
      </c>
      <c r="E411" s="85">
        <v>28.4999</v>
      </c>
      <c r="F411" s="156" t="s">
        <v>360</v>
      </c>
      <c r="G411" s="85">
        <v>0.94</v>
      </c>
      <c r="H411" s="85">
        <v>12.831</v>
      </c>
      <c r="I411" s="8">
        <v>0.4</v>
      </c>
      <c r="J411" s="8">
        <v>6.8</v>
      </c>
      <c r="K411" s="8">
        <v>0.08</v>
      </c>
      <c r="L411" s="8">
        <v>0.3</v>
      </c>
      <c r="M411" s="84">
        <v>1.5912000000000001E-3</v>
      </c>
      <c r="N411" s="84">
        <v>2.0685999999999999E-3</v>
      </c>
      <c r="O411" s="8" t="s">
        <v>361</v>
      </c>
      <c r="P411" s="163">
        <f t="shared" si="6"/>
        <v>3.5065265887607784E-2</v>
      </c>
    </row>
    <row r="412" spans="1:16" x14ac:dyDescent="0.25">
      <c r="A412" s="8">
        <v>411</v>
      </c>
      <c r="B412" s="8">
        <v>7.32</v>
      </c>
      <c r="C412" s="153">
        <v>39.016800000000003</v>
      </c>
      <c r="D412" s="85">
        <v>24.473199999999999</v>
      </c>
      <c r="E412" s="85">
        <v>-60.511499999999998</v>
      </c>
      <c r="F412" s="156" t="s">
        <v>414</v>
      </c>
      <c r="G412" s="85">
        <v>4.1000000000000002E-2</v>
      </c>
      <c r="H412" s="85">
        <v>5.766</v>
      </c>
      <c r="I412" s="8">
        <v>0.4</v>
      </c>
      <c r="J412" s="8">
        <v>5.8</v>
      </c>
      <c r="K412" s="8">
        <v>0.06</v>
      </c>
      <c r="L412" s="8">
        <v>0.05</v>
      </c>
      <c r="M412" s="84">
        <v>1.5378E-3</v>
      </c>
      <c r="N412" s="84">
        <v>1.6146999999999999E-3</v>
      </c>
      <c r="O412" s="8" t="s">
        <v>253</v>
      </c>
      <c r="P412" s="163">
        <f t="shared" si="6"/>
        <v>3.3888456518697957E-2</v>
      </c>
    </row>
    <row r="413" spans="1:16" x14ac:dyDescent="0.25">
      <c r="A413" s="8">
        <v>412</v>
      </c>
      <c r="B413" s="8">
        <v>8.1</v>
      </c>
      <c r="C413" s="153">
        <v>44.228200000000001</v>
      </c>
      <c r="D413" s="85">
        <v>102.8771</v>
      </c>
      <c r="E413" s="85">
        <v>40.867800000000003</v>
      </c>
      <c r="F413" s="156" t="s">
        <v>548</v>
      </c>
      <c r="G413" s="85">
        <v>0.115</v>
      </c>
      <c r="H413" s="85">
        <v>10.829000000000001</v>
      </c>
      <c r="I413" s="8">
        <v>0.4</v>
      </c>
      <c r="J413" s="8">
        <v>4.9000000000000004</v>
      </c>
      <c r="K413" s="8">
        <v>0.06</v>
      </c>
      <c r="L413" s="8">
        <v>0.23</v>
      </c>
      <c r="M413" s="84">
        <v>1.3565999999999999E-3</v>
      </c>
      <c r="N413" s="84">
        <v>1.6685999999999999E-3</v>
      </c>
      <c r="O413" s="8" t="s">
        <v>331</v>
      </c>
      <c r="P413" s="163">
        <f t="shared" si="6"/>
        <v>2.9895386434418192E-2</v>
      </c>
    </row>
    <row r="414" spans="1:16" x14ac:dyDescent="0.25">
      <c r="A414" s="8">
        <v>413</v>
      </c>
      <c r="B414" s="8">
        <v>8.5</v>
      </c>
      <c r="C414" s="153">
        <v>53.447400000000002</v>
      </c>
      <c r="D414" s="85">
        <v>47.8093</v>
      </c>
      <c r="E414" s="85">
        <v>21.0974</v>
      </c>
      <c r="F414" s="156" t="s">
        <v>597</v>
      </c>
      <c r="G414" s="85">
        <v>3.88</v>
      </c>
      <c r="H414" s="85">
        <v>13.134</v>
      </c>
      <c r="I414" s="8">
        <v>0.4</v>
      </c>
      <c r="J414" s="8">
        <v>6.7</v>
      </c>
      <c r="K414" s="8">
        <v>7.0000000000000007E-2</v>
      </c>
      <c r="L414" s="8">
        <v>0.14000000000000001</v>
      </c>
      <c r="M414" s="84">
        <v>1.3097E-3</v>
      </c>
      <c r="N414" s="84">
        <v>1.4931E-3</v>
      </c>
      <c r="O414" s="8" t="s">
        <v>337</v>
      </c>
      <c r="P414" s="163">
        <f t="shared" si="6"/>
        <v>2.8861815267880644E-2</v>
      </c>
    </row>
    <row r="415" spans="1:16" x14ac:dyDescent="0.25">
      <c r="A415" s="8">
        <v>414</v>
      </c>
      <c r="B415" s="8">
        <v>8.19</v>
      </c>
      <c r="C415" s="153">
        <v>54.525599999999997</v>
      </c>
      <c r="D415" s="85">
        <v>124.5924</v>
      </c>
      <c r="E415" s="85">
        <v>61.460700000000003</v>
      </c>
      <c r="F415" s="156" t="s">
        <v>559</v>
      </c>
      <c r="G415" s="85">
        <v>1.9</v>
      </c>
      <c r="H415" s="85">
        <v>12.938000000000001</v>
      </c>
      <c r="I415" s="8">
        <v>0.4</v>
      </c>
      <c r="J415" s="8">
        <v>6.3</v>
      </c>
      <c r="K415" s="8">
        <v>7.0000000000000007E-2</v>
      </c>
      <c r="L415" s="8">
        <v>0.14000000000000001</v>
      </c>
      <c r="M415" s="84">
        <v>1.2838000000000001E-3</v>
      </c>
      <c r="N415" s="84">
        <v>1.4635E-3</v>
      </c>
      <c r="O415" s="8" t="s">
        <v>331</v>
      </c>
      <c r="P415" s="163">
        <f t="shared" si="6"/>
        <v>2.829109602367556E-2</v>
      </c>
    </row>
    <row r="416" spans="1:16" x14ac:dyDescent="0.25">
      <c r="A416" s="8">
        <v>415</v>
      </c>
      <c r="B416" s="8">
        <v>7.63</v>
      </c>
      <c r="C416" s="153">
        <v>39.588299999999997</v>
      </c>
      <c r="D416" s="85">
        <v>99.036600000000007</v>
      </c>
      <c r="E416" s="85">
        <v>-27.622299999999999</v>
      </c>
      <c r="F416" s="156" t="s">
        <v>459</v>
      </c>
      <c r="G416" s="85">
        <v>7.1999999999999995E-2</v>
      </c>
      <c r="H416" s="85">
        <v>9.4559999999999995</v>
      </c>
      <c r="I416" s="8">
        <v>0.4</v>
      </c>
      <c r="J416" s="8">
        <v>4.0999999999999996</v>
      </c>
      <c r="K416" s="8">
        <v>0.05</v>
      </c>
      <c r="L416" s="8">
        <v>0.04</v>
      </c>
      <c r="M416" s="84">
        <v>1.263E-3</v>
      </c>
      <c r="N416" s="84">
        <v>1.3135E-3</v>
      </c>
      <c r="O416" s="8" t="s">
        <v>381</v>
      </c>
      <c r="P416" s="163">
        <f t="shared" si="6"/>
        <v>2.7832699945411793E-2</v>
      </c>
    </row>
    <row r="417" spans="1:16" x14ac:dyDescent="0.25">
      <c r="A417" s="8">
        <v>416</v>
      </c>
      <c r="B417" s="8">
        <v>9.36</v>
      </c>
      <c r="C417" s="153">
        <v>34.542299999999997</v>
      </c>
      <c r="D417" s="85">
        <v>114.84099999999999</v>
      </c>
      <c r="E417" s="85">
        <v>-78.278999999999996</v>
      </c>
      <c r="F417" s="156" t="s">
        <v>645</v>
      </c>
      <c r="G417" s="85">
        <v>0.38</v>
      </c>
      <c r="H417" s="85">
        <v>12.458</v>
      </c>
      <c r="I417" s="8">
        <v>0.4</v>
      </c>
      <c r="J417" s="8">
        <v>2.8</v>
      </c>
      <c r="K417" s="8">
        <v>0.04</v>
      </c>
      <c r="L417" s="8">
        <v>0</v>
      </c>
      <c r="M417" s="84">
        <v>1.158E-3</v>
      </c>
      <c r="N417" s="84">
        <v>1.158E-3</v>
      </c>
      <c r="O417" s="8" t="s">
        <v>510</v>
      </c>
      <c r="P417" s="163">
        <f t="shared" si="6"/>
        <v>2.5518839805084098E-2</v>
      </c>
    </row>
    <row r="418" spans="1:16" x14ac:dyDescent="0.25">
      <c r="A418" s="8">
        <v>417</v>
      </c>
      <c r="B418" s="8">
        <v>7.84</v>
      </c>
      <c r="C418" s="153">
        <v>34.818899999999999</v>
      </c>
      <c r="D418" s="85">
        <v>98.302599999999998</v>
      </c>
      <c r="E418" s="85">
        <v>5.4629000000000003</v>
      </c>
      <c r="F418" s="156" t="s">
        <v>494</v>
      </c>
      <c r="G418" s="85">
        <v>0.249</v>
      </c>
      <c r="H418" s="85">
        <v>11.965</v>
      </c>
      <c r="I418" s="8">
        <v>0.4</v>
      </c>
      <c r="J418" s="8">
        <v>3</v>
      </c>
      <c r="K418" s="8">
        <v>0.04</v>
      </c>
      <c r="L418" s="8">
        <v>0.04</v>
      </c>
      <c r="M418" s="84">
        <v>1.1488E-3</v>
      </c>
      <c r="N418" s="84">
        <v>1.1948E-3</v>
      </c>
      <c r="O418" s="8" t="s">
        <v>212</v>
      </c>
      <c r="P418" s="163">
        <f t="shared" si="6"/>
        <v>2.5316119124933766E-2</v>
      </c>
    </row>
    <row r="419" spans="1:16" x14ac:dyDescent="0.25">
      <c r="A419" s="8">
        <v>418</v>
      </c>
      <c r="B419" s="8">
        <v>8.9499999999999993</v>
      </c>
      <c r="C419" s="153">
        <v>43.591999999999999</v>
      </c>
      <c r="D419" s="85">
        <v>341.65309999999999</v>
      </c>
      <c r="E419" s="85">
        <v>-56.599499999999999</v>
      </c>
      <c r="F419" s="156" t="s">
        <v>625</v>
      </c>
      <c r="G419" s="85">
        <v>0.02</v>
      </c>
      <c r="H419" s="85">
        <v>1.6259999999999999</v>
      </c>
      <c r="I419" s="8">
        <v>0.4</v>
      </c>
      <c r="J419" s="8">
        <v>3.9</v>
      </c>
      <c r="K419" s="8">
        <v>0.05</v>
      </c>
      <c r="L419" s="8">
        <v>0.16</v>
      </c>
      <c r="M419" s="84">
        <v>1.147E-3</v>
      </c>
      <c r="N419" s="84">
        <v>1.3305000000000001E-3</v>
      </c>
      <c r="O419" s="8" t="s">
        <v>429</v>
      </c>
      <c r="P419" s="163">
        <f t="shared" si="6"/>
        <v>2.52764102415339E-2</v>
      </c>
    </row>
    <row r="420" spans="1:16" x14ac:dyDescent="0.25">
      <c r="A420" s="8">
        <v>419</v>
      </c>
      <c r="B420" s="8">
        <v>8.08</v>
      </c>
      <c r="C420" s="153">
        <v>56.2746</v>
      </c>
      <c r="D420" s="85">
        <v>189.31819999999999</v>
      </c>
      <c r="E420" s="85">
        <v>-40.812100000000001</v>
      </c>
      <c r="F420" s="156" t="s">
        <v>543</v>
      </c>
      <c r="G420" s="85">
        <v>0.28000000000000003</v>
      </c>
      <c r="H420" s="85">
        <v>12.081</v>
      </c>
      <c r="I420" s="8">
        <v>0.4</v>
      </c>
      <c r="J420" s="8">
        <v>5.2</v>
      </c>
      <c r="K420" s="8">
        <v>0.06</v>
      </c>
      <c r="L420" s="8">
        <v>0.01</v>
      </c>
      <c r="M420" s="84">
        <v>1.0662E-3</v>
      </c>
      <c r="N420" s="84">
        <v>1.0769E-3</v>
      </c>
      <c r="O420" s="8" t="s">
        <v>387</v>
      </c>
      <c r="P420" s="163">
        <f t="shared" si="6"/>
        <v>2.3495842356920076E-2</v>
      </c>
    </row>
    <row r="421" spans="1:16" x14ac:dyDescent="0.25">
      <c r="A421" s="8">
        <v>420</v>
      </c>
      <c r="B421" s="8">
        <v>8.06</v>
      </c>
      <c r="C421" s="153">
        <v>37.764400000000002</v>
      </c>
      <c r="D421" s="85">
        <v>129.0959</v>
      </c>
      <c r="E421" s="85">
        <v>-30.037600000000001</v>
      </c>
      <c r="F421" s="156" t="s">
        <v>538</v>
      </c>
      <c r="G421" s="85">
        <v>1.87</v>
      </c>
      <c r="H421" s="85">
        <v>12.936</v>
      </c>
      <c r="I421" s="8">
        <v>0.4</v>
      </c>
      <c r="J421" s="8">
        <v>2.5</v>
      </c>
      <c r="K421" s="8">
        <v>0.04</v>
      </c>
      <c r="L421" s="8">
        <v>0.03</v>
      </c>
      <c r="M421" s="84">
        <v>1.0591999999999999E-3</v>
      </c>
      <c r="N421" s="84">
        <v>1.091E-3</v>
      </c>
      <c r="O421" s="8" t="s">
        <v>539</v>
      </c>
      <c r="P421" s="163">
        <f t="shared" si="6"/>
        <v>2.3341544422767379E-2</v>
      </c>
    </row>
    <row r="422" spans="1:16" x14ac:dyDescent="0.25">
      <c r="A422" s="8">
        <v>421</v>
      </c>
      <c r="B422" s="8">
        <v>8.24</v>
      </c>
      <c r="C422" s="153">
        <v>41.169199999999996</v>
      </c>
      <c r="D422" s="85">
        <v>144.29929999999999</v>
      </c>
      <c r="E422" s="85">
        <v>-43.272199999999998</v>
      </c>
      <c r="F422" s="156" t="s">
        <v>567</v>
      </c>
      <c r="G422" s="85">
        <v>0.4</v>
      </c>
      <c r="H422" s="85">
        <v>12.509</v>
      </c>
      <c r="I422" s="8">
        <v>0.4</v>
      </c>
      <c r="J422" s="8">
        <v>3</v>
      </c>
      <c r="K422" s="8">
        <v>0.04</v>
      </c>
      <c r="L422" s="8">
        <v>0.01</v>
      </c>
      <c r="M422" s="84">
        <v>9.7159999999999998E-4</v>
      </c>
      <c r="N422" s="84">
        <v>9.8131999999999994E-4</v>
      </c>
      <c r="O422" s="8" t="s">
        <v>296</v>
      </c>
      <c r="P422" s="163">
        <f t="shared" si="6"/>
        <v>2.1411137942907721E-2</v>
      </c>
    </row>
    <row r="423" spans="1:16" x14ac:dyDescent="0.25">
      <c r="A423" s="8">
        <v>422</v>
      </c>
      <c r="B423" s="8">
        <v>8.32</v>
      </c>
      <c r="C423" s="153">
        <v>54.200499999999998</v>
      </c>
      <c r="D423" s="85">
        <v>215.22300000000001</v>
      </c>
      <c r="E423" s="85">
        <v>-17.4815</v>
      </c>
      <c r="F423" s="156" t="s">
        <v>575</v>
      </c>
      <c r="G423" s="85">
        <v>5.8000000000000003E-2</v>
      </c>
      <c r="H423" s="85">
        <v>8.5649999999999995</v>
      </c>
      <c r="I423" s="8">
        <v>0.4</v>
      </c>
      <c r="J423" s="8">
        <v>4.2</v>
      </c>
      <c r="K423" s="8">
        <v>0.05</v>
      </c>
      <c r="L423" s="8">
        <v>0.27</v>
      </c>
      <c r="M423" s="84">
        <v>9.2250000000000003E-4</v>
      </c>
      <c r="N423" s="84">
        <v>1.1716000000000001E-3</v>
      </c>
      <c r="O423" s="8" t="s">
        <v>387</v>
      </c>
      <c r="P423" s="163">
        <f t="shared" si="6"/>
        <v>2.032913488342258E-2</v>
      </c>
    </row>
    <row r="424" spans="1:16" x14ac:dyDescent="0.25">
      <c r="A424" s="8">
        <v>423</v>
      </c>
      <c r="B424" s="8">
        <v>8.1300000000000008</v>
      </c>
      <c r="C424" s="153">
        <v>60.277299999999997</v>
      </c>
      <c r="D424" s="85">
        <v>133.4813</v>
      </c>
      <c r="E424" s="85">
        <v>-66.801000000000002</v>
      </c>
      <c r="F424" s="156" t="s">
        <v>555</v>
      </c>
      <c r="G424" s="85">
        <v>0.19700000000000001</v>
      </c>
      <c r="H424" s="85">
        <v>11.65</v>
      </c>
      <c r="I424" s="8">
        <v>0.4</v>
      </c>
      <c r="J424" s="8">
        <v>4</v>
      </c>
      <c r="K424" s="8">
        <v>0.05</v>
      </c>
      <c r="L424" s="8">
        <v>0</v>
      </c>
      <c r="M424" s="84">
        <v>8.2950000000000005E-4</v>
      </c>
      <c r="N424" s="84">
        <v>8.2950000000000005E-4</v>
      </c>
      <c r="O424" s="8" t="s">
        <v>381</v>
      </c>
      <c r="P424" s="163">
        <f t="shared" si="6"/>
        <v>1.8279672036553486E-2</v>
      </c>
    </row>
    <row r="425" spans="1:16" x14ac:dyDescent="0.25">
      <c r="A425" s="8">
        <v>424</v>
      </c>
      <c r="B425" s="8">
        <v>9.33</v>
      </c>
      <c r="C425" s="153">
        <v>49.603200000000001</v>
      </c>
      <c r="D425" s="85">
        <v>237.40700000000001</v>
      </c>
      <c r="E425" s="85">
        <v>-49.963500000000003</v>
      </c>
      <c r="F425" s="156" t="s">
        <v>644</v>
      </c>
      <c r="G425" s="85">
        <v>0.62</v>
      </c>
      <c r="H425" s="85">
        <v>12.744999999999999</v>
      </c>
      <c r="I425" s="8">
        <v>0.4</v>
      </c>
      <c r="J425" s="8">
        <v>3.4</v>
      </c>
      <c r="K425" s="8">
        <v>0.04</v>
      </c>
      <c r="L425" s="8">
        <v>0</v>
      </c>
      <c r="M425" s="84">
        <v>8.0639999999999998E-4</v>
      </c>
      <c r="N425" s="84">
        <v>8.0639999999999998E-4</v>
      </c>
      <c r="O425" s="8" t="s">
        <v>337</v>
      </c>
      <c r="P425" s="163">
        <f t="shared" si="6"/>
        <v>1.7770616012659592E-2</v>
      </c>
    </row>
    <row r="426" spans="1:16" x14ac:dyDescent="0.25">
      <c r="A426" s="8">
        <v>425</v>
      </c>
      <c r="B426" s="8">
        <v>7.89</v>
      </c>
      <c r="C426" s="153">
        <v>62.034700000000001</v>
      </c>
      <c r="D426" s="85">
        <v>248.21270000000001</v>
      </c>
      <c r="E426" s="85">
        <v>2.0848</v>
      </c>
      <c r="F426" s="156" t="s">
        <v>507</v>
      </c>
      <c r="G426" s="85">
        <v>1.36</v>
      </c>
      <c r="H426" s="85">
        <v>12.895</v>
      </c>
      <c r="I426" s="8">
        <v>0.4</v>
      </c>
      <c r="J426" s="8">
        <v>4.0999999999999996</v>
      </c>
      <c r="K426" s="8">
        <v>0.05</v>
      </c>
      <c r="L426" s="8">
        <v>0</v>
      </c>
      <c r="M426" s="84">
        <v>8.0599999999999997E-4</v>
      </c>
      <c r="N426" s="84">
        <v>8.0599999999999997E-4</v>
      </c>
      <c r="O426" s="8" t="s">
        <v>331</v>
      </c>
      <c r="P426" s="163">
        <f t="shared" si="6"/>
        <v>1.7761821613531546E-2</v>
      </c>
    </row>
    <row r="427" spans="1:16" x14ac:dyDescent="0.25">
      <c r="A427" s="8">
        <v>426</v>
      </c>
      <c r="B427" s="8">
        <v>9.3800000000000008</v>
      </c>
      <c r="C427" s="153">
        <v>49.9251</v>
      </c>
      <c r="D427" s="85">
        <v>7.4995000000000003</v>
      </c>
      <c r="E427" s="85">
        <v>-5.7640000000000002</v>
      </c>
      <c r="F427" s="156" t="s">
        <v>646</v>
      </c>
      <c r="G427" s="85">
        <v>0.48</v>
      </c>
      <c r="H427" s="85">
        <v>12.595000000000001</v>
      </c>
      <c r="I427" s="8">
        <v>0.4</v>
      </c>
      <c r="J427" s="8">
        <v>3.4</v>
      </c>
      <c r="K427" s="8">
        <v>0.04</v>
      </c>
      <c r="L427" s="8">
        <v>0</v>
      </c>
      <c r="M427" s="84">
        <v>8.0119999999999996E-4</v>
      </c>
      <c r="N427" s="84">
        <v>8.0119999999999996E-4</v>
      </c>
      <c r="O427" s="8" t="s">
        <v>337</v>
      </c>
      <c r="P427" s="163">
        <f t="shared" si="6"/>
        <v>1.7656037147630275E-2</v>
      </c>
    </row>
    <row r="428" spans="1:16" x14ac:dyDescent="0.25">
      <c r="A428" s="8">
        <v>427</v>
      </c>
      <c r="B428" s="8">
        <v>8.06</v>
      </c>
      <c r="C428" s="153">
        <v>88.573999999999998</v>
      </c>
      <c r="D428" s="85">
        <v>203.51060000000001</v>
      </c>
      <c r="E428" s="85">
        <v>53.728499999999997</v>
      </c>
      <c r="F428" s="156" t="s">
        <v>536</v>
      </c>
      <c r="G428" s="85">
        <v>2.13</v>
      </c>
      <c r="H428" s="85">
        <v>12.954000000000001</v>
      </c>
      <c r="I428" s="8">
        <v>0.4</v>
      </c>
      <c r="J428" s="8">
        <v>6.1</v>
      </c>
      <c r="K428" s="8">
        <v>7.0000000000000007E-2</v>
      </c>
      <c r="L428" s="8">
        <v>0.31</v>
      </c>
      <c r="M428" s="84">
        <v>7.9029999999999997E-4</v>
      </c>
      <c r="N428" s="84">
        <v>1.0353000000000001E-3</v>
      </c>
      <c r="O428" s="8" t="s">
        <v>343</v>
      </c>
      <c r="P428" s="163">
        <f t="shared" si="6"/>
        <v>1.7415821633306884E-2</v>
      </c>
    </row>
    <row r="429" spans="1:16" x14ac:dyDescent="0.25">
      <c r="A429" s="8">
        <v>428</v>
      </c>
      <c r="B429" s="8">
        <v>7.76</v>
      </c>
      <c r="C429" s="153">
        <v>54.945099999999996</v>
      </c>
      <c r="D429" s="85">
        <v>336.87880000000001</v>
      </c>
      <c r="E429" s="85">
        <v>-77.7179</v>
      </c>
      <c r="F429" s="156" t="s">
        <v>478</v>
      </c>
      <c r="G429" s="85">
        <v>0.45</v>
      </c>
      <c r="H429" s="85">
        <v>12.563000000000001</v>
      </c>
      <c r="I429" s="8">
        <v>0.4</v>
      </c>
      <c r="J429" s="8">
        <v>2.2000000000000002</v>
      </c>
      <c r="K429" s="8">
        <v>0.04</v>
      </c>
      <c r="L429" s="8">
        <v>0</v>
      </c>
      <c r="M429" s="84">
        <v>7.2800000000000002E-4</v>
      </c>
      <c r="N429" s="84">
        <v>7.2800000000000002E-4</v>
      </c>
      <c r="O429" s="8" t="s">
        <v>255</v>
      </c>
      <c r="P429" s="163">
        <f t="shared" si="6"/>
        <v>1.6042912292436567E-2</v>
      </c>
    </row>
    <row r="430" spans="1:16" x14ac:dyDescent="0.25">
      <c r="A430" s="8">
        <v>429</v>
      </c>
      <c r="B430" s="8">
        <v>8.01</v>
      </c>
      <c r="C430" s="153">
        <v>72.306600000000003</v>
      </c>
      <c r="D430" s="85">
        <v>349.69470000000001</v>
      </c>
      <c r="E430" s="85">
        <v>18.645700000000001</v>
      </c>
      <c r="F430" s="156" t="s">
        <v>523</v>
      </c>
      <c r="G430" s="85">
        <v>6.6000000000000003E-2</v>
      </c>
      <c r="H430" s="85">
        <v>9.0869999999999997</v>
      </c>
      <c r="I430" s="8">
        <v>0.4</v>
      </c>
      <c r="J430" s="8">
        <v>3.8</v>
      </c>
      <c r="K430" s="8">
        <v>0.05</v>
      </c>
      <c r="L430" s="8">
        <v>0</v>
      </c>
      <c r="M430" s="84">
        <v>6.9149999999999995E-4</v>
      </c>
      <c r="N430" s="84">
        <v>6.9149999999999995E-4</v>
      </c>
      <c r="O430" s="8" t="s">
        <v>361</v>
      </c>
      <c r="P430" s="163">
        <f t="shared" si="6"/>
        <v>1.5238571240370112E-2</v>
      </c>
    </row>
    <row r="431" spans="1:16" x14ac:dyDescent="0.25">
      <c r="A431" s="8">
        <v>430</v>
      </c>
      <c r="B431" s="8">
        <v>7.851</v>
      </c>
      <c r="C431" s="153">
        <v>126.26260000000001</v>
      </c>
      <c r="D431" s="85">
        <v>177.84379999999999</v>
      </c>
      <c r="E431" s="85">
        <v>57.640700000000002</v>
      </c>
      <c r="F431" s="156" t="s">
        <v>496</v>
      </c>
      <c r="G431" s="85">
        <v>0.96</v>
      </c>
      <c r="H431" s="85">
        <v>12.835000000000001</v>
      </c>
      <c r="I431" s="8">
        <v>0.4</v>
      </c>
      <c r="J431" s="8">
        <v>6.5</v>
      </c>
      <c r="K431" s="8">
        <v>0.08</v>
      </c>
      <c r="L431" s="8">
        <v>0.05</v>
      </c>
      <c r="M431" s="84">
        <v>6.3360000000000001E-4</v>
      </c>
      <c r="N431" s="84">
        <v>6.6527999999999997E-4</v>
      </c>
      <c r="O431" s="8" t="s">
        <v>217</v>
      </c>
      <c r="P431" s="163">
        <f t="shared" si="6"/>
        <v>1.3962636920183116E-2</v>
      </c>
    </row>
    <row r="432" spans="1:16" x14ac:dyDescent="0.25">
      <c r="A432" s="8">
        <v>431</v>
      </c>
      <c r="B432" s="8">
        <v>9.85</v>
      </c>
      <c r="C432" s="153">
        <v>111.9821</v>
      </c>
      <c r="D432" s="85">
        <v>38.545999999999999</v>
      </c>
      <c r="E432" s="85">
        <v>-12.3843</v>
      </c>
      <c r="F432" s="156" t="s">
        <v>660</v>
      </c>
      <c r="G432" s="85">
        <v>0.78</v>
      </c>
      <c r="H432" s="85">
        <v>12.802</v>
      </c>
      <c r="I432" s="8">
        <v>0.4</v>
      </c>
      <c r="J432" s="8">
        <v>6.9</v>
      </c>
      <c r="K432" s="8">
        <v>7.0000000000000007E-2</v>
      </c>
      <c r="L432" s="8">
        <v>0.35</v>
      </c>
      <c r="M432" s="84">
        <v>6.2509999999999996E-4</v>
      </c>
      <c r="N432" s="84">
        <v>8.4389000000000003E-4</v>
      </c>
      <c r="O432" s="8" t="s">
        <v>661</v>
      </c>
      <c r="P432" s="163">
        <f t="shared" si="6"/>
        <v>1.3775317531538737E-2</v>
      </c>
    </row>
    <row r="433" spans="1:16" x14ac:dyDescent="0.25">
      <c r="A433" s="8">
        <v>432</v>
      </c>
      <c r="B433" s="8">
        <v>8.06</v>
      </c>
      <c r="C433" s="153">
        <v>81.433199999999999</v>
      </c>
      <c r="D433" s="85">
        <v>152.53200000000001</v>
      </c>
      <c r="E433" s="85">
        <v>18.186900000000001</v>
      </c>
      <c r="F433" s="156" t="s">
        <v>540</v>
      </c>
      <c r="G433" s="85">
        <v>0.22</v>
      </c>
      <c r="H433" s="85">
        <v>11.811999999999999</v>
      </c>
      <c r="I433" s="8">
        <v>0.4</v>
      </c>
      <c r="J433" s="8">
        <v>3.4</v>
      </c>
      <c r="K433" s="8">
        <v>0.05</v>
      </c>
      <c r="L433" s="8">
        <v>0.13</v>
      </c>
      <c r="M433" s="84">
        <v>6.1399999999999996E-4</v>
      </c>
      <c r="N433" s="84">
        <v>6.9382000000000005E-4</v>
      </c>
      <c r="O433" s="8" t="s">
        <v>321</v>
      </c>
      <c r="P433" s="163">
        <f t="shared" si="6"/>
        <v>1.3530713213393867E-2</v>
      </c>
    </row>
    <row r="434" spans="1:16" x14ac:dyDescent="0.25">
      <c r="A434" s="8">
        <v>433</v>
      </c>
      <c r="B434" s="8">
        <v>8.6999999999999993</v>
      </c>
      <c r="C434" s="153">
        <v>95.328900000000004</v>
      </c>
      <c r="D434" s="85">
        <v>149.0247</v>
      </c>
      <c r="E434" s="85">
        <v>-3.8083999999999998</v>
      </c>
      <c r="F434" s="156" t="s">
        <v>613</v>
      </c>
      <c r="G434" s="85">
        <v>1.5</v>
      </c>
      <c r="H434" s="85">
        <v>12.909000000000001</v>
      </c>
      <c r="I434" s="8">
        <v>0.4</v>
      </c>
      <c r="J434" s="8">
        <v>2.1</v>
      </c>
      <c r="K434" s="8">
        <v>0.04</v>
      </c>
      <c r="L434" s="8">
        <v>0.01</v>
      </c>
      <c r="M434" s="84">
        <v>4.1960000000000001E-4</v>
      </c>
      <c r="N434" s="84">
        <v>4.238E-4</v>
      </c>
      <c r="O434" s="8" t="s">
        <v>366</v>
      </c>
      <c r="P434" s="163">
        <f t="shared" si="6"/>
        <v>9.2467176291676119E-3</v>
      </c>
    </row>
    <row r="435" spans="1:16" x14ac:dyDescent="0.25">
      <c r="A435" s="8">
        <v>434</v>
      </c>
      <c r="B435" s="8">
        <v>8.17</v>
      </c>
      <c r="C435" s="153">
        <v>5263.1579000000002</v>
      </c>
      <c r="D435" s="85">
        <v>348.92590000000001</v>
      </c>
      <c r="E435" s="85">
        <v>58.043199999999999</v>
      </c>
      <c r="F435" s="156" t="s">
        <v>556</v>
      </c>
      <c r="G435" s="85">
        <v>5.3</v>
      </c>
      <c r="H435" s="85">
        <v>13.09</v>
      </c>
      <c r="I435" s="8">
        <v>0.4</v>
      </c>
      <c r="J435" s="8">
        <v>745.7</v>
      </c>
      <c r="K435" s="8">
        <v>1.9</v>
      </c>
      <c r="L435" s="8">
        <v>0.4</v>
      </c>
      <c r="M435" s="84">
        <v>3.6099999999999999E-4</v>
      </c>
      <c r="N435" s="84">
        <v>5.0540000000000003E-4</v>
      </c>
      <c r="O435" s="8" t="s">
        <v>425</v>
      </c>
      <c r="P435" s="163">
        <f t="shared" si="6"/>
        <v>7.9553517593420348E-3</v>
      </c>
    </row>
    <row r="436" spans="1:16" x14ac:dyDescent="0.25">
      <c r="A436" s="8">
        <v>435</v>
      </c>
      <c r="B436" s="8">
        <v>6.86</v>
      </c>
      <c r="C436" s="153">
        <v>159.4896</v>
      </c>
      <c r="D436" s="85">
        <v>22.3843</v>
      </c>
      <c r="E436" s="85">
        <v>-9.4891000000000005</v>
      </c>
      <c r="F436" s="156" t="s">
        <v>376</v>
      </c>
      <c r="G436" s="85">
        <v>0.48</v>
      </c>
      <c r="H436" s="85">
        <v>12.595000000000001</v>
      </c>
      <c r="I436" s="8">
        <v>0.4</v>
      </c>
      <c r="J436" s="8">
        <v>3.5</v>
      </c>
      <c r="K436" s="8">
        <v>0.05</v>
      </c>
      <c r="L436" s="8">
        <v>0.05</v>
      </c>
      <c r="M436" s="84">
        <v>3.1349999999999998E-4</v>
      </c>
      <c r="N436" s="84">
        <v>3.2917999999999999E-4</v>
      </c>
      <c r="O436" s="8" t="s">
        <v>337</v>
      </c>
      <c r="P436" s="163">
        <f t="shared" si="6"/>
        <v>6.9085963927989387E-3</v>
      </c>
    </row>
    <row r="437" spans="1:16" x14ac:dyDescent="0.25">
      <c r="A437" s="8">
        <v>436</v>
      </c>
      <c r="B437" s="8">
        <v>9.9819999999999993</v>
      </c>
      <c r="C437" s="153">
        <v>5882.3528999999999</v>
      </c>
      <c r="D437" s="85">
        <v>41.905999999999999</v>
      </c>
      <c r="E437" s="85">
        <v>-36.107500000000002</v>
      </c>
      <c r="F437" s="156" t="s">
        <v>666</v>
      </c>
      <c r="G437" s="85">
        <v>1.25</v>
      </c>
      <c r="H437" s="85">
        <v>12.879</v>
      </c>
      <c r="I437" s="8">
        <v>0.4</v>
      </c>
      <c r="J437" s="8">
        <v>16.2</v>
      </c>
      <c r="K437" s="8">
        <v>0.12</v>
      </c>
      <c r="L437" s="8">
        <v>0.25</v>
      </c>
      <c r="M437" s="84">
        <v>2.0400000000000001E-5</v>
      </c>
      <c r="N437" s="84">
        <v>2.55E-5</v>
      </c>
      <c r="O437" s="8" t="s">
        <v>667</v>
      </c>
      <c r="P437" s="163">
        <f t="shared" si="6"/>
        <v>4.4955450744845133E-4</v>
      </c>
    </row>
    <row r="438" spans="1:16" x14ac:dyDescent="0.25">
      <c r="F438" s="8"/>
      <c r="M438" s="152"/>
      <c r="N438" s="152"/>
    </row>
    <row r="439" spans="1:16" x14ac:dyDescent="0.25">
      <c r="F439" s="8"/>
      <c r="M439" s="152"/>
      <c r="N439" s="152"/>
    </row>
    <row r="440" spans="1:16" x14ac:dyDescent="0.25">
      <c r="F440" s="8"/>
      <c r="M440" s="152"/>
      <c r="N440" s="152"/>
    </row>
    <row r="441" spans="1:16" s="162" customFormat="1" ht="15.75" x14ac:dyDescent="0.25">
      <c r="A441" s="159" t="s">
        <v>707</v>
      </c>
      <c r="B441" s="160"/>
      <c r="C441" s="160"/>
      <c r="D441" s="160"/>
      <c r="E441" s="160"/>
      <c r="F441" s="160"/>
      <c r="G441" s="160"/>
      <c r="H441" s="160"/>
      <c r="I441" s="160"/>
      <c r="J441" s="160"/>
      <c r="K441" s="160"/>
      <c r="L441" s="160"/>
      <c r="M441" s="161"/>
      <c r="N441" s="161"/>
      <c r="O441" s="160"/>
      <c r="P441" s="163"/>
    </row>
    <row r="442" spans="1:16" x14ac:dyDescent="0.25">
      <c r="A442" s="157">
        <v>437</v>
      </c>
      <c r="B442" s="157">
        <v>10.38</v>
      </c>
      <c r="C442" s="157" t="s">
        <v>421</v>
      </c>
      <c r="D442" s="157">
        <v>324.53640000000001</v>
      </c>
      <c r="E442" s="157">
        <v>30.488700000000001</v>
      </c>
      <c r="F442" s="158" t="s">
        <v>681</v>
      </c>
      <c r="G442" s="157">
        <v>1.4</v>
      </c>
      <c r="H442" s="157">
        <v>12.901</v>
      </c>
      <c r="I442" s="157">
        <v>0.4</v>
      </c>
      <c r="J442" s="157">
        <v>1798</v>
      </c>
      <c r="K442" s="157">
        <v>2.75</v>
      </c>
      <c r="L442" s="157">
        <v>0.1</v>
      </c>
      <c r="M442" s="157" t="s">
        <v>421</v>
      </c>
      <c r="N442" s="157" t="s">
        <v>421</v>
      </c>
      <c r="O442" s="157" t="s">
        <v>331</v>
      </c>
      <c r="P442" s="163" t="e">
        <f t="shared" ref="P442:P465" si="7">(K442*AU)/(C442*pc)/FWHMsky</f>
        <v>#VALUE!</v>
      </c>
    </row>
    <row r="443" spans="1:16" x14ac:dyDescent="0.25">
      <c r="A443" s="157">
        <v>438</v>
      </c>
      <c r="B443" s="157">
        <v>7.4</v>
      </c>
      <c r="C443" s="157" t="s">
        <v>421</v>
      </c>
      <c r="D443" s="157">
        <v>186.03299999999999</v>
      </c>
      <c r="E443" s="157">
        <v>-61.872</v>
      </c>
      <c r="F443" s="158" t="s">
        <v>422</v>
      </c>
      <c r="G443" s="157">
        <v>19.8</v>
      </c>
      <c r="H443" s="157">
        <v>11.992000000000001</v>
      </c>
      <c r="I443" s="157">
        <v>0.4</v>
      </c>
      <c r="J443" s="157">
        <v>677.8</v>
      </c>
      <c r="K443" s="157">
        <v>2.38</v>
      </c>
      <c r="L443" s="157">
        <v>0.19</v>
      </c>
      <c r="M443" s="157" t="s">
        <v>421</v>
      </c>
      <c r="N443" s="157" t="s">
        <v>421</v>
      </c>
      <c r="O443" s="157" t="s">
        <v>423</v>
      </c>
      <c r="P443" s="163" t="e">
        <f t="shared" si="7"/>
        <v>#VALUE!</v>
      </c>
    </row>
    <row r="444" spans="1:16" x14ac:dyDescent="0.25">
      <c r="A444" s="157">
        <v>439</v>
      </c>
      <c r="B444" s="157">
        <v>10.039999999999999</v>
      </c>
      <c r="C444" s="157" t="s">
        <v>421</v>
      </c>
      <c r="D444" s="157">
        <v>114.2885</v>
      </c>
      <c r="E444" s="157">
        <v>-13.906700000000001</v>
      </c>
      <c r="F444" s="158" t="s">
        <v>668</v>
      </c>
      <c r="G444" s="157">
        <v>10.6</v>
      </c>
      <c r="H444" s="157">
        <v>12.724</v>
      </c>
      <c r="I444" s="157">
        <v>0.4</v>
      </c>
      <c r="J444" s="157">
        <v>714.3</v>
      </c>
      <c r="K444" s="157">
        <v>2.1</v>
      </c>
      <c r="L444" s="157">
        <v>0.21</v>
      </c>
      <c r="M444" s="157" t="s">
        <v>421</v>
      </c>
      <c r="N444" s="157" t="s">
        <v>421</v>
      </c>
      <c r="O444" s="157" t="s">
        <v>669</v>
      </c>
      <c r="P444" s="163" t="e">
        <f t="shared" si="7"/>
        <v>#VALUE!</v>
      </c>
    </row>
    <row r="445" spans="1:16" x14ac:dyDescent="0.25">
      <c r="A445" s="157">
        <v>440</v>
      </c>
      <c r="B445" s="157">
        <v>9.74</v>
      </c>
      <c r="C445" s="157" t="s">
        <v>421</v>
      </c>
      <c r="D445" s="157">
        <v>154.18690000000001</v>
      </c>
      <c r="E445" s="157">
        <v>19.891400000000001</v>
      </c>
      <c r="F445" s="158" t="s">
        <v>656</v>
      </c>
      <c r="G445" s="157">
        <v>12.47</v>
      </c>
      <c r="H445" s="157">
        <v>12.574999999999999</v>
      </c>
      <c r="I445" s="157">
        <v>0.4</v>
      </c>
      <c r="J445" s="157">
        <v>622</v>
      </c>
      <c r="K445" s="157">
        <v>2.0099999999999998</v>
      </c>
      <c r="L445" s="157">
        <v>0.18</v>
      </c>
      <c r="M445" s="157" t="s">
        <v>421</v>
      </c>
      <c r="N445" s="157" t="s">
        <v>421</v>
      </c>
      <c r="O445" s="157" t="s">
        <v>425</v>
      </c>
      <c r="P445" s="163" t="e">
        <f t="shared" si="7"/>
        <v>#VALUE!</v>
      </c>
    </row>
    <row r="446" spans="1:16" x14ac:dyDescent="0.25">
      <c r="A446" s="157">
        <v>441</v>
      </c>
      <c r="B446" s="157">
        <v>8.67</v>
      </c>
      <c r="C446" s="157" t="s">
        <v>421</v>
      </c>
      <c r="D446" s="157">
        <v>125.7081</v>
      </c>
      <c r="E446" s="157">
        <v>1.8593</v>
      </c>
      <c r="F446" s="158" t="s">
        <v>605</v>
      </c>
      <c r="G446" s="157">
        <v>6.1</v>
      </c>
      <c r="H446" s="157">
        <v>13.063000000000001</v>
      </c>
      <c r="I446" s="157">
        <v>0.4</v>
      </c>
      <c r="J446" s="157">
        <v>851.8</v>
      </c>
      <c r="K446" s="157">
        <v>1.76</v>
      </c>
      <c r="L446" s="157">
        <v>0.4</v>
      </c>
      <c r="M446" s="157" t="s">
        <v>421</v>
      </c>
      <c r="N446" s="157" t="s">
        <v>421</v>
      </c>
      <c r="O446" s="157" t="s">
        <v>606</v>
      </c>
      <c r="P446" s="163" t="e">
        <f t="shared" si="7"/>
        <v>#VALUE!</v>
      </c>
    </row>
    <row r="447" spans="1:16" x14ac:dyDescent="0.25">
      <c r="A447" s="157">
        <v>442</v>
      </c>
      <c r="B447" s="157" t="s">
        <v>421</v>
      </c>
      <c r="C447" s="157" t="s">
        <v>421</v>
      </c>
      <c r="D447" s="157">
        <v>295.4545</v>
      </c>
      <c r="E447" s="157">
        <v>50.525399999999998</v>
      </c>
      <c r="F447" s="158" t="s">
        <v>697</v>
      </c>
      <c r="G447" s="157">
        <v>1.68</v>
      </c>
      <c r="H447" s="157">
        <v>12.922000000000001</v>
      </c>
      <c r="I447" s="157">
        <v>0.4</v>
      </c>
      <c r="J447" s="157">
        <v>799.5</v>
      </c>
      <c r="K447" s="157">
        <v>1.68</v>
      </c>
      <c r="L447" s="157">
        <v>0.69</v>
      </c>
      <c r="M447" s="157" t="s">
        <v>421</v>
      </c>
      <c r="N447" s="157" t="s">
        <v>421</v>
      </c>
      <c r="O447" s="157" t="s">
        <v>423</v>
      </c>
      <c r="P447" s="163" t="e">
        <f t="shared" si="7"/>
        <v>#VALUE!</v>
      </c>
    </row>
    <row r="448" spans="1:16" x14ac:dyDescent="0.25">
      <c r="A448" s="157">
        <v>443</v>
      </c>
      <c r="B448" s="157">
        <v>8.6199999999999992</v>
      </c>
      <c r="C448" s="157" t="s">
        <v>421</v>
      </c>
      <c r="D448" s="157">
        <v>89.956900000000005</v>
      </c>
      <c r="E448" s="157">
        <v>-48.239699999999999</v>
      </c>
      <c r="F448" s="158" t="s">
        <v>602</v>
      </c>
      <c r="G448" s="157">
        <v>2.54</v>
      </c>
      <c r="H448" s="157">
        <v>12.99</v>
      </c>
      <c r="I448" s="157">
        <v>0.4</v>
      </c>
      <c r="J448" s="157">
        <v>963</v>
      </c>
      <c r="K448" s="157">
        <v>1.64</v>
      </c>
      <c r="L448" s="157">
        <v>0.39</v>
      </c>
      <c r="M448" s="157" t="s">
        <v>421</v>
      </c>
      <c r="N448" s="157" t="s">
        <v>421</v>
      </c>
      <c r="O448" s="157" t="s">
        <v>423</v>
      </c>
      <c r="P448" s="163" t="e">
        <f t="shared" si="7"/>
        <v>#VALUE!</v>
      </c>
    </row>
    <row r="449" spans="1:16" x14ac:dyDescent="0.25">
      <c r="A449" s="157">
        <v>444</v>
      </c>
      <c r="B449" s="157">
        <v>9.74</v>
      </c>
      <c r="C449" s="157" t="s">
        <v>421</v>
      </c>
      <c r="D449" s="157">
        <v>154.18690000000001</v>
      </c>
      <c r="E449" s="157">
        <v>19.891400000000001</v>
      </c>
      <c r="F449" s="158" t="s">
        <v>656</v>
      </c>
      <c r="G449" s="157">
        <v>21.42</v>
      </c>
      <c r="H449" s="157">
        <v>11.863</v>
      </c>
      <c r="I449" s="157">
        <v>0.4</v>
      </c>
      <c r="J449" s="157">
        <v>379.6</v>
      </c>
      <c r="K449" s="157">
        <v>1.45</v>
      </c>
      <c r="L449" s="157">
        <v>0.15</v>
      </c>
      <c r="M449" s="157" t="s">
        <v>421</v>
      </c>
      <c r="N449" s="157" t="s">
        <v>421</v>
      </c>
      <c r="O449" s="157" t="s">
        <v>425</v>
      </c>
      <c r="P449" s="163" t="e">
        <f t="shared" si="7"/>
        <v>#VALUE!</v>
      </c>
    </row>
    <row r="450" spans="1:16" x14ac:dyDescent="0.25">
      <c r="A450" s="157">
        <v>445</v>
      </c>
      <c r="B450" s="157">
        <v>8.27</v>
      </c>
      <c r="C450" s="157" t="s">
        <v>421</v>
      </c>
      <c r="D450" s="157">
        <v>347.62180000000001</v>
      </c>
      <c r="E450" s="157">
        <v>57.029499999999999</v>
      </c>
      <c r="F450" s="158" t="s">
        <v>570</v>
      </c>
      <c r="G450" s="157">
        <v>6.9</v>
      </c>
      <c r="H450" s="157">
        <v>13.018000000000001</v>
      </c>
      <c r="I450" s="157">
        <v>0.4</v>
      </c>
      <c r="J450" s="157">
        <v>501.8</v>
      </c>
      <c r="K450" s="157">
        <v>1.33</v>
      </c>
      <c r="L450" s="157">
        <v>0.15</v>
      </c>
      <c r="M450" s="157" t="s">
        <v>421</v>
      </c>
      <c r="N450" s="157" t="s">
        <v>421</v>
      </c>
      <c r="O450" s="157" t="s">
        <v>571</v>
      </c>
      <c r="P450" s="163" t="e">
        <f t="shared" si="7"/>
        <v>#VALUE!</v>
      </c>
    </row>
    <row r="451" spans="1:16" x14ac:dyDescent="0.25">
      <c r="A451" s="157">
        <v>446</v>
      </c>
      <c r="B451" s="157">
        <v>8.2899999999999991</v>
      </c>
      <c r="C451" s="157" t="s">
        <v>421</v>
      </c>
      <c r="D451" s="157">
        <v>278.06459999999998</v>
      </c>
      <c r="E451" s="157">
        <v>6.9458000000000002</v>
      </c>
      <c r="F451" s="158" t="s">
        <v>573</v>
      </c>
      <c r="G451" s="157">
        <v>1.98</v>
      </c>
      <c r="H451" s="157">
        <v>12.943</v>
      </c>
      <c r="I451" s="157">
        <v>0.4</v>
      </c>
      <c r="J451" s="157">
        <v>550</v>
      </c>
      <c r="K451" s="157">
        <v>1.32</v>
      </c>
      <c r="L451" s="157">
        <v>0.59</v>
      </c>
      <c r="M451" s="157" t="s">
        <v>421</v>
      </c>
      <c r="N451" s="157" t="s">
        <v>421</v>
      </c>
      <c r="O451" s="157" t="s">
        <v>331</v>
      </c>
      <c r="P451" s="163" t="e">
        <f t="shared" si="7"/>
        <v>#VALUE!</v>
      </c>
    </row>
    <row r="452" spans="1:16" x14ac:dyDescent="0.25">
      <c r="A452" s="157">
        <v>447</v>
      </c>
      <c r="B452" s="157">
        <v>7.73</v>
      </c>
      <c r="C452" s="157" t="s">
        <v>421</v>
      </c>
      <c r="D452" s="157">
        <v>41.592100000000002</v>
      </c>
      <c r="E452" s="157">
        <v>49.653100000000002</v>
      </c>
      <c r="F452" s="158" t="s">
        <v>476</v>
      </c>
      <c r="G452" s="157">
        <v>4.5999999999999996</v>
      </c>
      <c r="H452" s="157">
        <v>13.114000000000001</v>
      </c>
      <c r="I452" s="157">
        <v>0.4</v>
      </c>
      <c r="J452" s="157">
        <v>359.9</v>
      </c>
      <c r="K452" s="157">
        <v>1.29</v>
      </c>
      <c r="L452" s="157">
        <v>0.17</v>
      </c>
      <c r="M452" s="157" t="s">
        <v>421</v>
      </c>
      <c r="N452" s="157" t="s">
        <v>421</v>
      </c>
      <c r="O452" s="157" t="s">
        <v>217</v>
      </c>
      <c r="P452" s="163" t="e">
        <f t="shared" si="7"/>
        <v>#VALUE!</v>
      </c>
    </row>
    <row r="453" spans="1:16" x14ac:dyDescent="0.25">
      <c r="A453" s="157">
        <v>448</v>
      </c>
      <c r="B453" s="157">
        <v>10.42</v>
      </c>
      <c r="C453" s="157" t="s">
        <v>421</v>
      </c>
      <c r="D453" s="157">
        <v>129.8826</v>
      </c>
      <c r="E453" s="157">
        <v>47.351999999999997</v>
      </c>
      <c r="F453" s="158" t="s">
        <v>682</v>
      </c>
      <c r="G453" s="157">
        <v>14.5</v>
      </c>
      <c r="H453" s="157">
        <v>12.414</v>
      </c>
      <c r="I453" s="157">
        <v>0.4</v>
      </c>
      <c r="J453" s="157">
        <v>448.2</v>
      </c>
      <c r="K453" s="157">
        <v>1.19</v>
      </c>
      <c r="L453" s="157">
        <v>0.67</v>
      </c>
      <c r="M453" s="157" t="s">
        <v>421</v>
      </c>
      <c r="N453" s="157" t="s">
        <v>421</v>
      </c>
      <c r="O453" s="157" t="s">
        <v>683</v>
      </c>
      <c r="P453" s="163" t="e">
        <f t="shared" si="7"/>
        <v>#VALUE!</v>
      </c>
    </row>
    <row r="454" spans="1:16" x14ac:dyDescent="0.25">
      <c r="A454" s="157">
        <v>449</v>
      </c>
      <c r="B454" s="157">
        <v>9.1389999999999993</v>
      </c>
      <c r="C454" s="157" t="s">
        <v>421</v>
      </c>
      <c r="D454" s="157">
        <v>40.710299999999997</v>
      </c>
      <c r="E454" s="157">
        <v>49.587000000000003</v>
      </c>
      <c r="F454" s="158" t="s">
        <v>640</v>
      </c>
      <c r="G454" s="157">
        <v>0.91</v>
      </c>
      <c r="H454" s="157">
        <v>12.826000000000001</v>
      </c>
      <c r="I454" s="157">
        <v>0.4</v>
      </c>
      <c r="J454" s="157">
        <v>392.6</v>
      </c>
      <c r="K454" s="157">
        <v>1</v>
      </c>
      <c r="L454" s="157">
        <v>0.2</v>
      </c>
      <c r="M454" s="157" t="s">
        <v>421</v>
      </c>
      <c r="N454" s="157" t="s">
        <v>421</v>
      </c>
      <c r="O454" s="157" t="s">
        <v>343</v>
      </c>
      <c r="P454" s="163" t="e">
        <f t="shared" si="7"/>
        <v>#VALUE!</v>
      </c>
    </row>
    <row r="455" spans="1:16" x14ac:dyDescent="0.25">
      <c r="A455" s="157">
        <v>450</v>
      </c>
      <c r="B455" s="157">
        <v>10.49</v>
      </c>
      <c r="C455" s="157" t="s">
        <v>421</v>
      </c>
      <c r="D455" s="157">
        <v>24.480799999999999</v>
      </c>
      <c r="E455" s="157">
        <v>-8.1700999999999997</v>
      </c>
      <c r="F455" s="158" t="s">
        <v>684</v>
      </c>
      <c r="G455" s="157">
        <v>0.33</v>
      </c>
      <c r="H455" s="157">
        <v>12.27</v>
      </c>
      <c r="I455" s="157">
        <v>0.4</v>
      </c>
      <c r="J455" s="157">
        <v>237.6</v>
      </c>
      <c r="K455" s="157">
        <v>0.68</v>
      </c>
      <c r="L455" s="157">
        <v>0.19</v>
      </c>
      <c r="M455" s="157" t="s">
        <v>421</v>
      </c>
      <c r="N455" s="157" t="s">
        <v>421</v>
      </c>
      <c r="O455" s="157" t="s">
        <v>423</v>
      </c>
      <c r="P455" s="163" t="e">
        <f t="shared" si="7"/>
        <v>#VALUE!</v>
      </c>
    </row>
    <row r="456" spans="1:16" x14ac:dyDescent="0.25">
      <c r="A456" s="157">
        <v>451</v>
      </c>
      <c r="B456" s="157">
        <v>10.61</v>
      </c>
      <c r="C456" s="157" t="s">
        <v>421</v>
      </c>
      <c r="D456" s="157">
        <v>229.8646</v>
      </c>
      <c r="E456" s="157">
        <v>-7.7221000000000002</v>
      </c>
      <c r="F456" s="158" t="s">
        <v>685</v>
      </c>
      <c r="G456" s="157">
        <v>1.9E-2</v>
      </c>
      <c r="H456" s="157">
        <v>1.607</v>
      </c>
      <c r="I456" s="157">
        <v>0.4</v>
      </c>
      <c r="J456" s="157">
        <v>66.599999999999994</v>
      </c>
      <c r="K456" s="157">
        <v>0.22</v>
      </c>
      <c r="L456" s="157">
        <v>0.25</v>
      </c>
      <c r="M456" s="157" t="s">
        <v>421</v>
      </c>
      <c r="N456" s="157" t="s">
        <v>421</v>
      </c>
      <c r="O456" s="157" t="s">
        <v>686</v>
      </c>
      <c r="P456" s="163" t="e">
        <f t="shared" si="7"/>
        <v>#VALUE!</v>
      </c>
    </row>
    <row r="457" spans="1:16" x14ac:dyDescent="0.25">
      <c r="A457" s="157">
        <v>452</v>
      </c>
      <c r="B457" s="157">
        <v>10.220000000000001</v>
      </c>
      <c r="C457" s="157" t="s">
        <v>421</v>
      </c>
      <c r="D457" s="157">
        <v>259.74520000000001</v>
      </c>
      <c r="E457" s="157">
        <v>-34.9968</v>
      </c>
      <c r="F457" s="158" t="s">
        <v>673</v>
      </c>
      <c r="G457" s="157">
        <v>1.2999999999999999E-2</v>
      </c>
      <c r="H457" s="157">
        <v>1.478</v>
      </c>
      <c r="I457" s="157">
        <v>0.4</v>
      </c>
      <c r="J457" s="157">
        <v>28.1</v>
      </c>
      <c r="K457" s="157">
        <v>0.13</v>
      </c>
      <c r="L457" s="157">
        <v>0.34</v>
      </c>
      <c r="M457" s="157" t="s">
        <v>421</v>
      </c>
      <c r="N457" s="157" t="s">
        <v>421</v>
      </c>
      <c r="O457" s="157" t="s">
        <v>674</v>
      </c>
      <c r="P457" s="163" t="e">
        <f t="shared" si="7"/>
        <v>#VALUE!</v>
      </c>
    </row>
    <row r="458" spans="1:16" x14ac:dyDescent="0.25">
      <c r="A458" s="157">
        <v>453</v>
      </c>
      <c r="B458" s="157">
        <v>10.61</v>
      </c>
      <c r="C458" s="157" t="s">
        <v>421</v>
      </c>
      <c r="D458" s="157">
        <v>229.8646</v>
      </c>
      <c r="E458" s="157">
        <v>-7.7221000000000002</v>
      </c>
      <c r="F458" s="158" t="s">
        <v>685</v>
      </c>
      <c r="G458" s="157">
        <v>1.7000000000000001E-2</v>
      </c>
      <c r="H458" s="157">
        <v>1.5649999999999999</v>
      </c>
      <c r="I458" s="157">
        <v>0.4</v>
      </c>
      <c r="J458" s="157">
        <v>12.9</v>
      </c>
      <c r="K458" s="157">
        <v>7.0000000000000007E-2</v>
      </c>
      <c r="L458" s="157">
        <v>7.0000000000000007E-2</v>
      </c>
      <c r="M458" s="157" t="s">
        <v>421</v>
      </c>
      <c r="N458" s="157" t="s">
        <v>421</v>
      </c>
      <c r="O458" s="157" t="s">
        <v>686</v>
      </c>
      <c r="P458" s="163" t="e">
        <f t="shared" si="7"/>
        <v>#VALUE!</v>
      </c>
    </row>
    <row r="459" spans="1:16" x14ac:dyDescent="0.25">
      <c r="A459" s="157">
        <v>454</v>
      </c>
      <c r="B459" s="157">
        <v>10.49</v>
      </c>
      <c r="C459" s="157" t="s">
        <v>421</v>
      </c>
      <c r="D459" s="157">
        <v>24.480799999999999</v>
      </c>
      <c r="E459" s="157">
        <v>-8.1700999999999997</v>
      </c>
      <c r="F459" s="158" t="s">
        <v>684</v>
      </c>
      <c r="G459" s="157">
        <v>4.4999999999999998E-2</v>
      </c>
      <c r="H459" s="157">
        <v>6.6390000000000002</v>
      </c>
      <c r="I459" s="157">
        <v>0.4</v>
      </c>
      <c r="J459" s="157">
        <v>5.6</v>
      </c>
      <c r="K459" s="157">
        <v>0.06</v>
      </c>
      <c r="L459" s="157">
        <v>0.15</v>
      </c>
      <c r="M459" s="157" t="s">
        <v>421</v>
      </c>
      <c r="N459" s="157" t="s">
        <v>421</v>
      </c>
      <c r="O459" s="157" t="s">
        <v>423</v>
      </c>
      <c r="P459" s="163" t="e">
        <f t="shared" si="7"/>
        <v>#VALUE!</v>
      </c>
    </row>
    <row r="460" spans="1:16" x14ac:dyDescent="0.25">
      <c r="A460" s="157">
        <v>455</v>
      </c>
      <c r="B460" s="157">
        <v>11.73</v>
      </c>
      <c r="C460" s="157" t="s">
        <v>421</v>
      </c>
      <c r="D460" s="157">
        <v>100.95610000000001</v>
      </c>
      <c r="E460" s="157">
        <v>-1.0629999999999999</v>
      </c>
      <c r="F460" s="158" t="s">
        <v>688</v>
      </c>
      <c r="G460" s="157">
        <v>2.5999999999999999E-2</v>
      </c>
      <c r="H460" s="157">
        <v>1.734</v>
      </c>
      <c r="I460" s="157">
        <v>0.4</v>
      </c>
      <c r="J460" s="157">
        <v>3.7</v>
      </c>
      <c r="K460" s="157">
        <v>0.05</v>
      </c>
      <c r="L460" s="157">
        <v>0</v>
      </c>
      <c r="M460" s="157" t="s">
        <v>421</v>
      </c>
      <c r="N460" s="157" t="s">
        <v>421</v>
      </c>
      <c r="O460" s="157" t="s">
        <v>296</v>
      </c>
      <c r="P460" s="163" t="e">
        <f t="shared" si="7"/>
        <v>#VALUE!</v>
      </c>
    </row>
    <row r="461" spans="1:16" x14ac:dyDescent="0.25">
      <c r="A461" s="157">
        <v>456</v>
      </c>
      <c r="B461" s="157">
        <v>10.220000000000001</v>
      </c>
      <c r="C461" s="157" t="s">
        <v>421</v>
      </c>
      <c r="D461" s="157">
        <v>259.74520000000001</v>
      </c>
      <c r="E461" s="157">
        <v>-34.9968</v>
      </c>
      <c r="F461" s="158" t="s">
        <v>673</v>
      </c>
      <c r="G461" s="157">
        <v>1.7000000000000001E-2</v>
      </c>
      <c r="H461" s="157">
        <v>1.569</v>
      </c>
      <c r="I461" s="157">
        <v>0.4</v>
      </c>
      <c r="J461" s="157">
        <v>7.2</v>
      </c>
      <c r="K461" s="157">
        <v>0.05</v>
      </c>
      <c r="L461" s="157">
        <v>0.09</v>
      </c>
      <c r="M461" s="157" t="s">
        <v>421</v>
      </c>
      <c r="N461" s="157" t="s">
        <v>421</v>
      </c>
      <c r="O461" s="157" t="s">
        <v>674</v>
      </c>
      <c r="P461" s="163" t="e">
        <f t="shared" si="7"/>
        <v>#VALUE!</v>
      </c>
    </row>
    <row r="462" spans="1:16" x14ac:dyDescent="0.25">
      <c r="A462" s="157">
        <v>457</v>
      </c>
      <c r="B462" s="157">
        <v>10.61</v>
      </c>
      <c r="C462" s="157" t="s">
        <v>421</v>
      </c>
      <c r="D462" s="157">
        <v>229.8646</v>
      </c>
      <c r="E462" s="157">
        <v>-7.7221000000000002</v>
      </c>
      <c r="F462" s="158" t="s">
        <v>685</v>
      </c>
      <c r="G462" s="157">
        <v>0.05</v>
      </c>
      <c r="H462" s="157">
        <v>7.7930000000000001</v>
      </c>
      <c r="I462" s="157">
        <v>0.4</v>
      </c>
      <c r="J462" s="157">
        <v>5.4</v>
      </c>
      <c r="K462" s="157">
        <v>0.04</v>
      </c>
      <c r="L462" s="157">
        <v>0.03</v>
      </c>
      <c r="M462" s="157" t="s">
        <v>421</v>
      </c>
      <c r="N462" s="157" t="s">
        <v>421</v>
      </c>
      <c r="O462" s="157" t="s">
        <v>686</v>
      </c>
      <c r="P462" s="163" t="e">
        <f t="shared" si="7"/>
        <v>#VALUE!</v>
      </c>
    </row>
    <row r="463" spans="1:16" x14ac:dyDescent="0.25">
      <c r="A463" s="157">
        <v>458</v>
      </c>
      <c r="B463" s="157">
        <v>11.95</v>
      </c>
      <c r="C463" s="157" t="s">
        <v>421</v>
      </c>
      <c r="D463" s="157">
        <v>164.6463</v>
      </c>
      <c r="E463" s="157">
        <v>-31.144200000000001</v>
      </c>
      <c r="F463" s="158" t="s">
        <v>691</v>
      </c>
      <c r="G463" s="157">
        <v>2.1999999999999999E-2</v>
      </c>
      <c r="H463" s="157">
        <v>1.663</v>
      </c>
      <c r="I463" s="157">
        <v>0.4</v>
      </c>
      <c r="J463" s="157">
        <v>2.6</v>
      </c>
      <c r="K463" s="157">
        <v>0.03</v>
      </c>
      <c r="L463" s="157">
        <v>0.08</v>
      </c>
      <c r="M463" s="157" t="s">
        <v>421</v>
      </c>
      <c r="N463" s="157" t="s">
        <v>421</v>
      </c>
      <c r="O463" s="157" t="s">
        <v>692</v>
      </c>
      <c r="P463" s="163" t="e">
        <f t="shared" si="7"/>
        <v>#VALUE!</v>
      </c>
    </row>
    <row r="464" spans="1:16" x14ac:dyDescent="0.25">
      <c r="A464" s="157">
        <v>459</v>
      </c>
      <c r="B464" s="157">
        <v>10.61</v>
      </c>
      <c r="C464" s="157" t="s">
        <v>421</v>
      </c>
      <c r="D464" s="157">
        <v>229.8646</v>
      </c>
      <c r="E464" s="157">
        <v>-7.7221000000000002</v>
      </c>
      <c r="F464" s="158" t="s">
        <v>685</v>
      </c>
      <c r="G464" s="157">
        <v>6.0000000000000001E-3</v>
      </c>
      <c r="H464" s="157">
        <v>1.2110000000000001</v>
      </c>
      <c r="I464" s="157">
        <v>0.4</v>
      </c>
      <c r="J464" s="157">
        <v>3.1</v>
      </c>
      <c r="K464" s="157">
        <v>0.03</v>
      </c>
      <c r="L464" s="157">
        <v>0.32</v>
      </c>
      <c r="M464" s="157" t="s">
        <v>421</v>
      </c>
      <c r="N464" s="157" t="s">
        <v>421</v>
      </c>
      <c r="O464" s="157" t="s">
        <v>686</v>
      </c>
      <c r="P464" s="163" t="e">
        <f t="shared" si="7"/>
        <v>#VALUE!</v>
      </c>
    </row>
    <row r="465" spans="1:16" x14ac:dyDescent="0.25">
      <c r="A465" s="157">
        <v>460</v>
      </c>
      <c r="B465" s="157">
        <v>12.33</v>
      </c>
      <c r="C465" s="157" t="s">
        <v>421</v>
      </c>
      <c r="D465" s="157">
        <v>89.956900000000005</v>
      </c>
      <c r="E465" s="157">
        <v>-48.239699999999999</v>
      </c>
      <c r="F465" s="158" t="s">
        <v>696</v>
      </c>
      <c r="G465" s="157">
        <v>18.399999999999999</v>
      </c>
      <c r="H465" s="157">
        <v>12.103</v>
      </c>
      <c r="I465" s="157">
        <v>0.4</v>
      </c>
      <c r="J465" s="157">
        <v>1.3</v>
      </c>
      <c r="K465" s="157">
        <v>0.02</v>
      </c>
      <c r="L465" s="157">
        <v>0.08</v>
      </c>
      <c r="M465" s="157" t="s">
        <v>421</v>
      </c>
      <c r="N465" s="157" t="s">
        <v>421</v>
      </c>
      <c r="O465" s="157" t="s">
        <v>665</v>
      </c>
      <c r="P465" s="163" t="e">
        <f t="shared" si="7"/>
        <v>#VALUE!</v>
      </c>
    </row>
  </sheetData>
  <sortState ref="A2:P437">
    <sortCondition descending="1" ref="P2:P437"/>
    <sortCondition ref="B2:B437"/>
    <sortCondition ref="C2:C4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130" zoomScaleNormal="130" workbookViewId="0">
      <selection activeCell="G12" sqref="G12"/>
    </sheetView>
  </sheetViews>
  <sheetFormatPr defaultRowHeight="15" x14ac:dyDescent="0.25"/>
  <cols>
    <col min="1" max="1" width="4.28515625" customWidth="1"/>
    <col min="2" max="2" width="10.42578125" customWidth="1"/>
    <col min="3" max="4" width="9.5703125" customWidth="1"/>
    <col min="5" max="8" width="11.85546875" customWidth="1"/>
    <col min="10" max="10" width="10.42578125" customWidth="1"/>
    <col min="11" max="11" width="23.28515625" customWidth="1"/>
    <col min="12" max="12" width="10.7109375" customWidth="1"/>
    <col min="13" max="13" width="9.28515625" customWidth="1"/>
    <col min="14" max="14" width="11.5703125" customWidth="1"/>
    <col min="16" max="16" width="12.85546875" bestFit="1" customWidth="1"/>
    <col min="24" max="24" width="10.28515625" bestFit="1" customWidth="1"/>
  </cols>
  <sheetData>
    <row r="1" spans="1:24" s="142" customFormat="1" ht="21" x14ac:dyDescent="0.35">
      <c r="A1" s="142" t="s">
        <v>186</v>
      </c>
    </row>
    <row r="2" spans="1:24" x14ac:dyDescent="0.25">
      <c r="F2" s="8"/>
    </row>
    <row r="3" spans="1:24" x14ac:dyDescent="0.25">
      <c r="B3" s="7" t="s">
        <v>29</v>
      </c>
      <c r="C3" s="8"/>
      <c r="D3" s="8"/>
      <c r="E3" s="8"/>
      <c r="F3" s="8"/>
      <c r="G3" s="8"/>
      <c r="H3" s="8"/>
      <c r="K3" s="53" t="s">
        <v>187</v>
      </c>
      <c r="L3" s="4"/>
      <c r="O3" s="8"/>
      <c r="X3" s="64"/>
    </row>
    <row r="4" spans="1:24" ht="30" x14ac:dyDescent="0.25">
      <c r="B4" s="10" t="s">
        <v>28</v>
      </c>
      <c r="C4" s="9" t="s">
        <v>0</v>
      </c>
      <c r="D4" s="9" t="s">
        <v>1</v>
      </c>
      <c r="E4" s="10" t="s">
        <v>64</v>
      </c>
      <c r="F4" s="10" t="s">
        <v>30</v>
      </c>
      <c r="G4" s="10" t="s">
        <v>31</v>
      </c>
      <c r="H4" s="10" t="s">
        <v>32</v>
      </c>
      <c r="I4" s="10" t="s">
        <v>63</v>
      </c>
      <c r="J4" s="10"/>
      <c r="K4" s="46" t="s">
        <v>41</v>
      </c>
      <c r="L4" s="143">
        <v>6.6260700000000002E-34</v>
      </c>
      <c r="M4" s="126" t="s">
        <v>42</v>
      </c>
      <c r="N4" t="s">
        <v>43</v>
      </c>
      <c r="O4" s="8"/>
      <c r="Q4" s="10"/>
      <c r="R4" s="10"/>
      <c r="X4" s="64"/>
    </row>
    <row r="5" spans="1:24" x14ac:dyDescent="0.25">
      <c r="B5" s="11" t="s">
        <v>2</v>
      </c>
      <c r="C5" s="12">
        <v>0.36</v>
      </c>
      <c r="D5" s="13">
        <v>6.8000000000000005E-2</v>
      </c>
      <c r="E5" s="14">
        <v>4.3499999999999999E-8</v>
      </c>
      <c r="F5" s="14">
        <f t="shared" ref="F5:F18" si="0">E5/((h_planck*c_light)/(C5*0.000001))</f>
        <v>78834387669.508423</v>
      </c>
      <c r="G5" s="14">
        <f t="shared" ref="G5:G18" si="1">F5*(1/1000)*(1/100)^2</f>
        <v>7883.4387669508433</v>
      </c>
      <c r="H5" s="14">
        <f t="shared" ref="H5:H6" si="2">F5*D5</f>
        <v>5360738361.5265732</v>
      </c>
      <c r="I5" s="12">
        <f>LOG10(E5)</f>
        <v>-7.361510743045363</v>
      </c>
      <c r="J5" s="12"/>
      <c r="K5" s="46" t="s">
        <v>44</v>
      </c>
      <c r="L5" s="143">
        <v>299792000</v>
      </c>
      <c r="M5" s="126" t="s">
        <v>45</v>
      </c>
      <c r="N5" t="s">
        <v>46</v>
      </c>
      <c r="O5" s="8"/>
      <c r="X5" s="64"/>
    </row>
    <row r="6" spans="1:24" x14ac:dyDescent="0.25">
      <c r="B6" s="15" t="s">
        <v>3</v>
      </c>
      <c r="C6" s="16">
        <v>0.44</v>
      </c>
      <c r="D6" s="17">
        <v>9.8000000000000004E-2</v>
      </c>
      <c r="E6" s="18">
        <v>7.1999999999999996E-8</v>
      </c>
      <c r="F6" s="18">
        <f t="shared" si="0"/>
        <v>159481060113.0285</v>
      </c>
      <c r="G6" s="18">
        <f t="shared" si="1"/>
        <v>15948.106011302851</v>
      </c>
      <c r="H6" s="18">
        <f t="shared" si="2"/>
        <v>15629143891.076794</v>
      </c>
      <c r="I6" s="16">
        <f t="shared" ref="I6:I18" si="3">LOG10(E6)</f>
        <v>-7.1426675035687319</v>
      </c>
      <c r="J6" s="16"/>
      <c r="K6" s="46" t="s">
        <v>47</v>
      </c>
      <c r="L6" s="143">
        <v>1.5999999999999999E-19</v>
      </c>
      <c r="M6" s="126" t="s">
        <v>48</v>
      </c>
      <c r="N6" t="s">
        <v>49</v>
      </c>
      <c r="O6" s="8"/>
      <c r="X6" s="64"/>
    </row>
    <row r="7" spans="1:24" x14ac:dyDescent="0.25">
      <c r="B7" s="20" t="s">
        <v>4</v>
      </c>
      <c r="C7" s="21">
        <v>0.55000000000000004</v>
      </c>
      <c r="D7" s="22">
        <v>8.8999999999999996E-2</v>
      </c>
      <c r="E7" s="23">
        <v>3.92E-8</v>
      </c>
      <c r="F7" s="23">
        <f t="shared" si="0"/>
        <v>108535721465.8111</v>
      </c>
      <c r="G7" s="23">
        <f t="shared" si="1"/>
        <v>10853.572146581111</v>
      </c>
      <c r="H7" s="23">
        <f>F7*D7</f>
        <v>9659679210.4571877</v>
      </c>
      <c r="I7" s="21">
        <f t="shared" si="3"/>
        <v>-7.4067139329795424</v>
      </c>
      <c r="J7" s="21"/>
      <c r="K7" s="46" t="s">
        <v>50</v>
      </c>
      <c r="L7" s="143">
        <v>1.3799999999999999E-34</v>
      </c>
      <c r="M7" s="126" t="s">
        <v>51</v>
      </c>
      <c r="N7" t="s">
        <v>52</v>
      </c>
      <c r="O7" s="8"/>
      <c r="X7" s="64"/>
    </row>
    <row r="8" spans="1:24" x14ac:dyDescent="0.25">
      <c r="B8" s="24" t="s">
        <v>5</v>
      </c>
      <c r="C8" s="25">
        <v>0.7</v>
      </c>
      <c r="D8" s="26">
        <v>0.22</v>
      </c>
      <c r="E8" s="27">
        <v>1.7599999999999999E-8</v>
      </c>
      <c r="F8" s="27">
        <f t="shared" si="0"/>
        <v>62020412266.177757</v>
      </c>
      <c r="G8" s="27">
        <f t="shared" si="1"/>
        <v>6202.0412266177764</v>
      </c>
      <c r="H8" s="27">
        <f t="shared" ref="H8:H18" si="4">F8*D8</f>
        <v>13644490698.559107</v>
      </c>
      <c r="I8" s="61">
        <f t="shared" si="3"/>
        <v>-7.7544873321858505</v>
      </c>
      <c r="J8" s="61"/>
      <c r="L8" s="144"/>
      <c r="M8" s="127"/>
      <c r="N8" s="8"/>
      <c r="O8" s="8"/>
      <c r="X8" s="64"/>
    </row>
    <row r="9" spans="1:24" x14ac:dyDescent="0.25">
      <c r="B9" s="28" t="s">
        <v>6</v>
      </c>
      <c r="C9" s="29">
        <v>0.8</v>
      </c>
      <c r="D9" s="30">
        <v>0.2</v>
      </c>
      <c r="E9" s="31">
        <v>1.2100000000000001E-8</v>
      </c>
      <c r="F9" s="31">
        <f t="shared" si="0"/>
        <v>48730323923.425385</v>
      </c>
      <c r="G9" s="31">
        <f t="shared" si="1"/>
        <v>4873.0323923425385</v>
      </c>
      <c r="H9" s="31">
        <f t="shared" si="4"/>
        <v>9746064784.6850777</v>
      </c>
      <c r="I9" s="29">
        <f t="shared" si="3"/>
        <v>-7.9172146296835502</v>
      </c>
      <c r="J9" s="29"/>
      <c r="K9" s="53" t="s">
        <v>188</v>
      </c>
      <c r="L9" s="143"/>
      <c r="Q9" s="48"/>
      <c r="R9" s="51"/>
      <c r="S9" s="52"/>
      <c r="X9" s="64"/>
    </row>
    <row r="10" spans="1:24" x14ac:dyDescent="0.25">
      <c r="B10" s="32" t="s">
        <v>7</v>
      </c>
      <c r="C10" s="33">
        <v>0.9</v>
      </c>
      <c r="D10" s="34">
        <v>0.24</v>
      </c>
      <c r="E10" s="35">
        <v>8.2999999999999999E-9</v>
      </c>
      <c r="F10" s="35">
        <f t="shared" si="0"/>
        <v>37604909060.742523</v>
      </c>
      <c r="G10" s="35">
        <f t="shared" si="1"/>
        <v>3760.490906074253</v>
      </c>
      <c r="H10" s="35">
        <f t="shared" si="4"/>
        <v>9025178174.5782051</v>
      </c>
      <c r="I10" s="33">
        <f t="shared" si="3"/>
        <v>-8.0809219076239263</v>
      </c>
      <c r="J10" s="33"/>
      <c r="K10" s="46" t="s">
        <v>125</v>
      </c>
      <c r="L10" s="143">
        <v>6371000</v>
      </c>
      <c r="M10" s="126" t="s">
        <v>18</v>
      </c>
      <c r="N10" t="s">
        <v>131</v>
      </c>
      <c r="Q10" s="14"/>
      <c r="R10" s="14"/>
      <c r="S10" s="56"/>
      <c r="X10" s="64"/>
    </row>
    <row r="11" spans="1:24" x14ac:dyDescent="0.25">
      <c r="B11" s="36" t="s">
        <v>8</v>
      </c>
      <c r="C11" s="37">
        <v>1.05</v>
      </c>
      <c r="D11" s="38">
        <v>0.2</v>
      </c>
      <c r="E11" s="39">
        <v>5.7200000000000001E-9</v>
      </c>
      <c r="F11" s="39">
        <f t="shared" si="0"/>
        <v>30234950979.761658</v>
      </c>
      <c r="G11" s="39">
        <f t="shared" si="1"/>
        <v>3023.4950979761661</v>
      </c>
      <c r="H11" s="39">
        <f t="shared" si="4"/>
        <v>6046990195.9523315</v>
      </c>
      <c r="I11" s="37">
        <f t="shared" si="3"/>
        <v>-8.2426039712069752</v>
      </c>
      <c r="J11" s="37"/>
      <c r="K11" s="46" t="s">
        <v>129</v>
      </c>
      <c r="L11" s="143">
        <v>149590000000</v>
      </c>
      <c r="M11" s="126" t="s">
        <v>18</v>
      </c>
      <c r="N11" t="s">
        <v>132</v>
      </c>
      <c r="P11" s="8"/>
      <c r="Q11" s="18"/>
      <c r="R11" s="18"/>
      <c r="S11" s="57"/>
      <c r="X11" s="64"/>
    </row>
    <row r="12" spans="1:24" x14ac:dyDescent="0.25">
      <c r="B12" s="36" t="s">
        <v>9</v>
      </c>
      <c r="C12" s="37">
        <v>1.26</v>
      </c>
      <c r="D12" s="38">
        <v>0.26</v>
      </c>
      <c r="E12" s="39">
        <v>3.3999999999999998E-9</v>
      </c>
      <c r="F12" s="39">
        <f t="shared" si="0"/>
        <v>21566188810.739086</v>
      </c>
      <c r="G12" s="39">
        <f t="shared" si="1"/>
        <v>2156.6188810739086</v>
      </c>
      <c r="H12" s="39">
        <f t="shared" si="4"/>
        <v>5607209090.7921629</v>
      </c>
      <c r="I12" s="37">
        <f t="shared" si="3"/>
        <v>-8.4685210829577446</v>
      </c>
      <c r="J12" s="37"/>
      <c r="K12" s="46" t="s">
        <v>135</v>
      </c>
      <c r="L12" s="143">
        <f>AU/arcsec</f>
        <v>3.0855152366503144E+16</v>
      </c>
      <c r="M12" s="126" t="s">
        <v>18</v>
      </c>
      <c r="P12" s="13"/>
      <c r="Q12" s="23"/>
      <c r="R12" s="23"/>
      <c r="S12" s="58"/>
      <c r="X12" s="64"/>
    </row>
    <row r="13" spans="1:24" x14ac:dyDescent="0.25">
      <c r="B13" s="36" t="s">
        <v>10</v>
      </c>
      <c r="C13" s="37">
        <v>1.64</v>
      </c>
      <c r="D13" s="38">
        <v>0.33</v>
      </c>
      <c r="E13" s="39">
        <v>1.1800000000000001E-9</v>
      </c>
      <c r="F13" s="39">
        <f t="shared" si="0"/>
        <v>9742037485.1872711</v>
      </c>
      <c r="G13" s="39">
        <f t="shared" si="1"/>
        <v>974.20374851872725</v>
      </c>
      <c r="H13" s="39">
        <f t="shared" si="4"/>
        <v>3214872370.1117997</v>
      </c>
      <c r="I13" s="62">
        <f t="shared" si="3"/>
        <v>-8.9281179926938741</v>
      </c>
      <c r="J13" s="62"/>
      <c r="K13" s="46" t="s">
        <v>53</v>
      </c>
      <c r="L13" s="144">
        <f>2*PI()/(24*3600)</f>
        <v>7.2722052166430395E-5</v>
      </c>
      <c r="M13" s="127" t="s">
        <v>54</v>
      </c>
      <c r="N13" s="47" t="s">
        <v>55</v>
      </c>
      <c r="O13" s="8"/>
      <c r="P13" s="17"/>
      <c r="Q13" s="27"/>
      <c r="R13" s="27"/>
      <c r="S13" s="59"/>
      <c r="X13" s="64"/>
    </row>
    <row r="14" spans="1:24" x14ac:dyDescent="0.25">
      <c r="B14" s="36" t="s">
        <v>11</v>
      </c>
      <c r="C14" s="37">
        <v>2.1800000000000002</v>
      </c>
      <c r="D14" s="38">
        <v>0.44</v>
      </c>
      <c r="E14" s="39">
        <v>3.9E-10</v>
      </c>
      <c r="F14" s="39">
        <f t="shared" si="0"/>
        <v>4280012541.290936</v>
      </c>
      <c r="G14" s="39">
        <f t="shared" si="1"/>
        <v>428.00125412909364</v>
      </c>
      <c r="H14" s="39">
        <f t="shared" si="4"/>
        <v>1883205518.1680119</v>
      </c>
      <c r="I14" s="37">
        <f t="shared" si="3"/>
        <v>-9.4089353929735005</v>
      </c>
      <c r="J14" s="37"/>
      <c r="L14" s="143"/>
      <c r="P14" s="22"/>
      <c r="Q14" s="39"/>
      <c r="R14" s="39"/>
      <c r="S14" s="60"/>
      <c r="X14" s="64"/>
    </row>
    <row r="15" spans="1:24" x14ac:dyDescent="0.25">
      <c r="B15" s="40" t="s">
        <v>12</v>
      </c>
      <c r="C15" s="41">
        <v>3.4</v>
      </c>
      <c r="D15" s="42">
        <v>0.55000000000000004</v>
      </c>
      <c r="E15" s="43">
        <v>7.3000000000000006E-11</v>
      </c>
      <c r="F15" s="43">
        <f t="shared" si="0"/>
        <v>1249469669.1936135</v>
      </c>
      <c r="G15" s="43">
        <f t="shared" si="1"/>
        <v>124.94696691936136</v>
      </c>
      <c r="H15" s="43">
        <f t="shared" si="4"/>
        <v>687208318.05648744</v>
      </c>
      <c r="I15" s="41">
        <f t="shared" si="3"/>
        <v>-10.136677139879543</v>
      </c>
      <c r="J15" s="41"/>
      <c r="K15" s="53" t="s">
        <v>189</v>
      </c>
      <c r="L15" s="143"/>
      <c r="N15" s="8"/>
      <c r="O15" s="8"/>
      <c r="P15" s="49"/>
      <c r="Q15" s="1"/>
      <c r="R15" s="1"/>
      <c r="S15" s="60"/>
    </row>
    <row r="16" spans="1:24" x14ac:dyDescent="0.25">
      <c r="B16" s="40" t="s">
        <v>13</v>
      </c>
      <c r="C16" s="41">
        <v>5</v>
      </c>
      <c r="D16" s="42">
        <v>0.3</v>
      </c>
      <c r="E16" s="43">
        <v>2.1199999999999999E-11</v>
      </c>
      <c r="F16" s="43">
        <f t="shared" si="0"/>
        <v>533617183.45899689</v>
      </c>
      <c r="G16" s="43">
        <f t="shared" si="1"/>
        <v>53.361718345899696</v>
      </c>
      <c r="H16" s="43">
        <f t="shared" si="4"/>
        <v>160085155.03769907</v>
      </c>
      <c r="I16" s="41">
        <f t="shared" si="3"/>
        <v>-10.673664139071249</v>
      </c>
      <c r="J16" s="41"/>
      <c r="K16" s="46" t="s">
        <v>56</v>
      </c>
      <c r="L16" s="144">
        <f>PI()/180/3600</f>
        <v>4.8481368110953598E-6</v>
      </c>
      <c r="M16" s="127" t="s">
        <v>19</v>
      </c>
      <c r="N16" s="8"/>
      <c r="O16" s="8"/>
      <c r="P16" s="54"/>
      <c r="Q16" s="1"/>
      <c r="R16" s="1"/>
      <c r="S16" s="60"/>
    </row>
    <row r="17" spans="2:19" x14ac:dyDescent="0.25">
      <c r="B17" s="40" t="s">
        <v>14</v>
      </c>
      <c r="C17" s="41">
        <v>10.199999999999999</v>
      </c>
      <c r="D17" s="42">
        <v>5</v>
      </c>
      <c r="E17" s="43">
        <v>1.23E-12</v>
      </c>
      <c r="F17" s="43">
        <f t="shared" si="0"/>
        <v>63158124.37430732</v>
      </c>
      <c r="G17" s="43">
        <f t="shared" si="1"/>
        <v>6.3158124374307327</v>
      </c>
      <c r="H17" s="43">
        <f t="shared" si="4"/>
        <v>315790621.87153661</v>
      </c>
      <c r="I17" s="41">
        <f t="shared" si="3"/>
        <v>-11.910094888560602</v>
      </c>
      <c r="J17" s="41"/>
      <c r="K17" s="46" t="s">
        <v>57</v>
      </c>
      <c r="L17" s="144">
        <f>PI()/180</f>
        <v>1.7453292519943295E-2</v>
      </c>
      <c r="M17" s="127" t="s">
        <v>19</v>
      </c>
      <c r="N17" s="8"/>
      <c r="P17" s="55"/>
      <c r="Q17" s="1"/>
      <c r="R17" s="1"/>
      <c r="S17" s="60"/>
    </row>
    <row r="18" spans="2:19" x14ac:dyDescent="0.25">
      <c r="B18" s="40" t="s">
        <v>15</v>
      </c>
      <c r="C18" s="41">
        <v>21</v>
      </c>
      <c r="D18" s="42">
        <v>8</v>
      </c>
      <c r="E18" s="43">
        <v>6.8000000000000001E-14</v>
      </c>
      <c r="F18" s="43">
        <f t="shared" si="0"/>
        <v>7188729.6035796953</v>
      </c>
      <c r="G18" s="43">
        <f t="shared" si="1"/>
        <v>0.71887296035796955</v>
      </c>
      <c r="H18" s="43">
        <f t="shared" si="4"/>
        <v>57509836.828637563</v>
      </c>
      <c r="I18" s="41">
        <f t="shared" si="3"/>
        <v>-13.167491087293763</v>
      </c>
      <c r="J18" s="41"/>
      <c r="K18" s="46" t="s">
        <v>58</v>
      </c>
      <c r="L18" s="145">
        <v>3600</v>
      </c>
      <c r="M18" s="127" t="s">
        <v>59</v>
      </c>
      <c r="N18" s="8"/>
      <c r="P18" s="55"/>
      <c r="Q18" s="1"/>
      <c r="R18" s="1"/>
      <c r="S18" s="60"/>
    </row>
    <row r="19" spans="2:19" x14ac:dyDescent="0.25">
      <c r="B19" s="44" t="s">
        <v>39</v>
      </c>
      <c r="C19" s="8"/>
      <c r="D19" s="8"/>
      <c r="E19" s="8"/>
      <c r="F19" s="8"/>
      <c r="G19" s="8"/>
      <c r="H19" s="8"/>
      <c r="K19" s="46" t="s">
        <v>60</v>
      </c>
      <c r="L19" s="145">
        <v>60</v>
      </c>
      <c r="M19" s="127" t="s">
        <v>59</v>
      </c>
      <c r="N19" s="8"/>
      <c r="P19" s="55"/>
      <c r="Q19" s="1"/>
      <c r="R19" s="1"/>
      <c r="S19" s="60"/>
    </row>
    <row r="20" spans="2:19" x14ac:dyDescent="0.25">
      <c r="B20" s="45" t="s">
        <v>40</v>
      </c>
      <c r="C20" s="8"/>
      <c r="D20" s="8"/>
      <c r="E20" s="8"/>
      <c r="F20" s="8"/>
      <c r="G20" s="8"/>
      <c r="H20" s="8"/>
      <c r="K20" s="46" t="s">
        <v>61</v>
      </c>
      <c r="L20" s="144">
        <f>PI()/180/3600/1000000</f>
        <v>4.8481368110953598E-12</v>
      </c>
      <c r="M20" s="127" t="s">
        <v>19</v>
      </c>
      <c r="N20" s="8"/>
      <c r="P20" s="55"/>
      <c r="Q20" s="1"/>
      <c r="R20" s="1"/>
      <c r="S20" s="60"/>
    </row>
    <row r="21" spans="2:19" x14ac:dyDescent="0.25">
      <c r="K21" s="46" t="s">
        <v>62</v>
      </c>
      <c r="L21" s="144">
        <v>9.9999999999999995E-8</v>
      </c>
      <c r="M21" s="127" t="s">
        <v>9</v>
      </c>
      <c r="P21" s="55"/>
      <c r="Q21" s="1"/>
      <c r="R21" s="1"/>
      <c r="S21" s="60"/>
    </row>
    <row r="22" spans="2:19" x14ac:dyDescent="0.25">
      <c r="B22" t="s">
        <v>734</v>
      </c>
      <c r="M22" s="50"/>
      <c r="N22" s="2"/>
      <c r="O22" s="3"/>
      <c r="P22" s="55"/>
    </row>
    <row r="23" spans="2:19" x14ac:dyDescent="0.25">
      <c r="B23" t="s">
        <v>733</v>
      </c>
      <c r="K23" t="s">
        <v>33</v>
      </c>
      <c r="M23" s="8"/>
      <c r="N23" s="8"/>
      <c r="O23" s="3"/>
      <c r="P23" s="55"/>
    </row>
    <row r="24" spans="2:19" x14ac:dyDescent="0.25">
      <c r="K24" s="19" t="s">
        <v>34</v>
      </c>
      <c r="L24" s="4">
        <v>180</v>
      </c>
      <c r="M24" t="s">
        <v>35</v>
      </c>
      <c r="N24" s="8"/>
    </row>
    <row r="25" spans="2:19" x14ac:dyDescent="0.25">
      <c r="K25" s="19" t="s">
        <v>36</v>
      </c>
      <c r="L25" s="4">
        <v>202</v>
      </c>
      <c r="M25" t="s">
        <v>35</v>
      </c>
    </row>
    <row r="26" spans="2:19" x14ac:dyDescent="0.25">
      <c r="B26" t="s">
        <v>731</v>
      </c>
      <c r="C26" t="s">
        <v>26</v>
      </c>
      <c r="D26" t="s">
        <v>732</v>
      </c>
      <c r="K26" s="19" t="s">
        <v>37</v>
      </c>
      <c r="L26" s="4">
        <v>56</v>
      </c>
      <c r="M26" t="s">
        <v>35</v>
      </c>
    </row>
    <row r="27" spans="2:19" x14ac:dyDescent="0.25">
      <c r="B27">
        <v>0.55000000000000004</v>
      </c>
      <c r="C27">
        <v>0</v>
      </c>
      <c r="D27">
        <f>10^(VLOOKUP(B27,fluxTable,7)-0.4*C27)*(B27*0.000001/(h_planck*c_light))*VLOOKUP(B27,fluxTable,2)</f>
        <v>9659679210.4571743</v>
      </c>
    </row>
    <row r="28" spans="2:19" x14ac:dyDescent="0.25">
      <c r="K28" s="19" t="s">
        <v>38</v>
      </c>
      <c r="L28" s="4">
        <v>200</v>
      </c>
      <c r="M28" t="s">
        <v>35</v>
      </c>
    </row>
    <row r="33" spans="7:26" x14ac:dyDescent="0.25">
      <c r="K33" s="8"/>
      <c r="M33" s="8"/>
    </row>
    <row r="34" spans="7:26" x14ac:dyDescent="0.25">
      <c r="K34" s="8"/>
      <c r="M34" s="8"/>
    </row>
    <row r="37" spans="7:26" x14ac:dyDescent="0.25">
      <c r="H37" s="8"/>
    </row>
    <row r="38" spans="7:26" x14ac:dyDescent="0.25">
      <c r="H38" s="8"/>
    </row>
    <row r="39" spans="7:26" x14ac:dyDescent="0.25">
      <c r="H39" s="8"/>
    </row>
    <row r="40" spans="7:26" x14ac:dyDescent="0.25">
      <c r="G40" s="8"/>
      <c r="H40" s="8"/>
    </row>
    <row r="41" spans="7:26" x14ac:dyDescent="0.25">
      <c r="G41" s="8"/>
      <c r="H41" s="8"/>
    </row>
    <row r="42" spans="7:26" x14ac:dyDescent="0.25">
      <c r="G42" s="8"/>
      <c r="H42" s="8"/>
    </row>
    <row r="43" spans="7:26" x14ac:dyDescent="0.25">
      <c r="G43" s="8"/>
      <c r="H43" s="8"/>
      <c r="X43" s="64"/>
    </row>
    <row r="44" spans="7:26" x14ac:dyDescent="0.25">
      <c r="G44" s="8"/>
      <c r="H44" s="8"/>
      <c r="N44" s="8"/>
      <c r="X44" s="64"/>
    </row>
    <row r="45" spans="7:26" x14ac:dyDescent="0.25">
      <c r="Y45">
        <v>1.05</v>
      </c>
      <c r="Z45">
        <v>-8.2426039712069752</v>
      </c>
    </row>
    <row r="46" spans="7:26" x14ac:dyDescent="0.25">
      <c r="Y46">
        <v>1.26</v>
      </c>
      <c r="Z46">
        <v>-8.4685210829577446</v>
      </c>
    </row>
    <row r="47" spans="7:26" x14ac:dyDescent="0.25">
      <c r="Y47">
        <v>1.64</v>
      </c>
      <c r="Z47">
        <v>-8.9281179926938741</v>
      </c>
    </row>
    <row r="48" spans="7:26" x14ac:dyDescent="0.25">
      <c r="Y48">
        <v>2.1800000000000002</v>
      </c>
      <c r="Z48">
        <v>-9.4089353929735005</v>
      </c>
    </row>
    <row r="49" spans="25:26" x14ac:dyDescent="0.25">
      <c r="Y49">
        <v>3.4</v>
      </c>
      <c r="Z49">
        <v>-10.136677139879543</v>
      </c>
    </row>
    <row r="50" spans="25:26" x14ac:dyDescent="0.25">
      <c r="Y50">
        <v>5</v>
      </c>
      <c r="Z50">
        <v>-10.673664139071249</v>
      </c>
    </row>
    <row r="51" spans="25:26" x14ac:dyDescent="0.25">
      <c r="Y51">
        <v>10.199999999999999</v>
      </c>
      <c r="Z51">
        <v>-11.910094888560602</v>
      </c>
    </row>
    <row r="52" spans="25:26" x14ac:dyDescent="0.25">
      <c r="Y52">
        <v>21</v>
      </c>
      <c r="Z52">
        <v>-13.167491087293763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Log</vt:lpstr>
      <vt:lpstr>SNR Main</vt:lpstr>
      <vt:lpstr>Coronagraphs</vt:lpstr>
      <vt:lpstr>RVp4_vis_stars_only</vt:lpstr>
      <vt:lpstr>Constants</vt:lpstr>
      <vt:lpstr>arcsec</vt:lpstr>
      <vt:lpstr>AU</vt:lpstr>
      <vt:lpstr>c_light</vt:lpstr>
      <vt:lpstr>CGcontColumns</vt:lpstr>
      <vt:lpstr>CIC</vt:lpstr>
      <vt:lpstr>ColArea</vt:lpstr>
      <vt:lpstr>CoronagraphList</vt:lpstr>
      <vt:lpstr>CoronagraphSpecs</vt:lpstr>
      <vt:lpstr>deg</vt:lpstr>
      <vt:lpstr>DetectorOptions</vt:lpstr>
      <vt:lpstr>DetectorTable</vt:lpstr>
      <vt:lpstr>ENF</vt:lpstr>
      <vt:lpstr>erg</vt:lpstr>
      <vt:lpstr>f_pp</vt:lpstr>
      <vt:lpstr>f_SR</vt:lpstr>
      <vt:lpstr>fluxTable</vt:lpstr>
      <vt:lpstr>FocalPlanes</vt:lpstr>
      <vt:lpstr>FocalPlaneTable</vt:lpstr>
      <vt:lpstr>frameRate</vt:lpstr>
      <vt:lpstr>FWHMsky</vt:lpstr>
      <vt:lpstr>h_planck</vt:lpstr>
      <vt:lpstr>HLCtable2</vt:lpstr>
      <vt:lpstr>hrs</vt:lpstr>
      <vt:lpstr>JitterCases</vt:lpstr>
      <vt:lpstr>min</vt:lpstr>
      <vt:lpstr>mpix</vt:lpstr>
      <vt:lpstr>pc</vt:lpstr>
      <vt:lpstr>PIAAtable2</vt:lpstr>
      <vt:lpstr>QE</vt:lpstr>
      <vt:lpstr>R_Earth</vt:lpstr>
      <vt:lpstr>RVp4List</vt:lpstr>
      <vt:lpstr>SNR</vt:lpstr>
      <vt:lpstr>SPCtable</vt:lpstr>
      <vt:lpstr>Tint</vt:lpstr>
      <vt:lpstr>TotThruput</vt:lpstr>
      <vt:lpstr>uas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2013-11-11T18:32:56Z</dcterms:created>
  <dcterms:modified xsi:type="dcterms:W3CDTF">2015-11-28T05:55:52Z</dcterms:modified>
</cp:coreProperties>
</file>