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nemati\Desktop\SNR\"/>
    </mc:Choice>
  </mc:AlternateContent>
  <bookViews>
    <workbookView xWindow="0" yWindow="0" windowWidth="20475" windowHeight="7815" tabRatio="599" activeTab="5"/>
  </bookViews>
  <sheets>
    <sheet name="Version log" sheetId="13" r:id="rId1"/>
    <sheet name="Photometry" sheetId="12" r:id="rId2"/>
    <sheet name="TAYF" sheetId="14" r:id="rId3"/>
    <sheet name="RV Prime" sheetId="19" r:id="rId4"/>
    <sheet name="RV Pl Traub" sheetId="11" r:id="rId5"/>
    <sheet name="Coronagraph" sheetId="4" r:id="rId6"/>
    <sheet name="Constants" sheetId="2" r:id="rId7"/>
    <sheet name="Spectra" sheetId="5" r:id="rId8"/>
    <sheet name="Throughput" sheetId="9" r:id="rId9"/>
    <sheet name="Design" sheetId="8" r:id="rId10"/>
    <sheet name="Transmission (Wave)" sheetId="7" r:id="rId11"/>
    <sheet name="Comparison" sheetId="17" r:id="rId12"/>
    <sheet name="res2" sheetId="18" r:id="rId13"/>
  </sheets>
  <definedNames>
    <definedName name="Al">Throughput!$D$6</definedName>
    <definedName name="arcsec">Constants!$N$16</definedName>
    <definedName name="AU">Constants!$N$11</definedName>
    <definedName name="availStellarTypes">Spectra!$C$2:$K$2</definedName>
    <definedName name="BBARx2">Throughput!$E$7</definedName>
    <definedName name="c_light">Constants!$N$4</definedName>
    <definedName name="CIC">Photometry!$T$5</definedName>
    <definedName name="CIC_noise">Photometry!$L$31</definedName>
    <definedName name="Col_area">Photometry!$AB$20</definedName>
    <definedName name="Color_filter">Throughput!$F$7</definedName>
    <definedName name="Coronagraph_Specs">Photometry!$AB$39:$AC$52</definedName>
    <definedName name="dark_current">Photometry!$T$4</definedName>
    <definedName name="darkcurrent_noise">Photometry!$L$30</definedName>
    <definedName name="deg">Constants!$N$17</definedName>
    <definedName name="Detector_Table">Photometry!$AB$25:$AD$30</definedName>
    <definedName name="diff_limit">Photometry!$AB$19</definedName>
    <definedName name="ENF">Photometry!$T$12</definedName>
    <definedName name="erg">Constants!$N$21</definedName>
    <definedName name="f_pp">Photometry!$D$9</definedName>
    <definedName name="f_SR">Photometry!$T$10</definedName>
    <definedName name="fluxTable">Constants!$C$4:$I$17</definedName>
    <definedName name="Focal_plane_table">Photometry!$AB$32:$AC$35</definedName>
    <definedName name="frame_rate">Photometry!$T$13</definedName>
    <definedName name="frame_time">Photometry!$D$8</definedName>
    <definedName name="FSS99_600">Throughput!$C$6</definedName>
    <definedName name="gain">Photometry!$T$7</definedName>
    <definedName name="gen_phot_flux">Photometry!$T$29</definedName>
    <definedName name="geometricAlbedoTable">'RV Prime'!#REF!</definedName>
    <definedName name="h_planck">Constants!$N$3</definedName>
    <definedName name="HLC_Coronagraph">Coronagraph!$A$6:$H$28</definedName>
    <definedName name="HLCdesignBW">Coronagraph!$D$2</definedName>
    <definedName name="HRC">Throughput!$B$6</definedName>
    <definedName name="HRC_R">Throughput!$B$6</definedName>
    <definedName name="hrs">Constants!$N$18</definedName>
    <definedName name="JupiterAlbedoTable">'RV Prime'!$AP$6:$AT$66</definedName>
    <definedName name="Masktype">Photometry!$AB$39:$AC$39</definedName>
    <definedName name="min">Constants!$N$19</definedName>
    <definedName name="mpix">Photometry!$T$11</definedName>
    <definedName name="N_spectra">TAYF!$C$21</definedName>
    <definedName name="nm">Constants!$N$24</definedName>
    <definedName name="Noise">Photometry!$L$23</definedName>
    <definedName name="noise_rate_total">Photometry!$T$42</definedName>
    <definedName name="pc">Constants!$N$12</definedName>
    <definedName name="phaseAngle">Photometry!$D$10</definedName>
    <definedName name="phFun">'RV Prime'!$AC$13:$AL$18</definedName>
    <definedName name="phot_flux">Photometry!$T$28</definedName>
    <definedName name="pl_contrast">Photometry!$T$34</definedName>
    <definedName name="pl_rate">Photometry!$T$35</definedName>
    <definedName name="Polarizer">Throughput!$G$7</definedName>
    <definedName name="QE">Photometry!$T$8</definedName>
    <definedName name="R_Earth">Constants!$N$9</definedName>
    <definedName name="R_jupiter">Constants!$N$10</definedName>
    <definedName name="read_noise">Photometry!$T$6</definedName>
    <definedName name="req_time">Photometry!$L$16</definedName>
    <definedName name="RVp4List">'RV Pl Traub'!$A$3:$S$438</definedName>
    <definedName name="RVPrime">'RV Prime'!$B$5:$W$38</definedName>
    <definedName name="scenario_table">Photometry!$AA$4:$AE$11</definedName>
    <definedName name="shot_noise">Photometry!$L$27</definedName>
    <definedName name="Signal">Photometry!$L$22</definedName>
    <definedName name="SNR">Photometry!$D$4</definedName>
    <definedName name="SPC_Coronagraph">Coronagraph!$L$5:$S$37</definedName>
    <definedName name="SPCdesignBW">Coronagraph!$P$2</definedName>
    <definedName name="spec_rate">Photometry!$T$36</definedName>
    <definedName name="speckle_noise">Photometry!$L$28</definedName>
    <definedName name="specklestruc_noise">Photometry!$L$33</definedName>
    <definedName name="SpecTable">Spectra!$A$3:$K$803</definedName>
    <definedName name="stellarClass">'RV Prime'!$W$5:$W$38</definedName>
    <definedName name="SunAbsMag">Constants!$N$35</definedName>
    <definedName name="tcor">Photometry!$AK$24</definedName>
    <definedName name="tfil">Photometry!$AK$26</definedName>
    <definedName name="Throughput_types">Throughput!$B$12:$B$41,Throughput!$I$12:$I$41</definedName>
    <definedName name="tobs">Photometry!$AK$22</definedName>
    <definedName name="tocc">Photometry!$AK$23</definedName>
    <definedName name="tpl">Photometry!$AK$31</definedName>
    <definedName name="tpol">Photometry!$AK$27</definedName>
    <definedName name="tpup">Photometry!$AK$68</definedName>
    <definedName name="tref">Photometry!$AK$25</definedName>
    <definedName name="tspec">Photometry!$AK$32</definedName>
    <definedName name="tzodi">Photometry!$AK$33</definedName>
    <definedName name="uas">Constants!$N$20</definedName>
    <definedName name="um">Constants!$N$23</definedName>
    <definedName name="zodi_noise">Photometry!$L$29</definedName>
    <definedName name="zodi_rate">Photometry!$T$41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5" i="12" l="1"/>
  <c r="AY18" i="12"/>
  <c r="AX18" i="12" s="1"/>
  <c r="AY19" i="12"/>
  <c r="AX19" i="12" s="1"/>
  <c r="AY20" i="12"/>
  <c r="AX20" i="12" s="1"/>
  <c r="AY21" i="12"/>
  <c r="AX21" i="12" s="1"/>
  <c r="AY22" i="12"/>
  <c r="AX22" i="12" s="1"/>
  <c r="AY23" i="12"/>
  <c r="AX23" i="12" s="1"/>
  <c r="AY24" i="12"/>
  <c r="AX24" i="12" s="1"/>
  <c r="AY25" i="12"/>
  <c r="AX25" i="12" s="1"/>
  <c r="AY26" i="12"/>
  <c r="AX26" i="12" s="1"/>
  <c r="AY17" i="12"/>
  <c r="AX17" i="12" s="1"/>
  <c r="AT16" i="12"/>
  <c r="AK12" i="12" l="1"/>
  <c r="AW7" i="19" l="1"/>
  <c r="AW8" i="19"/>
  <c r="AW9" i="19"/>
  <c r="AW10" i="19"/>
  <c r="AW11" i="19"/>
  <c r="AW12" i="19"/>
  <c r="AW13" i="19"/>
  <c r="AW14" i="19"/>
  <c r="AX14" i="19" s="1"/>
  <c r="AW15" i="19"/>
  <c r="AW16" i="19"/>
  <c r="AW17" i="19"/>
  <c r="AW18" i="19"/>
  <c r="AW19" i="19"/>
  <c r="AW20" i="19"/>
  <c r="AW21" i="19"/>
  <c r="AW22" i="19"/>
  <c r="AX22" i="19" s="1"/>
  <c r="AW23" i="19"/>
  <c r="AX23" i="19" s="1"/>
  <c r="AW24" i="19"/>
  <c r="AX24" i="19" s="1"/>
  <c r="AW25" i="19"/>
  <c r="AX25" i="19" s="1"/>
  <c r="AW26" i="19"/>
  <c r="AX26" i="19" s="1"/>
  <c r="AW27" i="19"/>
  <c r="AX27" i="19" s="1"/>
  <c r="AW28" i="19"/>
  <c r="AX28" i="19" s="1"/>
  <c r="AW29" i="19"/>
  <c r="AW30" i="19"/>
  <c r="AW31" i="19"/>
  <c r="AW32" i="19"/>
  <c r="AX32" i="19" s="1"/>
  <c r="AW33" i="19"/>
  <c r="AX33" i="19" s="1"/>
  <c r="AW34" i="19"/>
  <c r="AX34" i="19" s="1"/>
  <c r="AW35" i="19"/>
  <c r="AX35" i="19" s="1"/>
  <c r="AW36" i="19"/>
  <c r="AX36" i="19" s="1"/>
  <c r="AW37" i="19"/>
  <c r="AX37" i="19" s="1"/>
  <c r="AW38" i="19"/>
  <c r="AX38" i="19" s="1"/>
  <c r="AW39" i="19"/>
  <c r="AW40" i="19"/>
  <c r="AW41" i="19"/>
  <c r="AW42" i="19"/>
  <c r="AW43" i="19"/>
  <c r="AW44" i="19"/>
  <c r="AW45" i="19"/>
  <c r="AW46" i="19"/>
  <c r="AW47" i="19"/>
  <c r="AW48" i="19"/>
  <c r="AW49" i="19"/>
  <c r="AW50" i="19"/>
  <c r="AW51" i="19"/>
  <c r="AX51" i="19" s="1"/>
  <c r="AW52" i="19"/>
  <c r="AX52" i="19" s="1"/>
  <c r="AW53" i="19"/>
  <c r="AX53" i="19" s="1"/>
  <c r="AW54" i="19"/>
  <c r="AX54" i="19" s="1"/>
  <c r="AW55" i="19"/>
  <c r="AX55" i="19" s="1"/>
  <c r="AW56" i="19"/>
  <c r="AW57" i="19"/>
  <c r="AW58" i="19"/>
  <c r="AW59" i="19"/>
  <c r="AW60" i="19"/>
  <c r="AX60" i="19" s="1"/>
  <c r="AW61" i="19"/>
  <c r="AX61" i="19" s="1"/>
  <c r="AW62" i="19"/>
  <c r="AX62" i="19" s="1"/>
  <c r="AW63" i="19"/>
  <c r="AX63" i="19" s="1"/>
  <c r="AW64" i="19"/>
  <c r="AX64" i="19" s="1"/>
  <c r="AW65" i="19"/>
  <c r="AX65" i="19" s="1"/>
  <c r="AW66" i="19"/>
  <c r="AX66" i="19" s="1"/>
  <c r="AW6" i="19"/>
  <c r="AQ7" i="19"/>
  <c r="AQ8" i="19"/>
  <c r="AQ9" i="19"/>
  <c r="AQ10" i="19"/>
  <c r="AQ11" i="19"/>
  <c r="AQ12" i="19"/>
  <c r="AQ13" i="19"/>
  <c r="AQ14" i="19"/>
  <c r="AQ15" i="19"/>
  <c r="AQ16" i="19"/>
  <c r="AR16" i="19" s="1"/>
  <c r="AQ17" i="19"/>
  <c r="AQ18" i="19"/>
  <c r="AQ19" i="19"/>
  <c r="AQ20" i="19"/>
  <c r="AQ21" i="19"/>
  <c r="AR21" i="19" s="1"/>
  <c r="AQ22" i="19"/>
  <c r="AR22" i="19" s="1"/>
  <c r="AQ23" i="19"/>
  <c r="AR23" i="19" s="1"/>
  <c r="AQ24" i="19"/>
  <c r="AR24" i="19" s="1"/>
  <c r="AQ25" i="19"/>
  <c r="AR25" i="19" s="1"/>
  <c r="AQ26" i="19"/>
  <c r="AR26" i="19" s="1"/>
  <c r="AQ27" i="19"/>
  <c r="AR27" i="19" s="1"/>
  <c r="AQ28" i="19"/>
  <c r="AR28" i="19" s="1"/>
  <c r="AQ29" i="19"/>
  <c r="AR29" i="19" s="1"/>
  <c r="AQ30" i="19"/>
  <c r="AR30" i="19" s="1"/>
  <c r="AQ31" i="19"/>
  <c r="AR31" i="19" s="1"/>
  <c r="AQ32" i="19"/>
  <c r="AR32" i="19" s="1"/>
  <c r="AQ33" i="19"/>
  <c r="AR33" i="19" s="1"/>
  <c r="AQ34" i="19"/>
  <c r="AR34" i="19" s="1"/>
  <c r="AQ35" i="19"/>
  <c r="AR35" i="19" s="1"/>
  <c r="AQ36" i="19"/>
  <c r="AR36" i="19" s="1"/>
  <c r="AQ37" i="19"/>
  <c r="AR37" i="19" s="1"/>
  <c r="AQ38" i="19"/>
  <c r="AR38" i="19" s="1"/>
  <c r="AQ39" i="19"/>
  <c r="AQ40" i="19"/>
  <c r="AQ41" i="19"/>
  <c r="AR41" i="19" s="1"/>
  <c r="AQ42" i="19"/>
  <c r="AQ43" i="19"/>
  <c r="AQ44" i="19"/>
  <c r="AQ45" i="19"/>
  <c r="AQ46" i="19"/>
  <c r="AQ47" i="19"/>
  <c r="AQ48" i="19"/>
  <c r="AQ49" i="19"/>
  <c r="AQ50" i="19"/>
  <c r="AR50" i="19" s="1"/>
  <c r="AQ51" i="19"/>
  <c r="AR51" i="19" s="1"/>
  <c r="AQ52" i="19"/>
  <c r="AQ53" i="19"/>
  <c r="AQ54" i="19"/>
  <c r="AQ55" i="19"/>
  <c r="AQ56" i="19"/>
  <c r="AQ57" i="19"/>
  <c r="AQ58" i="19"/>
  <c r="AR58" i="19" s="1"/>
  <c r="AQ59" i="19"/>
  <c r="AR59" i="19" s="1"/>
  <c r="AQ60" i="19"/>
  <c r="AQ61" i="19"/>
  <c r="AR61" i="19" s="1"/>
  <c r="AQ62" i="19"/>
  <c r="AQ63" i="19"/>
  <c r="AQ64" i="19"/>
  <c r="AR64" i="19" s="1"/>
  <c r="AQ65" i="19"/>
  <c r="AR65" i="19" s="1"/>
  <c r="AQ66" i="19"/>
  <c r="AQ6" i="19"/>
  <c r="AR11" i="19"/>
  <c r="AR12" i="19"/>
  <c r="AR14" i="19"/>
  <c r="AR43" i="19"/>
  <c r="AR44" i="19"/>
  <c r="AR45" i="19"/>
  <c r="AR52" i="19"/>
  <c r="AR53" i="19"/>
  <c r="AR54" i="19"/>
  <c r="AR55" i="19"/>
  <c r="AR60" i="19"/>
  <c r="AR62" i="19"/>
  <c r="AR63" i="19"/>
  <c r="AR6" i="19"/>
  <c r="AS66" i="19"/>
  <c r="AT66" i="19" s="1"/>
  <c r="AR66" i="19"/>
  <c r="AS65" i="19"/>
  <c r="AT65" i="19" s="1"/>
  <c r="AS64" i="19"/>
  <c r="AT64" i="19" s="1"/>
  <c r="AS63" i="19"/>
  <c r="AT63" i="19" s="1"/>
  <c r="AS62" i="19"/>
  <c r="AT62" i="19" s="1"/>
  <c r="AS61" i="19"/>
  <c r="AT61" i="19" s="1"/>
  <c r="AT60" i="19"/>
  <c r="AS60" i="19"/>
  <c r="AX59" i="19"/>
  <c r="AS59" i="19"/>
  <c r="AT59" i="19" s="1"/>
  <c r="AX58" i="19"/>
  <c r="AS58" i="19"/>
  <c r="AT58" i="19" s="1"/>
  <c r="AX57" i="19"/>
  <c r="AS57" i="19"/>
  <c r="AT57" i="19" s="1"/>
  <c r="AR57" i="19"/>
  <c r="AX56" i="19"/>
  <c r="AS56" i="19"/>
  <c r="AT56" i="19" s="1"/>
  <c r="AR56" i="19"/>
  <c r="AS55" i="19"/>
  <c r="AT55" i="19" s="1"/>
  <c r="AS54" i="19"/>
  <c r="AT54" i="19" s="1"/>
  <c r="AS53" i="19"/>
  <c r="AT53" i="19" s="1"/>
  <c r="AS52" i="19"/>
  <c r="AT52" i="19" s="1"/>
  <c r="AS51" i="19"/>
  <c r="AT51" i="19" s="1"/>
  <c r="AX50" i="19"/>
  <c r="AS50" i="19"/>
  <c r="AT50" i="19" s="1"/>
  <c r="AX49" i="19"/>
  <c r="AS49" i="19"/>
  <c r="AT49" i="19" s="1"/>
  <c r="AR49" i="19"/>
  <c r="AX48" i="19"/>
  <c r="AS48" i="19"/>
  <c r="AT48" i="19" s="1"/>
  <c r="AR48" i="19"/>
  <c r="AX47" i="19"/>
  <c r="AS47" i="19"/>
  <c r="AT47" i="19" s="1"/>
  <c r="AR47" i="19"/>
  <c r="AX46" i="19"/>
  <c r="AS46" i="19"/>
  <c r="AT46" i="19" s="1"/>
  <c r="AR46" i="19"/>
  <c r="AX45" i="19"/>
  <c r="AS45" i="19"/>
  <c r="AT45" i="19" s="1"/>
  <c r="AX44" i="19"/>
  <c r="AT44" i="19"/>
  <c r="AS44" i="19"/>
  <c r="AX43" i="19"/>
  <c r="AS43" i="19"/>
  <c r="AT43" i="19" s="1"/>
  <c r="AX42" i="19"/>
  <c r="AS42" i="19"/>
  <c r="AT42" i="19" s="1"/>
  <c r="AR42" i="19"/>
  <c r="AX41" i="19"/>
  <c r="AS41" i="19"/>
  <c r="AT41" i="19" s="1"/>
  <c r="AX40" i="19"/>
  <c r="AS40" i="19"/>
  <c r="AT40" i="19" s="1"/>
  <c r="AR40" i="19"/>
  <c r="AX39" i="19"/>
  <c r="AS39" i="19"/>
  <c r="AT39" i="19" s="1"/>
  <c r="AR39" i="19"/>
  <c r="AS38" i="19"/>
  <c r="AT38" i="19" s="1"/>
  <c r="AS37" i="19"/>
  <c r="AT37" i="19" s="1"/>
  <c r="AS36" i="19"/>
  <c r="AT36" i="19" s="1"/>
  <c r="AS35" i="19"/>
  <c r="AT35" i="19" s="1"/>
  <c r="AS34" i="19"/>
  <c r="AT34" i="19" s="1"/>
  <c r="AS33" i="19"/>
  <c r="AT33" i="19" s="1"/>
  <c r="AS32" i="19"/>
  <c r="AT32" i="19" s="1"/>
  <c r="AX31" i="19"/>
  <c r="AS31" i="19"/>
  <c r="AT31" i="19" s="1"/>
  <c r="AX30" i="19"/>
  <c r="AS30" i="19"/>
  <c r="AT30" i="19" s="1"/>
  <c r="AX29" i="19"/>
  <c r="AS29" i="19"/>
  <c r="AT29" i="19" s="1"/>
  <c r="AT28" i="19"/>
  <c r="AS28" i="19"/>
  <c r="AS27" i="19"/>
  <c r="AT27" i="19" s="1"/>
  <c r="AS26" i="19"/>
  <c r="AT26" i="19" s="1"/>
  <c r="AS25" i="19"/>
  <c r="AT25" i="19" s="1"/>
  <c r="AS24" i="19"/>
  <c r="AT24" i="19" s="1"/>
  <c r="AS23" i="19"/>
  <c r="AT23" i="19" s="1"/>
  <c r="AS22" i="19"/>
  <c r="AT22" i="19" s="1"/>
  <c r="AX21" i="19"/>
  <c r="AS21" i="19"/>
  <c r="AT21" i="19" s="1"/>
  <c r="AX20" i="19"/>
  <c r="AS20" i="19"/>
  <c r="AT20" i="19" s="1"/>
  <c r="AR20" i="19"/>
  <c r="AX19" i="19"/>
  <c r="AS19" i="19"/>
  <c r="AT19" i="19" s="1"/>
  <c r="AR19" i="19"/>
  <c r="AX18" i="19"/>
  <c r="AS18" i="19"/>
  <c r="AT18" i="19" s="1"/>
  <c r="AR18" i="19"/>
  <c r="AX17" i="19"/>
  <c r="AS17" i="19"/>
  <c r="AT17" i="19" s="1"/>
  <c r="AR17" i="19"/>
  <c r="AX16" i="19"/>
  <c r="AS16" i="19"/>
  <c r="AT16" i="19" s="1"/>
  <c r="AX15" i="19"/>
  <c r="AS15" i="19"/>
  <c r="AT15" i="19" s="1"/>
  <c r="AR15" i="19"/>
  <c r="AS14" i="19"/>
  <c r="AT14" i="19" s="1"/>
  <c r="AX13" i="19"/>
  <c r="AS13" i="19"/>
  <c r="AT13" i="19" s="1"/>
  <c r="AR13" i="19"/>
  <c r="AX12" i="19"/>
  <c r="AS12" i="19"/>
  <c r="AT12" i="19" s="1"/>
  <c r="AX11" i="19"/>
  <c r="AS11" i="19"/>
  <c r="AT11" i="19" s="1"/>
  <c r="AX10" i="19"/>
  <c r="AS10" i="19"/>
  <c r="AT10" i="19" s="1"/>
  <c r="AR10" i="19"/>
  <c r="AX9" i="19"/>
  <c r="AS9" i="19"/>
  <c r="AT9" i="19" s="1"/>
  <c r="AR9" i="19"/>
  <c r="AX8" i="19"/>
  <c r="AS8" i="19"/>
  <c r="AT8" i="19" s="1"/>
  <c r="AR8" i="19"/>
  <c r="AX7" i="19"/>
  <c r="AS7" i="19"/>
  <c r="AT7" i="19" s="1"/>
  <c r="AR7" i="19"/>
  <c r="AX6" i="19"/>
  <c r="AS6" i="19"/>
  <c r="AT6" i="19" s="1"/>
  <c r="AC48" i="12" l="1"/>
  <c r="AC47" i="12"/>
  <c r="AB48" i="12"/>
  <c r="AB47" i="12"/>
  <c r="T31" i="12" s="1"/>
  <c r="S44" i="4"/>
  <c r="S43" i="4"/>
  <c r="AJ13" i="19" l="1"/>
  <c r="AL13" i="19"/>
  <c r="AJ14" i="19"/>
  <c r="AL14" i="19"/>
  <c r="AJ15" i="19"/>
  <c r="AC24" i="19" s="1"/>
  <c r="AL15" i="19"/>
  <c r="AJ16" i="19"/>
  <c r="AL16" i="19"/>
  <c r="AJ17" i="19"/>
  <c r="AL17" i="19"/>
  <c r="AJ18" i="19"/>
  <c r="AL18" i="19"/>
  <c r="AK14" i="12" l="1"/>
  <c r="AK13" i="12"/>
  <c r="AK11" i="12"/>
  <c r="T34" i="12"/>
  <c r="AK9" i="12"/>
  <c r="AK8" i="12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6" i="19"/>
  <c r="M5" i="19"/>
  <c r="AB8" i="12" l="1"/>
  <c r="AB9" i="12"/>
  <c r="AB10" i="12"/>
  <c r="S2" i="4"/>
  <c r="AC50" i="12" s="1"/>
  <c r="AB50" i="12"/>
  <c r="AK27" i="12" s="1"/>
  <c r="AB11" i="12" l="1"/>
  <c r="AB7" i="12"/>
  <c r="AB6" i="12"/>
  <c r="AB5" i="12"/>
  <c r="L5" i="12" l="1"/>
  <c r="L4" i="12"/>
  <c r="AB19" i="12" s="1"/>
  <c r="U48" i="12" s="1"/>
  <c r="L11" i="12"/>
  <c r="AK7" i="12"/>
  <c r="AF35" i="14"/>
  <c r="AF34" i="14"/>
  <c r="W32" i="14"/>
  <c r="W33" i="14"/>
  <c r="W34" i="14"/>
  <c r="W35" i="14"/>
  <c r="W36" i="14"/>
  <c r="W37" i="14"/>
  <c r="W38" i="14"/>
  <c r="W39" i="14"/>
  <c r="W40" i="14"/>
  <c r="W41" i="14"/>
  <c r="W31" i="14"/>
  <c r="AK22" i="12"/>
  <c r="AB20" i="12" s="1"/>
  <c r="L3" i="12"/>
  <c r="L6" i="12"/>
  <c r="AB21" i="12" s="1"/>
  <c r="AB34" i="12" s="1"/>
  <c r="T8" i="12"/>
  <c r="AC52" i="12"/>
  <c r="T12" i="12"/>
  <c r="T13" i="12"/>
  <c r="T6" i="12"/>
  <c r="T7" i="12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3" i="9"/>
  <c r="B34" i="9"/>
  <c r="B36" i="9"/>
  <c r="B39" i="9"/>
  <c r="B41" i="9"/>
  <c r="B42" i="9"/>
  <c r="AK26" i="12" s="1"/>
  <c r="B44" i="9"/>
  <c r="AK47" i="12"/>
  <c r="AF15" i="14"/>
  <c r="AF14" i="14"/>
  <c r="F6" i="2"/>
  <c r="H6" i="2" s="1"/>
  <c r="T37" i="12" s="1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2" i="9"/>
  <c r="I33" i="9"/>
  <c r="I35" i="9"/>
  <c r="I36" i="9"/>
  <c r="I39" i="9"/>
  <c r="I41" i="9"/>
  <c r="C21" i="14"/>
  <c r="N16" i="2"/>
  <c r="N12" i="2" s="1"/>
  <c r="T21" i="12"/>
  <c r="AB52" i="12"/>
  <c r="D29" i="14"/>
  <c r="C37" i="14"/>
  <c r="C36" i="14"/>
  <c r="C35" i="14"/>
  <c r="C34" i="14"/>
  <c r="C33" i="14"/>
  <c r="C31" i="14"/>
  <c r="C30" i="14"/>
  <c r="C29" i="14"/>
  <c r="C28" i="14"/>
  <c r="C27" i="14"/>
  <c r="C26" i="14"/>
  <c r="C25" i="14"/>
  <c r="T9" i="12"/>
  <c r="AC28" i="12"/>
  <c r="I8" i="2"/>
  <c r="I6" i="2"/>
  <c r="N13" i="2"/>
  <c r="N17" i="2"/>
  <c r="N20" i="2"/>
  <c r="N64" i="9"/>
  <c r="L64" i="9"/>
  <c r="J64" i="9"/>
  <c r="G64" i="9"/>
  <c r="C64" i="9"/>
  <c r="M61" i="9"/>
  <c r="F61" i="9"/>
  <c r="M60" i="9"/>
  <c r="F60" i="9"/>
  <c r="M59" i="9"/>
  <c r="F59" i="9"/>
  <c r="K57" i="9"/>
  <c r="K56" i="9"/>
  <c r="K55" i="9"/>
  <c r="K54" i="9"/>
  <c r="K53" i="9"/>
  <c r="K51" i="9"/>
  <c r="K50" i="9"/>
  <c r="K49" i="9"/>
  <c r="K48" i="9"/>
  <c r="K47" i="9"/>
  <c r="I45" i="9"/>
  <c r="B45" i="9"/>
  <c r="K43" i="9"/>
  <c r="I43" i="9"/>
  <c r="B43" i="9"/>
  <c r="K42" i="9"/>
  <c r="I42" i="9"/>
  <c r="K41" i="9"/>
  <c r="K39" i="9"/>
  <c r="D39" i="9"/>
  <c r="K36" i="9"/>
  <c r="M35" i="9"/>
  <c r="M33" i="9"/>
  <c r="K33" i="9"/>
  <c r="F33" i="9"/>
  <c r="M32" i="9"/>
  <c r="K32" i="9"/>
  <c r="F31" i="9"/>
  <c r="M30" i="9"/>
  <c r="K30" i="9"/>
  <c r="F30" i="9"/>
  <c r="M29" i="9"/>
  <c r="K29" i="9"/>
  <c r="F29" i="9"/>
  <c r="M28" i="9"/>
  <c r="K28" i="9"/>
  <c r="F28" i="9"/>
  <c r="M27" i="9"/>
  <c r="K27" i="9"/>
  <c r="F27" i="9"/>
  <c r="M26" i="9"/>
  <c r="K26" i="9"/>
  <c r="F26" i="9"/>
  <c r="M25" i="9"/>
  <c r="K25" i="9"/>
  <c r="F25" i="9"/>
  <c r="M24" i="9"/>
  <c r="K24" i="9"/>
  <c r="F24" i="9"/>
  <c r="M23" i="9"/>
  <c r="K23" i="9"/>
  <c r="F23" i="9"/>
  <c r="M22" i="9"/>
  <c r="K22" i="9"/>
  <c r="F22" i="9"/>
  <c r="M21" i="9"/>
  <c r="K21" i="9"/>
  <c r="F21" i="9"/>
  <c r="M20" i="9"/>
  <c r="K20" i="9"/>
  <c r="F20" i="9"/>
  <c r="M19" i="9"/>
  <c r="K19" i="9"/>
  <c r="F19" i="9"/>
  <c r="M18" i="9"/>
  <c r="K18" i="9"/>
  <c r="F18" i="9"/>
  <c r="M17" i="9"/>
  <c r="K17" i="9"/>
  <c r="F17" i="9"/>
  <c r="M16" i="9"/>
  <c r="K16" i="9"/>
  <c r="F16" i="9"/>
  <c r="M15" i="9"/>
  <c r="K15" i="9"/>
  <c r="F15" i="9"/>
  <c r="M14" i="9"/>
  <c r="K14" i="9"/>
  <c r="F14" i="9"/>
  <c r="M13" i="9"/>
  <c r="K13" i="9"/>
  <c r="F13" i="9"/>
  <c r="L14" i="7"/>
  <c r="K14" i="7"/>
  <c r="J14" i="7"/>
  <c r="I14" i="7"/>
  <c r="H14" i="7"/>
  <c r="G14" i="7"/>
  <c r="F14" i="7"/>
  <c r="E14" i="7"/>
  <c r="D14" i="7"/>
  <c r="C14" i="7"/>
  <c r="B14" i="7"/>
  <c r="L6" i="7"/>
  <c r="K6" i="7"/>
  <c r="J6" i="7"/>
  <c r="I6" i="7"/>
  <c r="H6" i="7"/>
  <c r="G6" i="7"/>
  <c r="F6" i="7"/>
  <c r="E6" i="7"/>
  <c r="D6" i="7"/>
  <c r="C6" i="7"/>
  <c r="B6" i="7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3" i="5"/>
  <c r="F4" i="2"/>
  <c r="G4" i="2" s="1"/>
  <c r="I4" i="2"/>
  <c r="F5" i="2"/>
  <c r="H5" i="2" s="1"/>
  <c r="I5" i="2"/>
  <c r="F7" i="2"/>
  <c r="G7" i="2" s="1"/>
  <c r="I7" i="2"/>
  <c r="F8" i="2"/>
  <c r="G8" i="2" s="1"/>
  <c r="F9" i="2"/>
  <c r="G9" i="2" s="1"/>
  <c r="I9" i="2"/>
  <c r="F10" i="2"/>
  <c r="H10" i="2" s="1"/>
  <c r="I10" i="2"/>
  <c r="F11" i="2"/>
  <c r="G11" i="2"/>
  <c r="H11" i="2"/>
  <c r="I11" i="2"/>
  <c r="F12" i="2"/>
  <c r="H12" i="2" s="1"/>
  <c r="I12" i="2"/>
  <c r="F13" i="2"/>
  <c r="H13" i="2" s="1"/>
  <c r="I13" i="2"/>
  <c r="F14" i="2"/>
  <c r="H14" i="2" s="1"/>
  <c r="I14" i="2"/>
  <c r="F15" i="2"/>
  <c r="H15" i="2" s="1"/>
  <c r="I15" i="2"/>
  <c r="F16" i="2"/>
  <c r="G16" i="2"/>
  <c r="H16" i="2"/>
  <c r="I16" i="2"/>
  <c r="F17" i="2"/>
  <c r="G17" i="2" s="1"/>
  <c r="I17" i="2"/>
  <c r="D24" i="2"/>
  <c r="H7" i="2"/>
  <c r="L10" i="12"/>
  <c r="L9" i="12"/>
  <c r="G5" i="2"/>
  <c r="E7" i="12"/>
  <c r="T28" i="12"/>
  <c r="T16" i="12"/>
  <c r="AC35" i="12" s="1"/>
  <c r="AB35" i="12"/>
  <c r="C32" i="14"/>
  <c r="AF36" i="19" l="1"/>
  <c r="AF37" i="19"/>
  <c r="AF38" i="19"/>
  <c r="AF40" i="19"/>
  <c r="AF34" i="19"/>
  <c r="AF39" i="19"/>
  <c r="AF29" i="19"/>
  <c r="AF31" i="19"/>
  <c r="AF33" i="19"/>
  <c r="AF41" i="19"/>
  <c r="AF42" i="19"/>
  <c r="AF43" i="19"/>
  <c r="AF27" i="19"/>
  <c r="AF32" i="19"/>
  <c r="AF25" i="19"/>
  <c r="AF26" i="19"/>
  <c r="AF28" i="19"/>
  <c r="AF30" i="19"/>
  <c r="AF35" i="19"/>
  <c r="H9" i="2"/>
  <c r="AC49" i="12"/>
  <c r="F64" i="9"/>
  <c r="K64" i="9"/>
  <c r="M64" i="9"/>
  <c r="H8" i="2"/>
  <c r="AB49" i="12"/>
  <c r="H4" i="2"/>
  <c r="H17" i="2"/>
  <c r="T32" i="12"/>
  <c r="AK25" i="12"/>
  <c r="AK65" i="12" s="1"/>
  <c r="AK66" i="12" s="1"/>
  <c r="BU8" i="12"/>
  <c r="BT8" i="12"/>
  <c r="BV8" i="12"/>
  <c r="BW8" i="12"/>
  <c r="BX8" i="12"/>
  <c r="BY8" i="12"/>
  <c r="BZ8" i="12"/>
  <c r="CA8" i="12"/>
  <c r="BS8" i="12"/>
  <c r="V7" i="12"/>
  <c r="T10" i="12"/>
  <c r="T11" i="12"/>
  <c r="C14" i="14" s="1"/>
  <c r="AK40" i="12"/>
  <c r="AK6" i="12"/>
  <c r="F7" i="12"/>
  <c r="F68" i="9"/>
  <c r="F69" i="9" s="1"/>
  <c r="F65" i="9"/>
  <c r="D45" i="12"/>
  <c r="K65" i="9"/>
  <c r="K68" i="9"/>
  <c r="K69" i="9" s="1"/>
  <c r="M68" i="9"/>
  <c r="M69" i="9" s="1"/>
  <c r="M65" i="9"/>
  <c r="P153" i="11"/>
  <c r="P32" i="11"/>
  <c r="P274" i="11"/>
  <c r="P147" i="11"/>
  <c r="P241" i="11"/>
  <c r="P214" i="11"/>
  <c r="P335" i="11"/>
  <c r="P88" i="11"/>
  <c r="P293" i="11"/>
  <c r="P62" i="11"/>
  <c r="P87" i="11"/>
  <c r="P421" i="11"/>
  <c r="P247" i="11"/>
  <c r="P397" i="11"/>
  <c r="P121" i="11"/>
  <c r="P128" i="11"/>
  <c r="P155" i="11"/>
  <c r="P146" i="11"/>
  <c r="P161" i="11"/>
  <c r="P86" i="11"/>
  <c r="P36" i="11"/>
  <c r="P181" i="11"/>
  <c r="P221" i="11"/>
  <c r="P61" i="11"/>
  <c r="P26" i="11"/>
  <c r="P275" i="11"/>
  <c r="P230" i="11"/>
  <c r="P75" i="11"/>
  <c r="P405" i="11"/>
  <c r="P301" i="11"/>
  <c r="P281" i="11"/>
  <c r="P329" i="11"/>
  <c r="P308" i="11"/>
  <c r="P198" i="11"/>
  <c r="P381" i="11"/>
  <c r="P422" i="11"/>
  <c r="P343" i="11"/>
  <c r="P199" i="11"/>
  <c r="P74" i="11"/>
  <c r="P63" i="11"/>
  <c r="P430" i="11"/>
  <c r="P398" i="11"/>
  <c r="P157" i="11"/>
  <c r="P255" i="11"/>
  <c r="P283" i="11"/>
  <c r="P232" i="11"/>
  <c r="P22" i="11"/>
  <c r="P348" i="11"/>
  <c r="P68" i="11"/>
  <c r="P38" i="11"/>
  <c r="P178" i="11"/>
  <c r="P92" i="11"/>
  <c r="P71" i="11"/>
  <c r="P236" i="11"/>
  <c r="P229" i="11"/>
  <c r="P215" i="11"/>
  <c r="P251" i="11"/>
  <c r="P189" i="11"/>
  <c r="P416" i="11"/>
  <c r="P238" i="11"/>
  <c r="P386" i="11"/>
  <c r="P3" i="11"/>
  <c r="P60" i="11"/>
  <c r="P434" i="11"/>
  <c r="P312" i="11"/>
  <c r="P217" i="11"/>
  <c r="P85" i="11"/>
  <c r="P58" i="11"/>
  <c r="P31" i="11"/>
  <c r="P94" i="11"/>
  <c r="P262" i="11"/>
  <c r="P292" i="11"/>
  <c r="P93" i="11"/>
  <c r="P14" i="11"/>
  <c r="P400" i="11"/>
  <c r="P90" i="11"/>
  <c r="P84" i="11"/>
  <c r="P302" i="11"/>
  <c r="P318" i="11"/>
  <c r="P406" i="11"/>
  <c r="P9" i="11"/>
  <c r="P156" i="11"/>
  <c r="P438" i="11"/>
  <c r="P70" i="11"/>
  <c r="P368" i="11"/>
  <c r="P222" i="11"/>
  <c r="P249" i="11"/>
  <c r="P127" i="11"/>
  <c r="P151" i="11"/>
  <c r="P379" i="11"/>
  <c r="P410" i="11"/>
  <c r="P42" i="11"/>
  <c r="P306" i="11"/>
  <c r="P107" i="11"/>
  <c r="P307" i="11"/>
  <c r="P258" i="11"/>
  <c r="P102" i="11"/>
  <c r="P208" i="11"/>
  <c r="P235" i="11"/>
  <c r="P11" i="11"/>
  <c r="P268" i="11"/>
  <c r="P354" i="11"/>
  <c r="P7" i="11"/>
  <c r="P286" i="11"/>
  <c r="P350" i="11"/>
  <c r="P190" i="11"/>
  <c r="P133" i="11"/>
  <c r="P237" i="11"/>
  <c r="P117" i="11"/>
  <c r="P404" i="11"/>
  <c r="P426" i="11"/>
  <c r="P367" i="11"/>
  <c r="P362" i="11"/>
  <c r="P337" i="11"/>
  <c r="P375" i="11"/>
  <c r="P259" i="11"/>
  <c r="P203" i="11"/>
  <c r="P125" i="11"/>
  <c r="P316" i="11"/>
  <c r="P95" i="11"/>
  <c r="P46" i="11"/>
  <c r="P346" i="11"/>
  <c r="P183" i="11"/>
  <c r="P311" i="11"/>
  <c r="P390" i="11"/>
  <c r="P303" i="11"/>
  <c r="P172" i="11"/>
  <c r="P428" i="11"/>
  <c r="P260" i="11"/>
  <c r="P224" i="11"/>
  <c r="P300" i="11"/>
  <c r="P341" i="11"/>
  <c r="P67" i="11"/>
  <c r="P227" i="11"/>
  <c r="P112" i="11"/>
  <c r="P273" i="11"/>
  <c r="P231" i="11"/>
  <c r="P160" i="11"/>
  <c r="P333" i="11"/>
  <c r="P47" i="11"/>
  <c r="P134" i="11"/>
  <c r="P418" i="11"/>
  <c r="P226" i="11"/>
  <c r="P143" i="11"/>
  <c r="P417" i="11"/>
  <c r="P389" i="11"/>
  <c r="P313" i="11"/>
  <c r="P374" i="11"/>
  <c r="P254" i="11"/>
  <c r="P373" i="11"/>
  <c r="P162" i="11"/>
  <c r="P184" i="11"/>
  <c r="P166" i="11"/>
  <c r="P135" i="11"/>
  <c r="P23" i="11"/>
  <c r="P25" i="11"/>
  <c r="P269" i="11"/>
  <c r="P246" i="11"/>
  <c r="P432" i="11"/>
  <c r="P233" i="11"/>
  <c r="P407" i="11"/>
  <c r="P82" i="11"/>
  <c r="P243" i="11"/>
  <c r="P282" i="11"/>
  <c r="P328" i="11"/>
  <c r="P216" i="11"/>
  <c r="P15" i="11"/>
  <c r="P89" i="11"/>
  <c r="P435" i="11"/>
  <c r="P188" i="11"/>
  <c r="P369" i="11"/>
  <c r="P12" i="11"/>
  <c r="P101" i="11"/>
  <c r="P424" i="11"/>
  <c r="P4" i="11"/>
  <c r="P122" i="11"/>
  <c r="P148" i="11"/>
  <c r="P37" i="11"/>
  <c r="P111" i="11"/>
  <c r="P287" i="11"/>
  <c r="P171" i="11"/>
  <c r="P13" i="11"/>
  <c r="P45" i="11"/>
  <c r="P242" i="11"/>
  <c r="P411" i="11"/>
  <c r="P436" i="11"/>
  <c r="P339" i="11"/>
  <c r="P193" i="11"/>
  <c r="P176" i="11"/>
  <c r="P48" i="11"/>
  <c r="P382" i="11"/>
  <c r="P319" i="11"/>
  <c r="P402" i="11"/>
  <c r="P342" i="11"/>
  <c r="P353" i="11"/>
  <c r="P317" i="11"/>
  <c r="P124" i="11"/>
  <c r="P30" i="11"/>
  <c r="P239" i="11"/>
  <c r="P408" i="11"/>
  <c r="P130" i="11"/>
  <c r="P360" i="11"/>
  <c r="P245" i="11"/>
  <c r="P334" i="11"/>
  <c r="P384" i="11"/>
  <c r="P330" i="11"/>
  <c r="P41" i="11"/>
  <c r="P57" i="11"/>
  <c r="P356" i="11"/>
  <c r="P50" i="11"/>
  <c r="P380" i="11"/>
  <c r="P425" i="11"/>
  <c r="P394" i="11"/>
  <c r="P207" i="11"/>
  <c r="P175" i="11"/>
  <c r="P104" i="11"/>
  <c r="P401" i="11"/>
  <c r="P59" i="11"/>
  <c r="P136" i="11"/>
  <c r="P34" i="11"/>
  <c r="P10" i="11"/>
  <c r="P108" i="11"/>
  <c r="P204" i="11"/>
  <c r="P344" i="11"/>
  <c r="P76" i="11"/>
  <c r="P129" i="11"/>
  <c r="P278" i="11"/>
  <c r="P132" i="11"/>
  <c r="P359" i="11"/>
  <c r="P299" i="11"/>
  <c r="P388" i="11"/>
  <c r="P17" i="11"/>
  <c r="P219" i="11"/>
  <c r="P103" i="11"/>
  <c r="P378" i="11"/>
  <c r="P200" i="11"/>
  <c r="P167" i="11"/>
  <c r="P73" i="11"/>
  <c r="P320" i="11"/>
  <c r="P383" i="11"/>
  <c r="P180" i="11"/>
  <c r="P358" i="11"/>
  <c r="P138" i="11"/>
  <c r="P270" i="11"/>
  <c r="P372" i="11"/>
  <c r="P253" i="11"/>
  <c r="P364" i="11"/>
  <c r="P165" i="11"/>
  <c r="P35" i="11"/>
  <c r="P164" i="11"/>
  <c r="P263" i="11"/>
  <c r="P69" i="11"/>
  <c r="P194" i="11"/>
  <c r="P371" i="11"/>
  <c r="P314" i="11"/>
  <c r="P43" i="11"/>
  <c r="P192" i="11"/>
  <c r="P201" i="11"/>
  <c r="P211" i="11"/>
  <c r="P220" i="11"/>
  <c r="P8" i="11"/>
  <c r="P279" i="11"/>
  <c r="P213" i="11"/>
  <c r="P324" i="11"/>
  <c r="P120" i="11"/>
  <c r="P252" i="11"/>
  <c r="P154" i="11"/>
  <c r="P256" i="11"/>
  <c r="P81" i="11"/>
  <c r="P295" i="11"/>
  <c r="P409" i="11"/>
  <c r="P170" i="11"/>
  <c r="P365" i="11"/>
  <c r="P276" i="11"/>
  <c r="P376" i="11"/>
  <c r="P419" i="11"/>
  <c r="P284" i="11"/>
  <c r="P218" i="11"/>
  <c r="P209" i="11"/>
  <c r="P332" i="11"/>
  <c r="P173" i="11"/>
  <c r="P327" i="11"/>
  <c r="P370" i="11"/>
  <c r="P20" i="11"/>
  <c r="P6" i="11"/>
  <c r="P250" i="11"/>
  <c r="P79" i="11"/>
  <c r="P431" i="11"/>
  <c r="P391" i="11"/>
  <c r="P182" i="11"/>
  <c r="P396" i="11"/>
  <c r="P191" i="11"/>
  <c r="P296" i="11"/>
  <c r="P54" i="11"/>
  <c r="P109" i="11"/>
  <c r="P338" i="11"/>
  <c r="P415" i="11"/>
  <c r="P116" i="11"/>
  <c r="P33" i="11"/>
  <c r="P177" i="11"/>
  <c r="P105" i="11"/>
  <c r="P420" i="11"/>
  <c r="P361" i="11"/>
  <c r="P66" i="11"/>
  <c r="P347" i="11"/>
  <c r="P179" i="11"/>
  <c r="P285" i="11"/>
  <c r="P114" i="11"/>
  <c r="P392" i="11"/>
  <c r="P131" i="11"/>
  <c r="P355" i="11"/>
  <c r="P277" i="11"/>
  <c r="P267" i="11"/>
  <c r="P144" i="11"/>
  <c r="P336" i="11"/>
  <c r="P140" i="11"/>
  <c r="P387" i="11"/>
  <c r="P106" i="11"/>
  <c r="P202" i="11"/>
  <c r="P289" i="11"/>
  <c r="P16" i="11"/>
  <c r="P403" i="11"/>
  <c r="P152" i="11"/>
  <c r="P309" i="11"/>
  <c r="P264" i="11"/>
  <c r="P437" i="11"/>
  <c r="P169" i="11"/>
  <c r="P80" i="11"/>
  <c r="P97" i="11"/>
  <c r="P266" i="11"/>
  <c r="P366" i="11"/>
  <c r="P412" i="11"/>
  <c r="P158" i="11"/>
  <c r="P137" i="11"/>
  <c r="P223" i="11"/>
  <c r="P351" i="11"/>
  <c r="P377" i="11"/>
  <c r="P265" i="11"/>
  <c r="P228" i="11"/>
  <c r="P304" i="11"/>
  <c r="P248" i="11"/>
  <c r="P414" i="11"/>
  <c r="P149" i="11"/>
  <c r="P123" i="11"/>
  <c r="P142" i="11"/>
  <c r="P280" i="11"/>
  <c r="P423" i="11"/>
  <c r="P323" i="11"/>
  <c r="P187" i="11"/>
  <c r="P340" i="11"/>
  <c r="P322" i="11"/>
  <c r="P234" i="11"/>
  <c r="P352" i="11"/>
  <c r="P126" i="11"/>
  <c r="P96" i="11"/>
  <c r="P174" i="11"/>
  <c r="P272" i="11"/>
  <c r="P298" i="11"/>
  <c r="P39" i="11"/>
  <c r="P195" i="11"/>
  <c r="P29" i="11"/>
  <c r="P257" i="11"/>
  <c r="P5" i="11"/>
  <c r="P168" i="11"/>
  <c r="P321" i="11"/>
  <c r="P206" i="11"/>
  <c r="P185" i="11"/>
  <c r="P240" i="11"/>
  <c r="P51" i="11"/>
  <c r="P113" i="11"/>
  <c r="P205" i="11"/>
  <c r="P429" i="11"/>
  <c r="P271" i="11"/>
  <c r="P141" i="11"/>
  <c r="P433" i="11"/>
  <c r="P18" i="11"/>
  <c r="P363" i="11"/>
  <c r="P305" i="11"/>
  <c r="P21" i="11"/>
  <c r="P288" i="11"/>
  <c r="P139" i="11"/>
  <c r="P210" i="11"/>
  <c r="P64" i="11"/>
  <c r="P315" i="11"/>
  <c r="P413" i="11"/>
  <c r="P159" i="11"/>
  <c r="P19" i="11"/>
  <c r="P345" i="11"/>
  <c r="P197" i="11"/>
  <c r="P261" i="11"/>
  <c r="P83" i="11"/>
  <c r="P163" i="11"/>
  <c r="P77" i="11"/>
  <c r="P291" i="11"/>
  <c r="P186" i="11"/>
  <c r="P331" i="11"/>
  <c r="P325" i="11"/>
  <c r="P27" i="11"/>
  <c r="P399" i="11"/>
  <c r="P49" i="11"/>
  <c r="P290" i="11"/>
  <c r="P52" i="11"/>
  <c r="P78" i="11"/>
  <c r="P65" i="11"/>
  <c r="P99" i="11"/>
  <c r="P55" i="11"/>
  <c r="P110" i="11"/>
  <c r="P28" i="11"/>
  <c r="P326" i="11"/>
  <c r="P98" i="11"/>
  <c r="P44" i="11"/>
  <c r="P56" i="11"/>
  <c r="P385" i="11"/>
  <c r="P91" i="11"/>
  <c r="P310" i="11"/>
  <c r="P40" i="11"/>
  <c r="P24" i="11"/>
  <c r="P196" i="11"/>
  <c r="P100" i="11"/>
  <c r="P395" i="11"/>
  <c r="P72" i="11"/>
  <c r="P115" i="11"/>
  <c r="P145" i="11"/>
  <c r="P150" i="11"/>
  <c r="P212" i="11"/>
  <c r="P294" i="11"/>
  <c r="P244" i="11"/>
  <c r="P349" i="11"/>
  <c r="P118" i="11"/>
  <c r="P357" i="11"/>
  <c r="P427" i="11"/>
  <c r="P297" i="11"/>
  <c r="P225" i="11"/>
  <c r="P119" i="11"/>
  <c r="P53" i="11"/>
  <c r="P393" i="11"/>
  <c r="L43" i="12"/>
  <c r="D43" i="12"/>
  <c r="D44" i="12"/>
  <c r="C12" i="14"/>
  <c r="C13" i="14"/>
  <c r="C22" i="14"/>
  <c r="C7" i="14" s="1"/>
  <c r="L42" i="12"/>
  <c r="T30" i="12"/>
  <c r="I64" i="9"/>
  <c r="G10" i="2"/>
  <c r="B64" i="9"/>
  <c r="G6" i="2"/>
  <c r="G15" i="2"/>
  <c r="AK39" i="12"/>
  <c r="G14" i="2"/>
  <c r="G13" i="2"/>
  <c r="G12" i="2"/>
  <c r="C20" i="14" l="1"/>
  <c r="E20" i="14" s="1"/>
  <c r="AK16" i="12"/>
  <c r="T38" i="12" s="1"/>
  <c r="T33" i="12"/>
  <c r="AC42" i="12" s="1"/>
  <c r="L44" i="12"/>
  <c r="T29" i="12"/>
  <c r="B68" i="9"/>
  <c r="B69" i="9" s="1"/>
  <c r="B65" i="9"/>
  <c r="I65" i="9"/>
  <c r="I68" i="9"/>
  <c r="I69" i="9" s="1"/>
  <c r="AB40" i="12" l="1"/>
  <c r="U51" i="12" s="1"/>
  <c r="AB44" i="12"/>
  <c r="AB43" i="12"/>
  <c r="AB45" i="12"/>
  <c r="AC46" i="12"/>
  <c r="AC45" i="12"/>
  <c r="AC40" i="12"/>
  <c r="AC41" i="12"/>
  <c r="AB46" i="12"/>
  <c r="AB42" i="12"/>
  <c r="BC16" i="12" s="1"/>
  <c r="AC43" i="12"/>
  <c r="AB41" i="12"/>
  <c r="AC44" i="12"/>
  <c r="AK32" i="12"/>
  <c r="T36" i="12" l="1"/>
  <c r="D17" i="12" s="1"/>
  <c r="D21" i="12" s="1"/>
  <c r="AK24" i="12"/>
  <c r="AK31" i="12" s="1"/>
  <c r="AT23" i="12" s="1"/>
  <c r="AK23" i="12"/>
  <c r="AK33" i="12" s="1"/>
  <c r="T35" i="12" l="1"/>
  <c r="L37" i="12" s="1"/>
  <c r="C10" i="14"/>
  <c r="L45" i="12"/>
  <c r="D25" i="12"/>
  <c r="L40" i="12"/>
  <c r="D36" i="12"/>
  <c r="D32" i="12"/>
  <c r="D40" i="12"/>
  <c r="D31" i="12"/>
  <c r="D35" i="12"/>
  <c r="D39" i="12"/>
  <c r="C9" i="14"/>
  <c r="D16" i="12"/>
  <c r="D20" i="12" s="1"/>
  <c r="T40" i="12"/>
  <c r="T39" i="12"/>
  <c r="D24" i="12"/>
  <c r="C5" i="14" s="1"/>
  <c r="B41" i="14" s="1"/>
  <c r="L39" i="12"/>
  <c r="T41" i="12" l="1"/>
  <c r="D41" i="12" s="1"/>
  <c r="D26" i="12" l="1"/>
  <c r="C11" i="14"/>
  <c r="C8" i="14" s="1"/>
  <c r="C6" i="14" s="1"/>
  <c r="B42" i="14" s="1"/>
  <c r="L41" i="12"/>
  <c r="L38" i="12" s="1"/>
  <c r="L36" i="12" s="1"/>
  <c r="N40" i="12" s="1"/>
  <c r="D37" i="12"/>
  <c r="AK41" i="12" s="1"/>
  <c r="AK43" i="12" s="1"/>
  <c r="D18" i="12"/>
  <c r="D22" i="12" s="1"/>
  <c r="T42" i="12"/>
  <c r="D33" i="12"/>
  <c r="AS18" i="12" l="1"/>
  <c r="AT21" i="12"/>
  <c r="AT25" i="12" s="1"/>
  <c r="AZ16" i="12" s="1"/>
  <c r="AS19" i="12"/>
  <c r="AK44" i="12"/>
  <c r="AK45" i="12" s="1"/>
  <c r="AK50" i="12" s="1"/>
  <c r="AK51" i="12" s="1"/>
  <c r="AK52" i="12" s="1"/>
  <c r="C15" i="14"/>
  <c r="C16" i="14" s="1"/>
  <c r="L18" i="12"/>
  <c r="L17" i="12"/>
  <c r="L16" i="12"/>
  <c r="L30" i="12" l="1"/>
  <c r="L32" i="12"/>
  <c r="L33" i="12"/>
  <c r="L22" i="12"/>
  <c r="L29" i="12"/>
  <c r="L24" i="12"/>
  <c r="C17" i="14" s="1"/>
  <c r="C18" i="14" s="1"/>
  <c r="L28" i="12"/>
  <c r="L31" i="12"/>
  <c r="L27" i="12"/>
  <c r="L23" i="12" l="1"/>
  <c r="L21" i="12" s="1"/>
</calcChain>
</file>

<file path=xl/comments1.xml><?xml version="1.0" encoding="utf-8"?>
<comments xmlns="http://schemas.openxmlformats.org/spreadsheetml/2006/main">
  <authors>
    <author>Tang, Hong (383A)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R=0.91 for 550-600 nm
R=0.87 at 800 nm (trough)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Two surfaces, T=99.5% is achievable for 400-1000nm.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J. Trauger had 10% filter scans that showed T&gt;0.9 in band and T&lt;1e-7 out band.</t>
        </r>
      </text>
    </comment>
    <comment ref="I35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Bow-tie is on a glass substrate, 2/26/16.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TBD, 0.5 is quick estimate by E. Cady.</t>
        </r>
      </text>
    </comment>
    <comment ref="J38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SPxLyot=0.26
SP desgin w/o Lyot, 0.27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>Tang, Hong (383A):</t>
        </r>
        <r>
          <rPr>
            <sz val="9"/>
            <color indexed="81"/>
            <rFont val="Tahoma"/>
            <family val="2"/>
          </rPr>
          <t xml:space="preserve">
1.0 for IFS, 0.47 for Img</t>
        </r>
      </text>
    </comment>
  </commentList>
</comments>
</file>

<file path=xl/sharedStrings.xml><?xml version="1.0" encoding="utf-8"?>
<sst xmlns="http://schemas.openxmlformats.org/spreadsheetml/2006/main" count="2984" uniqueCount="1266">
  <si>
    <t>#10mag stars/deg^2</t>
  </si>
  <si>
    <t>Choose 'typical' Zodi</t>
  </si>
  <si>
    <t>zodi (anti-sun, 75 deg lat)</t>
  </si>
  <si>
    <t>E(mag)</t>
  </si>
  <si>
    <t>mag</t>
  </si>
  <si>
    <t>lambda</t>
  </si>
  <si>
    <t>zodi(90deg ecliptic)</t>
  </si>
  <si>
    <t>zodi (anti sun ecliptic)</t>
  </si>
  <si>
    <t>Zodiacal Light brightness (Astrophysical Quantities 4th ed. p. 329)</t>
  </si>
  <si>
    <t>E0 = 10^a    and    E(mag) = 10^(a - 0.4*mag) in W/m2/um</t>
  </si>
  <si>
    <r>
      <t xml:space="preserve">*Note:   flux paramter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allows smooth interpolation of flux for arbitrary bands: </t>
    </r>
  </si>
  <si>
    <t>J</t>
  </si>
  <si>
    <t>erg</t>
  </si>
  <si>
    <t>rad</t>
  </si>
  <si>
    <t>uas</t>
  </si>
  <si>
    <t>http://www.jach.hawaii.edu/UKIRT/astronomy/calib/phot_cal/conver.html</t>
  </si>
  <si>
    <t>sec</t>
  </si>
  <si>
    <t>min</t>
  </si>
  <si>
    <t>"Observational Astrophysics", P. Lena, pp. 91</t>
  </si>
  <si>
    <t>hr</t>
  </si>
  <si>
    <t>Q</t>
  </si>
  <si>
    <t>deg</t>
  </si>
  <si>
    <t>N</t>
  </si>
  <si>
    <t>arcsec</t>
  </si>
  <si>
    <t>M</t>
  </si>
  <si>
    <t>Units of Spectial Interest</t>
  </si>
  <si>
    <t>L</t>
  </si>
  <si>
    <t>K</t>
  </si>
  <si>
    <t>azimuthal angular velocity at geosync</t>
  </si>
  <si>
    <t>rad/sec</t>
  </si>
  <si>
    <t>w_azim</t>
  </si>
  <si>
    <t>H</t>
  </si>
  <si>
    <t>m</t>
  </si>
  <si>
    <t>pc</t>
  </si>
  <si>
    <t>Astronomical Unit</t>
  </si>
  <si>
    <t>AU</t>
  </si>
  <si>
    <t>Y</t>
  </si>
  <si>
    <t>radius of the Earth</t>
  </si>
  <si>
    <t>R_E</t>
  </si>
  <si>
    <t>I</t>
  </si>
  <si>
    <t>Astronomical Constants</t>
  </si>
  <si>
    <t>VIS</t>
  </si>
  <si>
    <t>R</t>
  </si>
  <si>
    <t>Boltzmann constant</t>
  </si>
  <si>
    <t>J/K</t>
  </si>
  <si>
    <t>k</t>
  </si>
  <si>
    <t>V</t>
  </si>
  <si>
    <t>electron charge</t>
  </si>
  <si>
    <t>C</t>
  </si>
  <si>
    <t>q</t>
  </si>
  <si>
    <t>B</t>
  </si>
  <si>
    <t>speed of light</t>
  </si>
  <si>
    <t>m/s</t>
  </si>
  <si>
    <t>c</t>
  </si>
  <si>
    <t>U</t>
  </si>
  <si>
    <t>Plank constant</t>
  </si>
  <si>
    <t>J-s</t>
  </si>
  <si>
    <t>h</t>
  </si>
  <si>
    <r>
      <t xml:space="preserve">a
</t>
    </r>
    <r>
      <rPr>
        <sz val="8"/>
        <color theme="1"/>
        <rFont val="Calibri"/>
        <family val="2"/>
        <scheme val="minor"/>
      </rPr>
      <t>=log10(E0)</t>
    </r>
  </si>
  <si>
    <t>Photons 
sec-1 m-2</t>
  </si>
  <si>
    <t>Phot sec-1 cm-2 nm-1</t>
  </si>
  <si>
    <r>
      <t xml:space="preserve">Phot sec-1 m-2 </t>
    </r>
    <r>
      <rPr>
        <sz val="10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m-1</t>
    </r>
  </si>
  <si>
    <r>
      <t xml:space="preserve">E0 
</t>
    </r>
    <r>
      <rPr>
        <sz val="8"/>
        <color theme="1"/>
        <rFont val="Calibri"/>
        <family val="2"/>
        <scheme val="minor"/>
      </rPr>
      <t xml:space="preserve">W m-2 </t>
    </r>
    <r>
      <rPr>
        <sz val="8"/>
        <rFont val="Symbol"/>
        <family val="1"/>
        <charset val="2"/>
      </rPr>
      <t>m</t>
    </r>
    <r>
      <rPr>
        <sz val="8"/>
        <color theme="1"/>
        <rFont val="Calibri"/>
        <family val="2"/>
        <scheme val="minor"/>
      </rPr>
      <t>m-1</t>
    </r>
  </si>
  <si>
    <r>
      <t>Dl (m</t>
    </r>
    <r>
      <rPr>
        <sz val="10"/>
        <rFont val="Arial"/>
        <family val="2"/>
      </rPr>
      <t>m)</t>
    </r>
  </si>
  <si>
    <r>
      <t>l (m</t>
    </r>
    <r>
      <rPr>
        <sz val="10"/>
        <rFont val="Arial"/>
        <family val="2"/>
      </rPr>
      <t>m</t>
    </r>
    <r>
      <rPr>
        <sz val="10"/>
        <rFont val="Symbol"/>
        <family val="1"/>
        <charset val="2"/>
      </rPr>
      <t>)</t>
    </r>
  </si>
  <si>
    <t>Band</t>
  </si>
  <si>
    <t>Physical Constants</t>
  </si>
  <si>
    <t>0 mag Photon Rates per spectral band (P. Lena and Joint Astronomy Centre Website)</t>
  </si>
  <si>
    <t>Constants and Tables</t>
  </si>
  <si>
    <t>Coronagraph Designs</t>
  </si>
  <si>
    <t>r(lam/D)</t>
  </si>
  <si>
    <t>r(arcsec)</t>
  </si>
  <si>
    <t>contrast</t>
  </si>
  <si>
    <t>core_thput</t>
  </si>
  <si>
    <t>PSF_peak</t>
  </si>
  <si>
    <t>area(sq_arcsec</t>
  </si>
  <si>
    <t>occ_trans</t>
  </si>
  <si>
    <t>hlc_20140623-139_0.4mas_jitter_results.txt</t>
  </si>
  <si>
    <t>HLC</t>
  </si>
  <si>
    <t>SPC</t>
  </si>
  <si>
    <t>spc_20140901-1_0.4mas_jitter_results.txt</t>
  </si>
  <si>
    <t xml:space="preserve">Wavelength (m) </t>
  </si>
  <si>
    <t>a0v</t>
  </si>
  <si>
    <t>a5v</t>
  </si>
  <si>
    <t>f5v</t>
  </si>
  <si>
    <t>g0v</t>
  </si>
  <si>
    <t>g5v</t>
  </si>
  <si>
    <t>k0v</t>
  </si>
  <si>
    <t>k5v</t>
  </si>
  <si>
    <t>m0v</t>
  </si>
  <si>
    <t>m5v</t>
  </si>
  <si>
    <t>Spectral Flux at 0 Magnitude  for  Specified Stellar Types  (W / m^2 / m)</t>
  </si>
  <si>
    <t>E_ph (J)</t>
  </si>
  <si>
    <t>Value</t>
  </si>
  <si>
    <t>Comments</t>
  </si>
  <si>
    <t>Telescope Parameters</t>
  </si>
  <si>
    <t>Col Diam</t>
  </si>
  <si>
    <t>Sec. Obsc. frac.</t>
  </si>
  <si>
    <t>of diam</t>
  </si>
  <si>
    <t>V-band ctr.</t>
  </si>
  <si>
    <t>V-band is 16.18%</t>
  </si>
  <si>
    <t>Diffraction Limit</t>
  </si>
  <si>
    <t>Spec Resolution</t>
  </si>
  <si>
    <t>Col. Area</t>
  </si>
  <si>
    <t>m^2</t>
  </si>
  <si>
    <t xml:space="preserve">Used custom designed AR coating for glass and ZnSe </t>
  </si>
  <si>
    <t>Improved T_ar to</t>
  </si>
  <si>
    <t>Need to factor in polarizer and its AR coating</t>
  </si>
  <si>
    <t>Wavelength (um)</t>
  </si>
  <si>
    <t>Wavelength (nm)</t>
  </si>
  <si>
    <t>HLC_Img</t>
  </si>
  <si>
    <t>Transmission</t>
  </si>
  <si>
    <t>HLC w/o Pol</t>
  </si>
  <si>
    <t>SPC_Img</t>
  </si>
  <si>
    <t>SPC w/o Pol</t>
  </si>
  <si>
    <t>SPC_IFS</t>
  </si>
  <si>
    <t>V6-8-0</t>
  </si>
  <si>
    <t>AFTA-CGI Optical Throughput</t>
  </si>
  <si>
    <t>Cycle 6</t>
  </si>
  <si>
    <t>Hong Tang</t>
  </si>
  <si>
    <t>John Krist</t>
  </si>
  <si>
    <t>Provided Geometric Throughouts for coronagraphic masks</t>
  </si>
  <si>
    <t>PIAA CMC</t>
  </si>
  <si>
    <t>Wavelngth</t>
  </si>
  <si>
    <t>550 nm</t>
  </si>
  <si>
    <t>600 nm</t>
  </si>
  <si>
    <t>Coatings/Material</t>
  </si>
  <si>
    <t>HRC</t>
  </si>
  <si>
    <t>FSS99-600</t>
  </si>
  <si>
    <t>Aluminum</t>
  </si>
  <si>
    <t>BBAR</t>
  </si>
  <si>
    <t>Color filters</t>
  </si>
  <si>
    <t>Polarizer</t>
  </si>
  <si>
    <t>D</t>
  </si>
  <si>
    <t>R typical</t>
  </si>
  <si>
    <t>Done</t>
  </si>
  <si>
    <t>T typical</t>
  </si>
  <si>
    <t>Use -0.5% EOM for Ag coating</t>
  </si>
  <si>
    <t>???</t>
  </si>
  <si>
    <t>Hybrid Lyot Coronagraph (HLC)</t>
  </si>
  <si>
    <t>Shaped Pupil Coronagraph (SPC), Characterization</t>
  </si>
  <si>
    <t>Imaging Path</t>
  </si>
  <si>
    <t>IFS Path (NA)</t>
  </si>
  <si>
    <t>LOWFS Path</t>
  </si>
  <si>
    <t>IFS Path</t>
  </si>
  <si>
    <t>Element</t>
  </si>
  <si>
    <t>R or T</t>
  </si>
  <si>
    <t>Geometrical</t>
  </si>
  <si>
    <t>AFTA Pupil</t>
  </si>
  <si>
    <t>T1</t>
  </si>
  <si>
    <t>T2</t>
  </si>
  <si>
    <t>COR F1</t>
  </si>
  <si>
    <t>COR F2</t>
  </si>
  <si>
    <t>M3</t>
  </si>
  <si>
    <t>COL F1</t>
  </si>
  <si>
    <t>M4</t>
  </si>
  <si>
    <t>COL F2</t>
  </si>
  <si>
    <t>Pupil@FSM</t>
  </si>
  <si>
    <t>FSM</t>
  </si>
  <si>
    <t>R1 OAP1</t>
  </si>
  <si>
    <t>Focusing mirror</t>
  </si>
  <si>
    <t>R1 OAP2</t>
  </si>
  <si>
    <t>DM1</t>
  </si>
  <si>
    <t>DM2</t>
  </si>
  <si>
    <t>R2 OAP1</t>
  </si>
  <si>
    <t>FM</t>
  </si>
  <si>
    <t>R2 OAP2</t>
  </si>
  <si>
    <t>HLC-FM</t>
  </si>
  <si>
    <t xml:space="preserve"> </t>
  </si>
  <si>
    <t>SPC-SP Mask</t>
  </si>
  <si>
    <t>R3 OAP1</t>
  </si>
  <si>
    <t>FPM-HLC</t>
  </si>
  <si>
    <t>FPM-SPC</t>
  </si>
  <si>
    <t>R3 OAP2</t>
  </si>
  <si>
    <t>Lyot-HLC</t>
  </si>
  <si>
    <t>Lyot-SPC</t>
  </si>
  <si>
    <t>FS-OAP1</t>
  </si>
  <si>
    <t>Field Stop</t>
  </si>
  <si>
    <t>FS-OAP2</t>
  </si>
  <si>
    <t>Color FW</t>
  </si>
  <si>
    <t>Imgr/pupil/IFS</t>
  </si>
  <si>
    <t xml:space="preserve">Rad shield M </t>
  </si>
  <si>
    <t>Img Cam</t>
  </si>
  <si>
    <t>IFS FM1</t>
  </si>
  <si>
    <t>IFS RM1</t>
  </si>
  <si>
    <t>IFS RM2</t>
  </si>
  <si>
    <t>IFS FM2</t>
  </si>
  <si>
    <t>IFS Lenslets</t>
  </si>
  <si>
    <t>IFS Pinhole Array</t>
  </si>
  <si>
    <t>IFS Lens1</t>
  </si>
  <si>
    <t>IFS Prism1</t>
  </si>
  <si>
    <t>IFS Prism2</t>
  </si>
  <si>
    <t>IFS Lens2</t>
  </si>
  <si>
    <t>IFS FM3</t>
  </si>
  <si>
    <t>IFS Cam</t>
  </si>
  <si>
    <t>LOWFS L1</t>
  </si>
  <si>
    <t>LOWFS L2</t>
  </si>
  <si>
    <t>LOWFS L3</t>
  </si>
  <si>
    <t>LOWFS CAM</t>
  </si>
  <si>
    <t>CBE</t>
  </si>
  <si>
    <t>Cascaded</t>
  </si>
  <si>
    <t>Total</t>
  </si>
  <si>
    <t>End of Mission</t>
  </si>
  <si>
    <t>Item</t>
  </si>
  <si>
    <t>Units</t>
  </si>
  <si>
    <t>Planet Contrast</t>
  </si>
  <si>
    <t>occulter transmission</t>
  </si>
  <si>
    <t>transmissions and reflections</t>
  </si>
  <si>
    <t>transmissin of BW filter</t>
  </si>
  <si>
    <t>polarizer</t>
  </si>
  <si>
    <t>QE</t>
  </si>
  <si>
    <t>Quantum Eff.</t>
  </si>
  <si>
    <t>No.</t>
  </si>
  <si>
    <t>VMAG</t>
  </si>
  <si>
    <t xml:space="preserve">DIST  </t>
  </si>
  <si>
    <t xml:space="preserve">RADEG </t>
  </si>
  <si>
    <t>DECDEG</t>
  </si>
  <si>
    <t>NAME</t>
  </si>
  <si>
    <t xml:space="preserve">  MASS</t>
  </si>
  <si>
    <t>RADIUS</t>
  </si>
  <si>
    <t>ALBEDO</t>
  </si>
  <si>
    <t>PERIOD</t>
  </si>
  <si>
    <t>SMA</t>
  </si>
  <si>
    <t>ECC</t>
  </si>
  <si>
    <t>s</t>
  </si>
  <si>
    <t>smax</t>
  </si>
  <si>
    <t>SPEC</t>
  </si>
  <si>
    <t>Working Angle</t>
  </si>
  <si>
    <t>GJ317</t>
  </si>
  <si>
    <t>M3.5</t>
  </si>
  <si>
    <t>HD22049</t>
  </si>
  <si>
    <t>K2Vk:</t>
  </si>
  <si>
    <t>47Uma</t>
  </si>
  <si>
    <t>G1V</t>
  </si>
  <si>
    <t>GJ832</t>
  </si>
  <si>
    <t>M1.5</t>
  </si>
  <si>
    <t>55Cnc</t>
  </si>
  <si>
    <t>G8V</t>
  </si>
  <si>
    <t>HIP70849</t>
  </si>
  <si>
    <t>K7Vk</t>
  </si>
  <si>
    <t>GJ433</t>
  </si>
  <si>
    <t>HD9826</t>
  </si>
  <si>
    <t>F9V</t>
  </si>
  <si>
    <t>HD160691</t>
  </si>
  <si>
    <t>G3IV-V</t>
  </si>
  <si>
    <t>HD99492</t>
  </si>
  <si>
    <t>K2V</t>
  </si>
  <si>
    <t>HD217107</t>
  </si>
  <si>
    <t>G8IV</t>
  </si>
  <si>
    <t>HD142</t>
  </si>
  <si>
    <t>F7V</t>
  </si>
  <si>
    <t>Gj849</t>
  </si>
  <si>
    <t>M3.5V</t>
  </si>
  <si>
    <t>HD190360</t>
  </si>
  <si>
    <t>G7IV-V</t>
  </si>
  <si>
    <t>HD150706</t>
  </si>
  <si>
    <t>G3V</t>
  </si>
  <si>
    <t>HD154345</t>
  </si>
  <si>
    <t>HD134987</t>
  </si>
  <si>
    <t>G6IV-V</t>
  </si>
  <si>
    <t>HD87883</t>
  </si>
  <si>
    <t>K0V</t>
  </si>
  <si>
    <t>Gl179</t>
  </si>
  <si>
    <t>HIP5158</t>
  </si>
  <si>
    <t>K5</t>
  </si>
  <si>
    <t>HD39091</t>
  </si>
  <si>
    <t>G0V</t>
  </si>
  <si>
    <t>HD62509</t>
  </si>
  <si>
    <t>K0IIIb</t>
  </si>
  <si>
    <t>14Her</t>
  </si>
  <si>
    <t>HD113538</t>
  </si>
  <si>
    <t>K9Vk:</t>
  </si>
  <si>
    <t>HR8974</t>
  </si>
  <si>
    <t>K1IV</t>
  </si>
  <si>
    <t>HD192310</t>
  </si>
  <si>
    <t>K2+V</t>
  </si>
  <si>
    <t>HD163917</t>
  </si>
  <si>
    <t>G9III</t>
  </si>
  <si>
    <t>HD7449</t>
  </si>
  <si>
    <t>F9.5V</t>
  </si>
  <si>
    <t>HD106515</t>
  </si>
  <si>
    <t>G5</t>
  </si>
  <si>
    <t>HD176051</t>
  </si>
  <si>
    <t>G0V+k1V</t>
  </si>
  <si>
    <t>HD70642</t>
  </si>
  <si>
    <t>G6VCN+0.5</t>
  </si>
  <si>
    <t>HD13931</t>
  </si>
  <si>
    <t>G0</t>
  </si>
  <si>
    <t>HD10647</t>
  </si>
  <si>
    <t>HD117207</t>
  </si>
  <si>
    <t>HD181433</t>
  </si>
  <si>
    <t>K3III-IV</t>
  </si>
  <si>
    <t>Gl649</t>
  </si>
  <si>
    <t>M2.0V</t>
  </si>
  <si>
    <t>HD128311</t>
  </si>
  <si>
    <t>K3V</t>
  </si>
  <si>
    <t>HD24040</t>
  </si>
  <si>
    <t>HD222155</t>
  </si>
  <si>
    <t>HD147513</t>
  </si>
  <si>
    <t>G5V</t>
  </si>
  <si>
    <t>HD89307</t>
  </si>
  <si>
    <t>HD187123</t>
  </si>
  <si>
    <t>HD169830</t>
  </si>
  <si>
    <t>HD220773</t>
  </si>
  <si>
    <t>7CMa</t>
  </si>
  <si>
    <t>K1III</t>
  </si>
  <si>
    <t>HD11964</t>
  </si>
  <si>
    <t>G9VCN+1</t>
  </si>
  <si>
    <t>HD164922</t>
  </si>
  <si>
    <t>HD204941</t>
  </si>
  <si>
    <t>HD72659</t>
  </si>
  <si>
    <t>HD38529</t>
  </si>
  <si>
    <t>G4V</t>
  </si>
  <si>
    <t>HD134060</t>
  </si>
  <si>
    <t>G0VFe+0.4</t>
  </si>
  <si>
    <t>HD215456</t>
  </si>
  <si>
    <t>G0.5V</t>
  </si>
  <si>
    <t>HD142022</t>
  </si>
  <si>
    <t>G9IV-V</t>
  </si>
  <si>
    <t>HD10180</t>
  </si>
  <si>
    <t>HD30562</t>
  </si>
  <si>
    <t>F8V</t>
  </si>
  <si>
    <t>HD37605</t>
  </si>
  <si>
    <t>K0</t>
  </si>
  <si>
    <t>HD216437</t>
  </si>
  <si>
    <t>G1VFe+0.3</t>
  </si>
  <si>
    <t>HD142091</t>
  </si>
  <si>
    <t>K1IVa</t>
  </si>
  <si>
    <t>HD8673</t>
  </si>
  <si>
    <t>HD50499</t>
  </si>
  <si>
    <t>HD37124</t>
  </si>
  <si>
    <t>G4IV-V</t>
  </si>
  <si>
    <t>HD204313</t>
  </si>
  <si>
    <t>HD50554</t>
  </si>
  <si>
    <t>HD216435</t>
  </si>
  <si>
    <t>HD196885</t>
  </si>
  <si>
    <t>F8IV:</t>
  </si>
  <si>
    <t>HD125612</t>
  </si>
  <si>
    <t>HD183263</t>
  </si>
  <si>
    <t>G2IV</t>
  </si>
  <si>
    <t>HD168443</t>
  </si>
  <si>
    <t>G6V</t>
  </si>
  <si>
    <t>HD12661</t>
  </si>
  <si>
    <t>HD106252</t>
  </si>
  <si>
    <t>HD38858</t>
  </si>
  <si>
    <t>HD79498</t>
  </si>
  <si>
    <t>HD111232</t>
  </si>
  <si>
    <t>G8VFe-1.0</t>
  </si>
  <si>
    <t>HD10697</t>
  </si>
  <si>
    <t>G5IV</t>
  </si>
  <si>
    <t>HD150433</t>
  </si>
  <si>
    <t>HD6718</t>
  </si>
  <si>
    <t>HD197037</t>
  </si>
  <si>
    <t>HD27442</t>
  </si>
  <si>
    <t>K2III</t>
  </si>
  <si>
    <t>HD19994</t>
  </si>
  <si>
    <t>HD60532</t>
  </si>
  <si>
    <t>F6IV-V</t>
  </si>
  <si>
    <t>HD47186</t>
  </si>
  <si>
    <t>HD290327</t>
  </si>
  <si>
    <t>HD12929</t>
  </si>
  <si>
    <t>HD81040</t>
  </si>
  <si>
    <t>HD114783</t>
  </si>
  <si>
    <t>K1V</t>
  </si>
  <si>
    <t>HD20794</t>
  </si>
  <si>
    <t>HD66428</t>
  </si>
  <si>
    <t>HD86226</t>
  </si>
  <si>
    <t>G2V</t>
  </si>
  <si>
    <t>HD114729</t>
  </si>
  <si>
    <t>HD23596</t>
  </si>
  <si>
    <t>F8</t>
  </si>
  <si>
    <t>HD202206</t>
  </si>
  <si>
    <t>61Vir</t>
  </si>
  <si>
    <t>G7V</t>
  </si>
  <si>
    <t>HD25171</t>
  </si>
  <si>
    <t>HR810</t>
  </si>
  <si>
    <t>HD74156</t>
  </si>
  <si>
    <t>HD33564</t>
  </si>
  <si>
    <t>F6V</t>
  </si>
  <si>
    <t>HD4208</t>
  </si>
  <si>
    <t>G7VFe-1CH-0.5</t>
  </si>
  <si>
    <t>HD210277</t>
  </si>
  <si>
    <t>HD106270</t>
  </si>
  <si>
    <t>HD171238</t>
  </si>
  <si>
    <t>HD69830</t>
  </si>
  <si>
    <t>G8+V</t>
  </si>
  <si>
    <t>HD213240</t>
  </si>
  <si>
    <t>G0/G1V</t>
  </si>
  <si>
    <t>HD102365</t>
  </si>
  <si>
    <t>HD196050</t>
  </si>
  <si>
    <t>HD30177</t>
  </si>
  <si>
    <t>HD126525</t>
  </si>
  <si>
    <t>HD148156</t>
  </si>
  <si>
    <t>HD141937</t>
  </si>
  <si>
    <t>HD11506</t>
  </si>
  <si>
    <t>HD85390</t>
  </si>
  <si>
    <t>K1.5V</t>
  </si>
  <si>
    <t>HD20367</t>
  </si>
  <si>
    <t>HD8535</t>
  </si>
  <si>
    <t>HD187085</t>
  </si>
  <si>
    <t>HD147018</t>
  </si>
  <si>
    <t>G9V</t>
  </si>
  <si>
    <t>HD34445</t>
  </si>
  <si>
    <t>HD23079</t>
  </si>
  <si>
    <t>HD129445</t>
  </si>
  <si>
    <t>HD134606</t>
  </si>
  <si>
    <t>G6IV</t>
  </si>
  <si>
    <t>HD217786</t>
  </si>
  <si>
    <t>HD82943</t>
  </si>
  <si>
    <t>F9VFe+0.5</t>
  </si>
  <si>
    <t>HD28305</t>
  </si>
  <si>
    <t>K0III</t>
  </si>
  <si>
    <t>HD108874</t>
  </si>
  <si>
    <t>HD86264</t>
  </si>
  <si>
    <t>HIP75458</t>
  </si>
  <si>
    <t>HD73267</t>
  </si>
  <si>
    <t>6Lyn</t>
  </si>
  <si>
    <t>K0III-IV</t>
  </si>
  <si>
    <t>HD28254</t>
  </si>
  <si>
    <t>HD45350</t>
  </si>
  <si>
    <t>HIP57274</t>
  </si>
  <si>
    <t>K8</t>
  </si>
  <si>
    <t>HD73534</t>
  </si>
  <si>
    <t>HD20782</t>
  </si>
  <si>
    <t>G1.5V</t>
  </si>
  <si>
    <t>HD7199</t>
  </si>
  <si>
    <t>HD65216</t>
  </si>
  <si>
    <t>G5V+M7-8+L2-3</t>
  </si>
  <si>
    <t>HD152079</t>
  </si>
  <si>
    <t>HD159868</t>
  </si>
  <si>
    <t>BD-1763</t>
  </si>
  <si>
    <t>K4Vk:</t>
  </si>
  <si>
    <t>HD16175</t>
  </si>
  <si>
    <t>HD190647</t>
  </si>
  <si>
    <t>Gl785</t>
  </si>
  <si>
    <t>HD170469</t>
  </si>
  <si>
    <t>HD22781</t>
  </si>
  <si>
    <t>HD175167</t>
  </si>
  <si>
    <t>G5IV/V</t>
  </si>
  <si>
    <t>HIP14810</t>
  </si>
  <si>
    <t>HD114386</t>
  </si>
  <si>
    <t>HD163607</t>
  </si>
  <si>
    <t>18Del</t>
  </si>
  <si>
    <t>G6III:</t>
  </si>
  <si>
    <t>HD156411</t>
  </si>
  <si>
    <t>G1Vw...</t>
  </si>
  <si>
    <t>HD126614</t>
  </si>
  <si>
    <t>K0V+MV</t>
  </si>
  <si>
    <t>HD222582</t>
  </si>
  <si>
    <t>Gliese87</t>
  </si>
  <si>
    <t>M2.5V</t>
  </si>
  <si>
    <t>HR4057</t>
  </si>
  <si>
    <t>K1IIIb</t>
  </si>
  <si>
    <t>HD142415</t>
  </si>
  <si>
    <t>HD181720</t>
  </si>
  <si>
    <t>HD143361</t>
  </si>
  <si>
    <t>HD190984</t>
  </si>
  <si>
    <t>HD215497</t>
  </si>
  <si>
    <t>HD132406</t>
  </si>
  <si>
    <t>HD4113</t>
  </si>
  <si>
    <t>HD11977</t>
  </si>
  <si>
    <t>G8.5III</t>
  </si>
  <si>
    <t>HD63765</t>
  </si>
  <si>
    <t>GJ3021</t>
  </si>
  <si>
    <t>HD136352</t>
  </si>
  <si>
    <t>HD45364</t>
  </si>
  <si>
    <t>HD164604</t>
  </si>
  <si>
    <t>K3.5Vk:</t>
  </si>
  <si>
    <t>HD92788</t>
  </si>
  <si>
    <t>HD132563</t>
  </si>
  <si>
    <t>F8III</t>
  </si>
  <si>
    <t>81Cet</t>
  </si>
  <si>
    <t>G5III:</t>
  </si>
  <si>
    <t>HD200964</t>
  </si>
  <si>
    <t>24Sex</t>
  </si>
  <si>
    <t>70Vir</t>
  </si>
  <si>
    <t>HD38283</t>
  </si>
  <si>
    <t>HD167042</t>
  </si>
  <si>
    <t>HD153950</t>
  </si>
  <si>
    <t>HD3651</t>
  </si>
  <si>
    <t>HD142245</t>
  </si>
  <si>
    <t>HD40979</t>
  </si>
  <si>
    <t>HD31253</t>
  </si>
  <si>
    <t>HIP79431</t>
  </si>
  <si>
    <t>M3V</t>
  </si>
  <si>
    <t>HD28185</t>
  </si>
  <si>
    <t>G6.5IV-V</t>
  </si>
  <si>
    <t>HD23127</t>
  </si>
  <si>
    <t>HD218566</t>
  </si>
  <si>
    <t>HD110014</t>
  </si>
  <si>
    <t>HD44219</t>
  </si>
  <si>
    <t>HD85512</t>
  </si>
  <si>
    <t>K6Vk:</t>
  </si>
  <si>
    <t>HD155358</t>
  </si>
  <si>
    <t>HD137388</t>
  </si>
  <si>
    <t>K2IV</t>
  </si>
  <si>
    <t>HD221287</t>
  </si>
  <si>
    <t>HD89744</t>
  </si>
  <si>
    <t>HD99109</t>
  </si>
  <si>
    <t>HD210702</t>
  </si>
  <si>
    <t>HD2039</t>
  </si>
  <si>
    <t>G2/G3IV/V</t>
  </si>
  <si>
    <t>HD31527</t>
  </si>
  <si>
    <t>HD188015</t>
  </si>
  <si>
    <t>HD100777</t>
  </si>
  <si>
    <t>HD177830</t>
  </si>
  <si>
    <t>K0+M3.5V</t>
  </si>
  <si>
    <t>HD20868</t>
  </si>
  <si>
    <t>K3/K4IV</t>
  </si>
  <si>
    <t>HD139357</t>
  </si>
  <si>
    <t>K4III:</t>
  </si>
  <si>
    <t>HD143107</t>
  </si>
  <si>
    <t>HD131496</t>
  </si>
  <si>
    <t>HD38801</t>
  </si>
  <si>
    <t>HD154857</t>
  </si>
  <si>
    <t>HD48265</t>
  </si>
  <si>
    <t>HD192699</t>
  </si>
  <si>
    <t>HD8574</t>
  </si>
  <si>
    <t>HD52265</t>
  </si>
  <si>
    <t>HD93083</t>
  </si>
  <si>
    <t>K2IV-V</t>
  </si>
  <si>
    <t>HD30856</t>
  </si>
  <si>
    <t>HD164509</t>
  </si>
  <si>
    <t>HD99706</t>
  </si>
  <si>
    <t>HD96700</t>
  </si>
  <si>
    <t>HD43197</t>
  </si>
  <si>
    <t>G9IV/V</t>
  </si>
  <si>
    <t>BD+144559</t>
  </si>
  <si>
    <t>HD181342</t>
  </si>
  <si>
    <t>HD148427</t>
  </si>
  <si>
    <t>K0III/IV</t>
  </si>
  <si>
    <t>HD75898</t>
  </si>
  <si>
    <t>HD5319</t>
  </si>
  <si>
    <t>HD4203</t>
  </si>
  <si>
    <t>HD96167</t>
  </si>
  <si>
    <t>HD158038</t>
  </si>
  <si>
    <t>K2II</t>
  </si>
  <si>
    <t>11Com</t>
  </si>
  <si>
    <t>G8II-III</t>
  </si>
  <si>
    <t>HIP57050</t>
  </si>
  <si>
    <t>HD18742</t>
  </si>
  <si>
    <t>G9IV</t>
  </si>
  <si>
    <t>HD116029</t>
  </si>
  <si>
    <t>HD156279</t>
  </si>
  <si>
    <t>HD136418</t>
  </si>
  <si>
    <t>HD157172</t>
  </si>
  <si>
    <t>G8.5V</t>
  </si>
  <si>
    <t>HD82886</t>
  </si>
  <si>
    <t>HD47536</t>
  </si>
  <si>
    <t>HD216770</t>
  </si>
  <si>
    <t>HD102329</t>
  </si>
  <si>
    <t>HD180902</t>
  </si>
  <si>
    <t>11UMi</t>
  </si>
  <si>
    <t>K4III</t>
  </si>
  <si>
    <t>HD9446</t>
  </si>
  <si>
    <t>HD104067</t>
  </si>
  <si>
    <t>K3Vk:</t>
  </si>
  <si>
    <t>42Dra</t>
  </si>
  <si>
    <t>K1.5III</t>
  </si>
  <si>
    <t>HD188310</t>
  </si>
  <si>
    <t>G9IIIb</t>
  </si>
  <si>
    <t>HD90156</t>
  </si>
  <si>
    <t>HD208487</t>
  </si>
  <si>
    <t>G2V:</t>
  </si>
  <si>
    <t>4Uma</t>
  </si>
  <si>
    <t>HD51608</t>
  </si>
  <si>
    <t>K0IV-V</t>
  </si>
  <si>
    <t>HD95089</t>
  </si>
  <si>
    <t>HD180314</t>
  </si>
  <si>
    <t>14And</t>
  </si>
  <si>
    <t>G8III</t>
  </si>
  <si>
    <t>HD73526</t>
  </si>
  <si>
    <t>HD101930</t>
  </si>
  <si>
    <t>K2V+</t>
  </si>
  <si>
    <t>Gl86</t>
  </si>
  <si>
    <t>HD108863</t>
  </si>
  <si>
    <t>HD136512</t>
  </si>
  <si>
    <t>HD40307</t>
  </si>
  <si>
    <t>K2.5V</t>
  </si>
  <si>
    <t>HD20781</t>
  </si>
  <si>
    <t>G9.5V</t>
  </si>
  <si>
    <t>HD81688</t>
  </si>
  <si>
    <t>HD212771</t>
  </si>
  <si>
    <t>HD154672</t>
  </si>
  <si>
    <t>G3IV</t>
  </si>
  <si>
    <t>HD98219</t>
  </si>
  <si>
    <t>HD114762</t>
  </si>
  <si>
    <t>HD16141</t>
  </si>
  <si>
    <t>GJ674</t>
  </si>
  <si>
    <t>HD13808</t>
  </si>
  <si>
    <t>HD4313</t>
  </si>
  <si>
    <t>HD206610</t>
  </si>
  <si>
    <t>HD33142</t>
  </si>
  <si>
    <t>HD205739</t>
  </si>
  <si>
    <t>HD173416</t>
  </si>
  <si>
    <t>G8</t>
  </si>
  <si>
    <t>HD1502</t>
  </si>
  <si>
    <t>HD145377</t>
  </si>
  <si>
    <t>HD175541</t>
  </si>
  <si>
    <t>HD104985</t>
  </si>
  <si>
    <t>HD21693</t>
  </si>
  <si>
    <t>HD152581</t>
  </si>
  <si>
    <t>HD192263</t>
  </si>
  <si>
    <t>HD122430</t>
  </si>
  <si>
    <t>K3III</t>
  </si>
  <si>
    <t>GJ176</t>
  </si>
  <si>
    <t>M2</t>
  </si>
  <si>
    <t>HD121504</t>
  </si>
  <si>
    <t>HD154088</t>
  </si>
  <si>
    <t>HIP11952</t>
  </si>
  <si>
    <t>F0V</t>
  </si>
  <si>
    <t>HD45652</t>
  </si>
  <si>
    <t>HD39194</t>
  </si>
  <si>
    <t>HD102272</t>
  </si>
  <si>
    <t>K2</t>
  </si>
  <si>
    <t>HD96063</t>
  </si>
  <si>
    <t>HD100655</t>
  </si>
  <si>
    <t>HD189567</t>
  </si>
  <si>
    <t>HD93385</t>
  </si>
  <si>
    <t>G2/G3V</t>
  </si>
  <si>
    <t>HD178911</t>
  </si>
  <si>
    <t>HD145457</t>
  </si>
  <si>
    <t>HIP12961</t>
  </si>
  <si>
    <t>M0</t>
  </si>
  <si>
    <t>HD28678</t>
  </si>
  <si>
    <t>HD4308</t>
  </si>
  <si>
    <t>G6VFe-0.9</t>
  </si>
  <si>
    <t>HD16417</t>
  </si>
  <si>
    <t>HD107148</t>
  </si>
  <si>
    <t>HD109246</t>
  </si>
  <si>
    <t>HD32518</t>
  </si>
  <si>
    <t>HD117618</t>
  </si>
  <si>
    <t>HD1461</t>
  </si>
  <si>
    <t>HD103197</t>
  </si>
  <si>
    <t>K1Vp...</t>
  </si>
  <si>
    <t>HD20003</t>
  </si>
  <si>
    <t>HD231701</t>
  </si>
  <si>
    <t>HD1690</t>
  </si>
  <si>
    <t>HD215152</t>
  </si>
  <si>
    <t>HD102117</t>
  </si>
  <si>
    <t>HD195019</t>
  </si>
  <si>
    <t>HD7924</t>
  </si>
  <si>
    <t>HD6434</t>
  </si>
  <si>
    <t>G2/3V</t>
  </si>
  <si>
    <t>HD13189</t>
  </si>
  <si>
    <t>K1II-III</t>
  </si>
  <si>
    <t>51Peg</t>
  </si>
  <si>
    <t>G2.5IVa</t>
  </si>
  <si>
    <t>HD120136</t>
  </si>
  <si>
    <t>F6IV+M2</t>
  </si>
  <si>
    <t>HD5891</t>
  </si>
  <si>
    <t>HD43691</t>
  </si>
  <si>
    <t>HD96127</t>
  </si>
  <si>
    <t>HD125595</t>
  </si>
  <si>
    <t>HD130322</t>
  </si>
  <si>
    <t>HD45184</t>
  </si>
  <si>
    <t>HD27894</t>
  </si>
  <si>
    <t>HD108147</t>
  </si>
  <si>
    <t>F8/G0V</t>
  </si>
  <si>
    <t>HD162020</t>
  </si>
  <si>
    <t>HD224693</t>
  </si>
  <si>
    <t>HD156668</t>
  </si>
  <si>
    <t>HD179949</t>
  </si>
  <si>
    <t>HD33283</t>
  </si>
  <si>
    <t>HD75289</t>
  </si>
  <si>
    <t>F9VFe+0.3</t>
  </si>
  <si>
    <t>HD102195</t>
  </si>
  <si>
    <t>HD179079</t>
  </si>
  <si>
    <t>HD168746</t>
  </si>
  <si>
    <t>HD185269</t>
  </si>
  <si>
    <t>G0IV</t>
  </si>
  <si>
    <t>HD49674</t>
  </si>
  <si>
    <t>HD68988</t>
  </si>
  <si>
    <t>HD63454</t>
  </si>
  <si>
    <t>HD46375</t>
  </si>
  <si>
    <t>HD109749</t>
  </si>
  <si>
    <t>HD73256</t>
  </si>
  <si>
    <t>G8IV-VFe+0.5</t>
  </si>
  <si>
    <t>HD83443</t>
  </si>
  <si>
    <t>HD76700</t>
  </si>
  <si>
    <t>HD330075</t>
  </si>
  <si>
    <t>HD149143</t>
  </si>
  <si>
    <t>HD2638</t>
  </si>
  <si>
    <t>HD118203</t>
  </si>
  <si>
    <t>HD212301</t>
  </si>
  <si>
    <t>HD219828</t>
  </si>
  <si>
    <t>HD102956</t>
  </si>
  <si>
    <t>HD88133</t>
  </si>
  <si>
    <t>HD86081</t>
  </si>
  <si>
    <t>HD240237</t>
  </si>
  <si>
    <t>BD-10316</t>
  </si>
  <si>
    <t>HIP13044</t>
  </si>
  <si>
    <t>F2</t>
  </si>
  <si>
    <t>Excluded</t>
  </si>
  <si>
    <t>NaN</t>
  </si>
  <si>
    <t>HAT-P-17</t>
  </si>
  <si>
    <t>NGC4349</t>
  </si>
  <si>
    <t>~</t>
  </si>
  <si>
    <t>NGC24233</t>
  </si>
  <si>
    <t>GIV/V</t>
  </si>
  <si>
    <t>BD+202457</t>
  </si>
  <si>
    <t>HD70573</t>
  </si>
  <si>
    <t>G1/2V</t>
  </si>
  <si>
    <t>16CygB</t>
  </si>
  <si>
    <t>HD41004A</t>
  </si>
  <si>
    <t>HD240210</t>
  </si>
  <si>
    <t>K7</t>
  </si>
  <si>
    <t>HD171028</t>
  </si>
  <si>
    <t>HD17092</t>
  </si>
  <si>
    <t>HAT-P-13</t>
  </si>
  <si>
    <t>G4</t>
  </si>
  <si>
    <t>BD+48738</t>
  </si>
  <si>
    <t>BD-08282</t>
  </si>
  <si>
    <t>Gl581</t>
  </si>
  <si>
    <t>M5.0V</t>
  </si>
  <si>
    <t>GJ667C</t>
  </si>
  <si>
    <t>M1.5V</t>
  </si>
  <si>
    <t>CoRoT-7</t>
  </si>
  <si>
    <t>GJ3634</t>
  </si>
  <si>
    <t>M2.5</t>
  </si>
  <si>
    <t>HD41004B</t>
  </si>
  <si>
    <t>Vmag</t>
  </si>
  <si>
    <t>Distance</t>
  </si>
  <si>
    <t>Mass</t>
  </si>
  <si>
    <t>Radius</t>
  </si>
  <si>
    <t>Albedo</t>
  </si>
  <si>
    <t>Period</t>
  </si>
  <si>
    <t>M_Jupiter</t>
  </si>
  <si>
    <t>Eccentricity</t>
  </si>
  <si>
    <t>a</t>
  </si>
  <si>
    <t>e</t>
  </si>
  <si>
    <t>pl. separation</t>
  </si>
  <si>
    <t>Telescope</t>
  </si>
  <si>
    <t>Spec Type</t>
  </si>
  <si>
    <t>Semimajor Axis</t>
  </si>
  <si>
    <r>
      <rPr>
        <i/>
        <sz val="11"/>
        <color theme="8" tint="-0.249977111117893"/>
        <rFont val="Symbol"/>
        <family val="1"/>
        <charset val="2"/>
      </rPr>
      <t>l</t>
    </r>
    <r>
      <rPr>
        <i/>
        <sz val="11"/>
        <color theme="8" tint="-0.249977111117893"/>
        <rFont val="Calibri"/>
        <family val="2"/>
        <scheme val="minor"/>
      </rPr>
      <t>/D</t>
    </r>
  </si>
  <si>
    <t>Photon Flux</t>
  </si>
  <si>
    <t>ph/(s*m2)</t>
  </si>
  <si>
    <t>Throughput</t>
  </si>
  <si>
    <t>planet throughput</t>
  </si>
  <si>
    <t>Detector Architecture</t>
  </si>
  <si>
    <t>EMCCD</t>
  </si>
  <si>
    <t>EM gain</t>
  </si>
  <si>
    <t>X</t>
  </si>
  <si>
    <t xml:space="preserve">Excess Noise Fac. </t>
  </si>
  <si>
    <t>ENF</t>
  </si>
  <si>
    <t>Frame Rate</t>
  </si>
  <si>
    <t>Hz</t>
  </si>
  <si>
    <t>Wes used 300s</t>
  </si>
  <si>
    <t>Dark current</t>
  </si>
  <si>
    <t>e/pix/s</t>
  </si>
  <si>
    <t>Clock Ind. Charge</t>
  </si>
  <si>
    <t>e/pix/fr</t>
  </si>
  <si>
    <t>Planet Elec Rate</t>
  </si>
  <si>
    <t>Coronagraph</t>
  </si>
  <si>
    <t>Intensity</t>
  </si>
  <si>
    <t>Contrast</t>
  </si>
  <si>
    <t>Core Throughput</t>
  </si>
  <si>
    <t>PSF Peak</t>
  </si>
  <si>
    <t>Area</t>
  </si>
  <si>
    <t>Imaging Detector Options</t>
  </si>
  <si>
    <t>Option</t>
  </si>
  <si>
    <t>CCD</t>
  </si>
  <si>
    <t>PC EMCCD</t>
  </si>
  <si>
    <t>Read Noise (e-)</t>
  </si>
  <si>
    <t>EM Gain</t>
  </si>
  <si>
    <t>arcsec^2</t>
  </si>
  <si>
    <t>e/s</t>
  </si>
  <si>
    <t>Zodi elec rate</t>
  </si>
  <si>
    <t>exo+local factor</t>
  </si>
  <si>
    <t>brightness density</t>
  </si>
  <si>
    <t>mag/as^2</t>
  </si>
  <si>
    <t xml:space="preserve">Local Zodi </t>
  </si>
  <si>
    <t>Speckle</t>
  </si>
  <si>
    <t>Speckle elec rate</t>
  </si>
  <si>
    <t>f_pp</t>
  </si>
  <si>
    <t>Zodi Elec Rate</t>
  </si>
  <si>
    <t>Speckle Elec Rate</t>
  </si>
  <si>
    <t>Diameter of PM</t>
  </si>
  <si>
    <t>Area of PM</t>
  </si>
  <si>
    <r>
      <t>FWHM on sky (</t>
    </r>
    <r>
      <rPr>
        <i/>
        <sz val="11"/>
        <color theme="9" tint="-0.499984740745262"/>
        <rFont val="Symbol"/>
        <family val="1"/>
        <charset val="2"/>
      </rPr>
      <t>l</t>
    </r>
    <r>
      <rPr>
        <i/>
        <sz val="11"/>
        <color theme="9" tint="-0.499984740745262"/>
        <rFont val="Calibri"/>
        <family val="2"/>
        <scheme val="minor"/>
      </rPr>
      <t>/D)</t>
    </r>
  </si>
  <si>
    <t>Nspec</t>
  </si>
  <si>
    <t>spectral elements</t>
  </si>
  <si>
    <t>f_SR</t>
  </si>
  <si>
    <t>IFS</t>
  </si>
  <si>
    <t>SNR Target</t>
  </si>
  <si>
    <t>streak</t>
  </si>
  <si>
    <t>Imaging</t>
  </si>
  <si>
    <t>circle</t>
  </si>
  <si>
    <t>Zodi</t>
  </si>
  <si>
    <t>Planet Phot Rate</t>
  </si>
  <si>
    <t>Zodi Phot Rate</t>
  </si>
  <si>
    <t>Speckle Phot Rate</t>
  </si>
  <si>
    <t>phot/s</t>
  </si>
  <si>
    <t>PSF core</t>
  </si>
  <si>
    <t>per pixel</t>
  </si>
  <si>
    <t>per pixel (in core)</t>
  </si>
  <si>
    <t>Flux</t>
  </si>
  <si>
    <t>PSF core (electron)</t>
  </si>
  <si>
    <t>PSF core (photon)</t>
  </si>
  <si>
    <t>obscuration fraction</t>
  </si>
  <si>
    <t>Dl</t>
  </si>
  <si>
    <t xml:space="preserve">These values are calculated by taking a generalized star type and solving for the flux of each over </t>
  </si>
  <si>
    <t>a given filter spectrum. The units for this flux are ph/(s*m^2)</t>
  </si>
  <si>
    <t>WL Beginning</t>
  </si>
  <si>
    <t>WL Ending</t>
  </si>
  <si>
    <t>Wavelength max</t>
  </si>
  <si>
    <t>Wavelength min</t>
  </si>
  <si>
    <t>Filter</t>
  </si>
  <si>
    <t>Star</t>
  </si>
  <si>
    <t>GSPEC</t>
  </si>
  <si>
    <t>Design</t>
  </si>
  <si>
    <t>From GSPEC (RV list)</t>
  </si>
  <si>
    <t>Speckle intensity at r (normalized to flux)</t>
  </si>
  <si>
    <t>Intensity/PSF_Peak</t>
  </si>
  <si>
    <t>Frac light incident on primary in FWHM of PSF centered at r</t>
  </si>
  <si>
    <t>Frac light in peak pixel of PSF centered at r &amp; normalized to flux</t>
  </si>
  <si>
    <t>Area of FWHM of PSF centered at r</t>
  </si>
  <si>
    <t>Occulter*lyot stop transmission at r</t>
  </si>
  <si>
    <t>Throughputs</t>
  </si>
  <si>
    <t>Specify a time</t>
  </si>
  <si>
    <t>Detector Type</t>
  </si>
  <si>
    <t>--</t>
  </si>
  <si>
    <t>Min Working Angle</t>
  </si>
  <si>
    <t>Max Working Angle</t>
  </si>
  <si>
    <t>Read noise</t>
  </si>
  <si>
    <t xml:space="preserve">Zodi Phot </t>
  </si>
  <si>
    <t>RV Planets and Host Star Properties</t>
  </si>
  <si>
    <t>SNR</t>
  </si>
  <si>
    <t>Frame Time</t>
  </si>
  <si>
    <t>Gen. Phot Flux</t>
  </si>
  <si>
    <t>Total Throughput</t>
  </si>
  <si>
    <t>Generalized Photon Flux</t>
  </si>
  <si>
    <t>For calc. integral</t>
  </si>
  <si>
    <t>Host Star</t>
  </si>
  <si>
    <t>Coronagraph Specs</t>
  </si>
  <si>
    <t>Properties</t>
  </si>
  <si>
    <t>Noise</t>
  </si>
  <si>
    <t>all but Speckle struc.</t>
  </si>
  <si>
    <t>days</t>
  </si>
  <si>
    <t>Signal</t>
  </si>
  <si>
    <t>Speckle Structure</t>
  </si>
  <si>
    <t>Dark Current</t>
  </si>
  <si>
    <t xml:space="preserve">Speckle </t>
  </si>
  <si>
    <t>Shot</t>
  </si>
  <si>
    <t>CIC</t>
  </si>
  <si>
    <t>Read</t>
  </si>
  <si>
    <t>signal shot noise</t>
  </si>
  <si>
    <t>&lt;sp&gt; shot noise</t>
  </si>
  <si>
    <t>zodi shot</t>
  </si>
  <si>
    <t>residual Speckle</t>
  </si>
  <si>
    <t>SNR Check</t>
  </si>
  <si>
    <t>Science Instrument</t>
  </si>
  <si>
    <t>mpix</t>
  </si>
  <si>
    <t>Frames Needed</t>
  </si>
  <si>
    <t>for SNR target</t>
  </si>
  <si>
    <t>frames</t>
  </si>
  <si>
    <t>CG intrinsic mpix</t>
  </si>
  <si>
    <t>sampling used by John Krist in generating CG results</t>
  </si>
  <si>
    <r>
      <rPr>
        <i/>
        <sz val="11"/>
        <color theme="8" tint="-0.249977111117893"/>
        <rFont val="Symbol"/>
        <family val="1"/>
        <charset val="2"/>
      </rPr>
      <t>l</t>
    </r>
    <r>
      <rPr>
        <i/>
        <sz val="11"/>
        <color theme="8" tint="-0.249977111117893"/>
        <rFont val="Calibri"/>
        <family val="2"/>
        <scheme val="minor"/>
      </rPr>
      <t>/D / pix</t>
    </r>
  </si>
  <si>
    <t>CG intrinsic sampling</t>
  </si>
  <si>
    <t>pixels within PSF core assuming instrinsic sampling</t>
  </si>
  <si>
    <t>Pixel Size</t>
  </si>
  <si>
    <r>
      <rPr>
        <i/>
        <sz val="11"/>
        <color theme="4" tint="-0.499984740745262"/>
        <rFont val="Symbol"/>
        <family val="1"/>
        <charset val="2"/>
      </rPr>
      <t>m</t>
    </r>
    <r>
      <rPr>
        <i/>
        <sz val="11"/>
        <color theme="4" tint="-0.499984740745262"/>
        <rFont val="Calibri Light"/>
        <family val="2"/>
        <scheme val="major"/>
      </rPr>
      <t>m</t>
    </r>
  </si>
  <si>
    <t>nm</t>
  </si>
  <si>
    <t>Shape</t>
  </si>
  <si>
    <t>micron</t>
  </si>
  <si>
    <t>Desired mpix</t>
  </si>
  <si>
    <t>Star and Planet</t>
  </si>
  <si>
    <t>Who</t>
  </si>
  <si>
    <t>Version Date</t>
  </si>
  <si>
    <t>Tim Stern</t>
  </si>
  <si>
    <t>Version 1.0 of spreadsheet</t>
  </si>
  <si>
    <t>Version Log</t>
  </si>
  <si>
    <t>Bijan Nemati</t>
  </si>
  <si>
    <t>Final SNR</t>
  </si>
  <si>
    <t>Required Time
to reach SNR</t>
  </si>
  <si>
    <t>Time to SNR</t>
  </si>
  <si>
    <t>Focal Plane Attributes</t>
  </si>
  <si>
    <t>Some rearrangments of cells: need to check whether the mpix for IFS case is done correctly</t>
  </si>
  <si>
    <t>BW</t>
  </si>
  <si>
    <t>Imaging 1</t>
  </si>
  <si>
    <t>Imaging 2</t>
  </si>
  <si>
    <t>IFS 1</t>
  </si>
  <si>
    <t>IFS 2</t>
  </si>
  <si>
    <t>IFS 3</t>
  </si>
  <si>
    <t>Custom</t>
  </si>
  <si>
    <r>
      <t xml:space="preserve">Center </t>
    </r>
    <r>
      <rPr>
        <b/>
        <sz val="11"/>
        <color theme="1"/>
        <rFont val="Symbol"/>
        <family val="1"/>
        <charset val="2"/>
      </rPr>
      <t xml:space="preserve">l </t>
    </r>
  </si>
  <si>
    <t>Scenario</t>
  </si>
  <si>
    <t>Center lambda</t>
  </si>
  <si>
    <t>In One Frame</t>
  </si>
  <si>
    <t>Focal Plane Type</t>
  </si>
  <si>
    <t>Scene Signal and Background (per Frame)</t>
  </si>
  <si>
    <t>Speckle Struc.</t>
  </si>
  <si>
    <t>Noise Rate Total</t>
  </si>
  <si>
    <t>Post-proc Factor</t>
  </si>
  <si>
    <t>resid. speckle str.</t>
  </si>
  <si>
    <t>Rates of signal and background into the SNR region of interest</t>
  </si>
  <si>
    <t>Stellar Flux</t>
  </si>
  <si>
    <t>Final Noise Contributions</t>
  </si>
  <si>
    <t>Total Noise</t>
  </si>
  <si>
    <t>Total Signal</t>
  </si>
  <si>
    <t>PSF core (elec.)</t>
  </si>
  <si>
    <t xml:space="preserve">Added f_SR where needed, added Nlenslets and fixed mpix calc. in IFS case, many other changes. </t>
  </si>
  <si>
    <t>Detector Configurations</t>
  </si>
  <si>
    <t>Includes Ph. Ctg. Eff. Loss</t>
  </si>
  <si>
    <t>Fraction above Phot. Ctg Discr. Threshold</t>
  </si>
  <si>
    <t>Photon Counting read noise set to zero, and ph. Ctg. Efficiency loss due to thresholding added, revised CIC, Dark</t>
  </si>
  <si>
    <t>Ph. Counting  eff.</t>
  </si>
  <si>
    <t>RV System</t>
  </si>
  <si>
    <t>Added data tables for integration times and sorted lists of observations</t>
  </si>
  <si>
    <t>Coronagraph Type</t>
  </si>
  <si>
    <t>across PSF core</t>
  </si>
  <si>
    <t>lenslets</t>
  </si>
  <si>
    <t>rows</t>
  </si>
  <si>
    <t>Bandwidth</t>
  </si>
  <si>
    <t>Nyquist sampled</t>
  </si>
  <si>
    <t>pixels in spatial dir.</t>
  </si>
  <si>
    <t>cols</t>
  </si>
  <si>
    <t>pixels / spect. Elem.</t>
  </si>
  <si>
    <t>zodi</t>
  </si>
  <si>
    <r>
      <t xml:space="preserve">/ lenslet @ crit. </t>
    </r>
    <r>
      <rPr>
        <b/>
        <i/>
        <sz val="11"/>
        <color theme="9" tint="-0.249977111117893"/>
        <rFont val="Symbol"/>
        <family val="1"/>
        <charset val="2"/>
      </rPr>
      <t>l</t>
    </r>
  </si>
  <si>
    <t>frac. Of core light in SNR ROI</t>
  </si>
  <si>
    <t>pixels in SNR ROI</t>
  </si>
  <si>
    <t>eff. Read noise below</t>
  </si>
  <si>
    <r>
      <t xml:space="preserve">IFS Critical  </t>
    </r>
    <r>
      <rPr>
        <sz val="12"/>
        <color theme="1"/>
        <rFont val="Symbol"/>
        <family val="1"/>
        <charset val="2"/>
      </rPr>
      <t>l</t>
    </r>
  </si>
  <si>
    <t>Detector and IFS Design Settings</t>
  </si>
  <si>
    <t>IFS Lensl per PSF</t>
  </si>
  <si>
    <t>IFS Spatial Samp</t>
  </si>
  <si>
    <t>IFS Spectral Samp</t>
  </si>
  <si>
    <t>IFS sampling on sky</t>
  </si>
  <si>
    <t>Imager Sampling</t>
  </si>
  <si>
    <r>
      <rPr>
        <i/>
        <sz val="11"/>
        <color theme="4" tint="-0.499984740745262"/>
        <rFont val="Symbol"/>
        <family val="1"/>
        <charset val="2"/>
      </rPr>
      <t>(l</t>
    </r>
    <r>
      <rPr>
        <i/>
        <sz val="11"/>
        <color theme="4" tint="-0.499984740745262"/>
        <rFont val="Calibri"/>
        <family val="2"/>
        <scheme val="minor"/>
      </rPr>
      <t>/D) / pix</t>
    </r>
  </si>
  <si>
    <r>
      <t xml:space="preserve">Imager Critical  </t>
    </r>
    <r>
      <rPr>
        <sz val="12"/>
        <color theme="1"/>
        <rFont val="Symbol"/>
        <family val="1"/>
        <charset val="2"/>
      </rPr>
      <t>l</t>
    </r>
  </si>
  <si>
    <t>Focal Plane Architecture</t>
  </si>
  <si>
    <t>Revised formula for mpix in IFS case, and more reorganization of the main tab</t>
  </si>
  <si>
    <t>Removed external links to rev 2 spreadsheet. Known issue: "Requisit Time Ordered" table occasionally produces gaps.</t>
  </si>
  <si>
    <t>SNR for 1 Frame</t>
  </si>
  <si>
    <t>Rearranged some areas for better display of the most important information</t>
  </si>
  <si>
    <t>SCENARIO PARAMETER SELECTIONS</t>
  </si>
  <si>
    <t>Scenario Summary</t>
  </si>
  <si>
    <t>Observation Mode</t>
  </si>
  <si>
    <t>Observing Mode Definition Table</t>
  </si>
  <si>
    <t>Modes are defined here</t>
  </si>
  <si>
    <t>Total pixels involved</t>
  </si>
  <si>
    <t>pix</t>
  </si>
  <si>
    <t>in SNR region</t>
  </si>
  <si>
    <t>e-</t>
  </si>
  <si>
    <t>No. of frames</t>
  </si>
  <si>
    <t>fr</t>
  </si>
  <si>
    <t>SNR after all frames</t>
  </si>
  <si>
    <t>assuming SNR goes as sqrt(Nfr)</t>
  </si>
  <si>
    <t>Fraction of light in SNR ROI</t>
  </si>
  <si>
    <t>spectra</t>
  </si>
  <si>
    <t>No. of spectra per PSF core</t>
  </si>
  <si>
    <t>In 1 Spectrum: what we replicate in lab experiments</t>
  </si>
  <si>
    <t>in 1 spectral element from 1 lenslet</t>
  </si>
  <si>
    <t>from all spectral elements/lenslets</t>
  </si>
  <si>
    <t>SNR in 1 frame full SNR ROI</t>
  </si>
  <si>
    <t>Signal in 1 spectrum</t>
  </si>
  <si>
    <t>Noise in 1 spectrum</t>
  </si>
  <si>
    <t>SNR in 1 specrtum</t>
  </si>
  <si>
    <t>RSS of all noise sources</t>
  </si>
  <si>
    <t>Settings used for official evaluation</t>
  </si>
  <si>
    <t>Test As You Fly - Flight Side</t>
  </si>
  <si>
    <t>Created a TAYF table in the eponymous tab for Leon to use. Also mpix formula is changed for IFS (lam indep for spat)</t>
  </si>
  <si>
    <t>Pixels in 1 spectrum</t>
  </si>
  <si>
    <t>Total Noise Variance</t>
  </si>
  <si>
    <t>sum of squares of noise contributions</t>
  </si>
  <si>
    <t>For the milestone make it 660</t>
  </si>
  <si>
    <t>per pixel numbers</t>
  </si>
  <si>
    <t>Added calculation button for requisite time data tables</t>
  </si>
  <si>
    <t>Added TAYF scenario buttons along with scenario manager macros</t>
  </si>
  <si>
    <t>What is are the expected counts in signal and background for the various observing modes?</t>
  </si>
  <si>
    <t>Not currently used</t>
  </si>
  <si>
    <t>Took out the if statements on planet working angle calculations. Rearranged the columns that show the campaign results</t>
  </si>
  <si>
    <t>Core electrons per frame</t>
  </si>
  <si>
    <t>Core photons per second</t>
  </si>
  <si>
    <t>Scene Rates (per second)</t>
  </si>
  <si>
    <t>Pixel electrons per second</t>
  </si>
  <si>
    <t>Core electrons per second</t>
  </si>
  <si>
    <t>e-/fr</t>
  </si>
  <si>
    <t>Planet Electrons</t>
  </si>
  <si>
    <t>Speckle Electrons</t>
  </si>
  <si>
    <t>Zodi Electrons</t>
  </si>
  <si>
    <t>Pixel electrons per frame</t>
  </si>
  <si>
    <t>pl e/pix/fr</t>
  </si>
  <si>
    <t>10s frame</t>
  </si>
  <si>
    <t>IFS1</t>
  </si>
  <si>
    <t>Imaging2</t>
  </si>
  <si>
    <t>1 sec fr</t>
  </si>
  <si>
    <t>e/psf/fr</t>
  </si>
  <si>
    <t>damaged</t>
  </si>
  <si>
    <t>undamaged</t>
  </si>
  <si>
    <t>pixels/psf</t>
  </si>
  <si>
    <t>ü</t>
  </si>
  <si>
    <t>Experimentally Achieved</t>
  </si>
  <si>
    <t>RV Sys #</t>
  </si>
  <si>
    <t>1s frame</t>
  </si>
  <si>
    <t>RV 
System Observed</t>
  </si>
  <si>
    <t>BOL</t>
  </si>
  <si>
    <t>EOL</t>
  </si>
  <si>
    <t>beginning of life</t>
  </si>
  <si>
    <t>end of life (2.5e9/cm^2)</t>
  </si>
  <si>
    <t>pixels</t>
  </si>
  <si>
    <t>yrs</t>
  </si>
  <si>
    <t>electrons</t>
  </si>
  <si>
    <t>Mission Life</t>
  </si>
  <si>
    <t>Scene Total Electrons per Mission</t>
  </si>
  <si>
    <t>rough, HLC:3-9 L/D</t>
  </si>
  <si>
    <t>Removed calculations of ordered lists of RV observations due to slowness, fixed TAYF Imaging 1,2 scenarios</t>
  </si>
  <si>
    <t xml:space="preserve">Planet in Core </t>
  </si>
  <si>
    <t>Speckle in Core</t>
  </si>
  <si>
    <t>Zodi in Core</t>
  </si>
  <si>
    <t>IWA pixels</t>
  </si>
  <si>
    <t>Max rate within DH</t>
  </si>
  <si>
    <t>rel to mean DH</t>
  </si>
  <si>
    <t>DH pixels total</t>
  </si>
  <si>
    <t>DH Electron Rate</t>
  </si>
  <si>
    <t>IWA Electron Rate</t>
  </si>
  <si>
    <t>inside IWA</t>
  </si>
  <si>
    <t>Annular DH</t>
  </si>
  <si>
    <t>per core</t>
  </si>
  <si>
    <t>IWA excess factor</t>
  </si>
  <si>
    <t>Total Scene Rate</t>
  </si>
  <si>
    <t>Assume obs. All time</t>
  </si>
  <si>
    <t>DH Generation Rate</t>
  </si>
  <si>
    <t>DH Gen Time Fraction</t>
  </si>
  <si>
    <t>conservative(HIGH)</t>
  </si>
  <si>
    <t>Assume entire mission is digging dark hole and observing</t>
  </si>
  <si>
    <t>EOM Science Target</t>
  </si>
  <si>
    <t>EOM DH Star</t>
  </si>
  <si>
    <t>effective time</t>
  </si>
  <si>
    <t>effective rate</t>
  </si>
  <si>
    <t>EOM Total Electons</t>
  </si>
  <si>
    <t>Science Intagrations</t>
  </si>
  <si>
    <t xml:space="preserve">Total </t>
  </si>
  <si>
    <t>Dark Hole Generations</t>
  </si>
  <si>
    <t>Detector</t>
  </si>
  <si>
    <t>CG</t>
  </si>
  <si>
    <t>Planet</t>
  </si>
  <si>
    <t>lam_min Img</t>
  </si>
  <si>
    <t>lam_min IFS</t>
  </si>
  <si>
    <t>HD 10647 b</t>
  </si>
  <si>
    <t>HD 39091 b</t>
  </si>
  <si>
    <t>HD 128311 c</t>
  </si>
  <si>
    <t>HD 190360 b</t>
  </si>
  <si>
    <t>mu Ara e</t>
  </si>
  <si>
    <t>HD 89307 b</t>
  </si>
  <si>
    <t>55 Cnc d</t>
  </si>
  <si>
    <t>HD 70642 b</t>
  </si>
  <si>
    <t>HD 217107 c</t>
  </si>
  <si>
    <t>HD 154345 b</t>
  </si>
  <si>
    <t>HD 117207 b</t>
  </si>
  <si>
    <t>HD 134987 c</t>
  </si>
  <si>
    <t>HD 87883 b</t>
  </si>
  <si>
    <t>HD 222155 b</t>
  </si>
  <si>
    <t>HD 181433 d</t>
  </si>
  <si>
    <t>HD 24040 b</t>
  </si>
  <si>
    <t>HD 13931 b</t>
  </si>
  <si>
    <t>HD 187123 c</t>
  </si>
  <si>
    <t>GJ 832 b</t>
  </si>
  <si>
    <t>HD 30562 b</t>
  </si>
  <si>
    <t>HD 142 c</t>
  </si>
  <si>
    <t>nu Oph c</t>
  </si>
  <si>
    <t>HD 169830 c</t>
  </si>
  <si>
    <t>psi Dra B b</t>
  </si>
  <si>
    <t>14 Her b</t>
  </si>
  <si>
    <t>HD 114613 b</t>
  </si>
  <si>
    <t>47 UMa c</t>
  </si>
  <si>
    <t>47 UMa b</t>
  </si>
  <si>
    <t>epsilon Eri b</t>
  </si>
  <si>
    <t>upsilon And d</t>
  </si>
  <si>
    <t>HD 192310 c</t>
  </si>
  <si>
    <t>HD 147513 b</t>
  </si>
  <si>
    <t>gamma Cep b</t>
  </si>
  <si>
    <t>beta Gem b</t>
  </si>
  <si>
    <t>Rvlist</t>
  </si>
  <si>
    <t>sma (AU)</t>
  </si>
  <si>
    <t>star V mag</t>
  </si>
  <si>
    <t>s (AU)</t>
  </si>
  <si>
    <t>r (AU)</t>
  </si>
  <si>
    <t>prob R (R_jup)</t>
  </si>
  <si>
    <t>p*Phi(65 deg) 565 nm</t>
  </si>
  <si>
    <t>flux ratio</t>
  </si>
  <si>
    <t>dist (pc)</t>
  </si>
  <si>
    <t>core_thruput</t>
  </si>
  <si>
    <t>area</t>
  </si>
  <si>
    <t>WA (as)</t>
  </si>
  <si>
    <t>Msini (M_jup)</t>
  </si>
  <si>
    <t>Name</t>
  </si>
  <si>
    <t>Contracted version that does not include three entries</t>
  </si>
  <si>
    <t>Original List</t>
  </si>
  <si>
    <r>
      <t xml:space="preserve">To get official numbers set to </t>
    </r>
    <r>
      <rPr>
        <b/>
        <sz val="11"/>
        <color rgb="FF0070C0"/>
        <rFont val="Calibri"/>
        <family val="2"/>
        <scheme val="minor"/>
      </rPr>
      <t>Imaging 2</t>
    </r>
    <r>
      <rPr>
        <b/>
        <sz val="11"/>
        <color theme="5" tint="-0.499984740745262"/>
        <rFont val="Calibri"/>
        <family val="2"/>
        <scheme val="minor"/>
      </rPr>
      <t xml:space="preserve"> TAYF scenario</t>
    </r>
  </si>
  <si>
    <t>CGI-SIMS assumed phase function is larger. Now use phase angle of pi/4 instead of prev. pi/2, so now C_pl is higher</t>
  </si>
  <si>
    <t>Occular Transm.</t>
  </si>
  <si>
    <t>Planet WA</t>
  </si>
  <si>
    <t>w/o forcing</t>
  </si>
  <si>
    <t>Planet WA constrain</t>
  </si>
  <si>
    <t>OWA for this CG</t>
  </si>
  <si>
    <t>CG Outer WA</t>
  </si>
  <si>
    <t>Forced inside OWA</t>
  </si>
  <si>
    <t>Sun absolute magnitude</t>
  </si>
  <si>
    <t>AbsMag</t>
  </si>
  <si>
    <t>star abs mag (derived)</t>
  </si>
  <si>
    <t>Modifications: 1) planets &gt; OWA are brought to OWA, 2) Exo Zodi factor computed rather than asserted</t>
  </si>
  <si>
    <t>ph/s/m2/as2</t>
  </si>
  <si>
    <t>Exo-Zodi Set</t>
  </si>
  <si>
    <t>Exo Zodi</t>
  </si>
  <si>
    <t>1 or 0</t>
  </si>
  <si>
    <t>mulitiplies exoZodi</t>
  </si>
  <si>
    <t>relative to local Zodi</t>
  </si>
  <si>
    <t>Planet phase angle</t>
  </si>
  <si>
    <t>Added scenario button to the home tab per   https://www.youtube.com/watch?v=M5V_11qZMps</t>
  </si>
  <si>
    <t>Not used</t>
  </si>
  <si>
    <t>hlc_summary.txt shows a collecting area that is too large!</t>
  </si>
  <si>
    <t>9/14/2016 for milestone 7 presentation on 9/15 -- has new lab numbers and 45deg phase angle</t>
  </si>
  <si>
    <t>Unnamed: 0</t>
  </si>
  <si>
    <t>intTime (hours)</t>
  </si>
  <si>
    <t>Tyler's intTime (hours)</t>
  </si>
  <si>
    <t>ratio</t>
  </si>
  <si>
    <t>Studies</t>
  </si>
  <si>
    <t>Scenarios include phase angle. Calculated numbers for Patrick's CCB.</t>
  </si>
  <si>
    <t>Similar type</t>
  </si>
  <si>
    <t>type</t>
  </si>
  <si>
    <t>derived value</t>
  </si>
  <si>
    <t xml:space="preserve">Exo Zodi </t>
  </si>
  <si>
    <t>https://docs.google.com/spreadsheets/d/1doyJLOBBHJXz7PpactrZDT_oiXu0AWEhz7IhSMOODJU/edit?ts=57f7fac9#gid=0</t>
  </si>
  <si>
    <t>Dmitry's sheet in google docs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</si>
  <si>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obs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</si>
  <si>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occ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</si>
  <si>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core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</si>
  <si>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refl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</si>
  <si>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filt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</si>
  <si>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pol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</si>
  <si>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planet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</si>
  <si>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speckle</t>
    </r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</si>
  <si>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zodi</t>
    </r>
  </si>
  <si>
    <t>Leon Harding, 10/6/2016</t>
  </si>
  <si>
    <t>Robbins 2003</t>
  </si>
  <si>
    <t>IFS 1comp</t>
  </si>
  <si>
    <t>Img 2comp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</si>
  <si>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reflections</t>
    </r>
  </si>
  <si>
    <t>refl &amp;filter losses</t>
  </si>
  <si>
    <t>Planet Rate (in PSF)</t>
  </si>
  <si>
    <t xml:space="preserve">Speckle Rate </t>
  </si>
  <si>
    <t>Detector Effective Rates</t>
  </si>
  <si>
    <t>Dark Current Rate</t>
  </si>
  <si>
    <t>not incl. ENF</t>
  </si>
  <si>
    <t>CIC Rate</t>
  </si>
  <si>
    <t>Read Noise Rate</t>
  </si>
  <si>
    <t>Local Zodi per sol. ang.</t>
  </si>
  <si>
    <t>Exo Zodi per sol. ang.</t>
  </si>
  <si>
    <t>Local Zodi elec rate</t>
  </si>
  <si>
    <t>Exo Zodi elec rate</t>
  </si>
  <si>
    <t>Local only</t>
  </si>
  <si>
    <t>Exo-zodi</t>
  </si>
  <si>
    <t>hlc-20160125_0.4mas_jitter_1.0mas_star_results.txt</t>
  </si>
  <si>
    <t>HLCdesignBW</t>
  </si>
  <si>
    <t>SPCdesignBW</t>
  </si>
  <si>
    <t>New dark current and CIC as of 10/6; Added new HLC design, added HLCdesignBW and SPCdesignBW names</t>
  </si>
  <si>
    <t>Tau Pol</t>
  </si>
  <si>
    <r>
      <rPr>
        <sz val="12"/>
        <color theme="1"/>
        <rFont val="Symbol"/>
        <family val="1"/>
        <charset val="2"/>
      </rPr>
      <t xml:space="preserve">t </t>
    </r>
    <r>
      <rPr>
        <sz val="11"/>
        <color theme="1"/>
        <rFont val="Calibri"/>
        <family val="2"/>
        <scheme val="minor"/>
      </rPr>
      <t>polarizer</t>
    </r>
  </si>
  <si>
    <t>Depends on Krist design file being used</t>
  </si>
  <si>
    <t>MSINI</t>
  </si>
  <si>
    <t>A</t>
  </si>
  <si>
    <t>T0</t>
  </si>
  <si>
    <t>DIST</t>
  </si>
  <si>
    <t>Separation</t>
  </si>
  <si>
    <t>Planetary Flux</t>
  </si>
  <si>
    <t>A (α = 0 deg)</t>
  </si>
  <si>
    <t>A (α = 65 deg)</t>
  </si>
  <si>
    <t>Notes</t>
  </si>
  <si>
    <t>mjupiter</t>
  </si>
  <si>
    <t>au</t>
  </si>
  <si>
    <t>day</t>
  </si>
  <si>
    <t>jd</t>
  </si>
  <si>
    <t>cgs</t>
  </si>
  <si>
    <t>Ag =0.5</t>
  </si>
  <si>
    <t>565 nm (Band 2)</t>
  </si>
  <si>
    <t>aka Pollux b, aka HD 62509 b</t>
  </si>
  <si>
    <t>I have removed upsilon And e from list given questionable nature</t>
  </si>
  <si>
    <t>aka HD 160691 e</t>
  </si>
  <si>
    <t>calling this a planet is probably a bit of a stretch</t>
  </si>
  <si>
    <t>any concerns about binary star system?</t>
  </si>
  <si>
    <t>Ecc</t>
  </si>
  <si>
    <t>RV Prime List</t>
  </si>
  <si>
    <t>RV Prime</t>
  </si>
  <si>
    <t>Spec</t>
  </si>
  <si>
    <t>Use Spec</t>
  </si>
  <si>
    <t>Traub No.</t>
  </si>
  <si>
    <t>Traub Entry</t>
  </si>
  <si>
    <t>Arg Periap</t>
  </si>
  <si>
    <t>F5IV</t>
  </si>
  <si>
    <t>A Neptune (per Nikole Lewis)</t>
  </si>
  <si>
    <t>radius</t>
  </si>
  <si>
    <t>Traub</t>
  </si>
  <si>
    <t>HD 114613</t>
  </si>
  <si>
    <t>14 Her</t>
  </si>
  <si>
    <t>psi Dra B</t>
  </si>
  <si>
    <t>A (α)</t>
  </si>
  <si>
    <t>f</t>
  </si>
  <si>
    <t>d</t>
  </si>
  <si>
    <t>b</t>
  </si>
  <si>
    <t>λeff</t>
  </si>
  <si>
    <t>A (α) = a + b*α+c*α^2+d*α^3+e*α^4+f*α^5</t>
  </si>
  <si>
    <t>phase angle</t>
  </si>
  <si>
    <t>α (deg)</t>
  </si>
  <si>
    <t>Traub etal</t>
  </si>
  <si>
    <t>geometric albedo</t>
  </si>
  <si>
    <t>Ag</t>
  </si>
  <si>
    <t>Lewis</t>
  </si>
  <si>
    <t>Mayorga et al. (2016)</t>
  </si>
  <si>
    <t>Cite:</t>
  </si>
  <si>
    <t>These are the polynomial fits to phase variations of Jupiter as observed by Cassini</t>
  </si>
  <si>
    <t>f (a)</t>
  </si>
  <si>
    <t>R_J</t>
  </si>
  <si>
    <t>not used</t>
  </si>
  <si>
    <t>Nikole Lewis RV Prime</t>
  </si>
  <si>
    <t xml:space="preserve">@ 65 deg </t>
  </si>
  <si>
    <t>occ trans * PSF fraction</t>
  </si>
  <si>
    <t>CG Inner WA</t>
  </si>
  <si>
    <t>IWA for this CG</t>
  </si>
  <si>
    <t>Fixed inner and outer WA fetching in photometry page</t>
  </si>
  <si>
    <t>Added Nikole's data on albedo in the RV prime tab</t>
  </si>
  <si>
    <t>Refined estimates of planet albedo courtesy of Nikole Lewis</t>
  </si>
  <si>
    <t>phase fun only</t>
  </si>
  <si>
    <t>Albedo as a function of phase angle</t>
  </si>
  <si>
    <t>Neil Gehrels is asking for simple contrast curve to put on some plots. I was explaining that there isn’t actually such a thing. One option would be to generate a contrast-vs-separation plot for a couple of fiducal combos of star brightness and exposure time, though.</t>
  </si>
  <si>
    <t>From Bruce Macintosh email:</t>
  </si>
  <si>
    <t>10.31 phone conversation on parameters yielded the following:</t>
  </si>
  <si>
    <t>V=2.5</t>
  </si>
  <si>
    <t>V=5.0</t>
  </si>
  <si>
    <t>1 Exo-Zodi</t>
  </si>
  <si>
    <t>Do two cases with:</t>
  </si>
  <si>
    <t>Tint=10hr</t>
  </si>
  <si>
    <t>f_pp=10% ?</t>
  </si>
  <si>
    <t>Albedo from N. Lewis "Solar-like star, Jupiter-like planet"</t>
  </si>
  <si>
    <t>Express the plots of 5-sigma noise-equivalent flux ratio vs. arcsec of planet separation</t>
  </si>
  <si>
    <t>Solar-like Star</t>
  </si>
  <si>
    <t>Jupiter-like planet</t>
  </si>
  <si>
    <t>Neptune-like planet</t>
  </si>
  <si>
    <t>Distance (AU)</t>
  </si>
  <si>
    <t>Teq (K)</t>
  </si>
  <si>
    <t>Teff (K)</t>
  </si>
  <si>
    <t>Est A_g (565 nm)</t>
  </si>
  <si>
    <t>Est A (65 deg) 565 nm</t>
  </si>
  <si>
    <t>T_sun</t>
  </si>
  <si>
    <t>R_sun</t>
  </si>
  <si>
    <t>GehrelsPlots</t>
  </si>
  <si>
    <t>rev.</t>
  </si>
  <si>
    <t>t_tot</t>
  </si>
  <si>
    <t>hrs</t>
  </si>
  <si>
    <t>noise_all</t>
  </si>
  <si>
    <t>S</t>
  </si>
  <si>
    <t>equivalent flux ratio</t>
  </si>
  <si>
    <t>xi_eq</t>
  </si>
  <si>
    <t>Sep</t>
  </si>
  <si>
    <t>Vmag1</t>
  </si>
  <si>
    <t>Vmag2</t>
  </si>
  <si>
    <t>sma</t>
  </si>
  <si>
    <t>lam/D</t>
  </si>
  <si>
    <t>12 pc</t>
  </si>
  <si>
    <t>rawHLC/2</t>
  </si>
  <si>
    <t>sma, AU</t>
  </si>
  <si>
    <t>Corrected bug: was using intrinsic sampling instead of intrinsic mpix in speckle rate, also removed SPC contrast top and bottom rows that had nonsensical contrast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</si>
</sst>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E+00"/>
    <numFmt numFmtId="168" formatCode="0.00000"/>
    <numFmt numFmtId="169" formatCode="0.0%"/>
    <numFmt numFmtId="170" formatCode="0E+00"/>
    <numFmt numFmtId="171" formatCode="_(* #,##0.0_);_(* \(#,##0.0\);_(* &quot;-&quot;??_);_(@_)"/>
  </numFmts>
  <fonts count="1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i/>
      <sz val="11"/>
      <color theme="4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rgb="FF00B050"/>
      <name val="Calibri"/>
      <family val="2"/>
    </font>
    <font>
      <sz val="11"/>
      <color rgb="FF0070C0"/>
      <name val="Calibri"/>
      <family val="2"/>
    </font>
    <font>
      <sz val="11"/>
      <color rgb="FF7030A0"/>
      <name val="Calibri"/>
      <family val="2"/>
    </font>
    <font>
      <sz val="11"/>
      <color theme="2" tint="-0.749992370372631"/>
      <name val="Calibri"/>
      <family val="2"/>
    </font>
    <font>
      <sz val="8"/>
      <color theme="1"/>
      <name val="Calibri"/>
      <family val="2"/>
      <scheme val="minor"/>
    </font>
    <font>
      <sz val="10"/>
      <color theme="9" tint="-0.249977111117893"/>
      <name val="Arial"/>
      <family val="2"/>
    </font>
    <font>
      <sz val="10"/>
      <name val="Symbol"/>
      <family val="1"/>
      <charset val="2"/>
    </font>
    <font>
      <sz val="8"/>
      <name val="Symbol"/>
      <family val="1"/>
      <charset val="2"/>
    </font>
    <font>
      <b/>
      <i/>
      <sz val="10"/>
      <name val="Arial"/>
      <family val="2"/>
    </font>
    <font>
      <b/>
      <sz val="16"/>
      <color theme="4" tint="0.79998168889431442"/>
      <name val="Calibri"/>
      <family val="2"/>
      <scheme val="minor"/>
    </font>
    <font>
      <b/>
      <sz val="14"/>
      <color theme="4" tint="0.79998168889431442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4" tint="-0.499984740745262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5" tint="-0.499984740745262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1"/>
      <color theme="8" tint="-0.249977111117893"/>
      <name val="Symbol"/>
      <family val="1"/>
      <charset val="2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9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1"/>
      <color theme="9" tint="-0.499984740745262"/>
      <name val="Symbol"/>
      <family val="1"/>
      <charset val="2"/>
    </font>
    <font>
      <sz val="12"/>
      <color theme="1"/>
      <name val="Symbol"/>
      <family val="1"/>
      <charset val="2"/>
    </font>
    <font>
      <sz val="12"/>
      <color theme="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i/>
      <sz val="12"/>
      <color theme="4" tint="-0.49998474074526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1"/>
      <color theme="4" tint="-0.499984740745262"/>
      <name val="Symbol"/>
      <family val="1"/>
      <charset val="2"/>
    </font>
    <font>
      <i/>
      <sz val="11"/>
      <color theme="4" tint="-0.499984740745262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4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1"/>
      <color theme="3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9" tint="-0.249977111117893"/>
      <name val="Symbol"/>
      <family val="1"/>
      <charset val="2"/>
    </font>
    <font>
      <b/>
      <sz val="12"/>
      <color rgb="FF3F3F76"/>
      <name val="Calibri"/>
      <family val="2"/>
      <scheme val="minor"/>
    </font>
    <font>
      <b/>
      <i/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22"/>
      <color theme="9" tint="0.59999389629810485"/>
      <name val="Calibri"/>
      <family val="2"/>
      <scheme val="minor"/>
    </font>
    <font>
      <b/>
      <sz val="22"/>
      <color theme="9" tint="0.59999389629810485"/>
      <name val="Calibri"/>
      <family val="2"/>
      <scheme val="minor"/>
    </font>
    <font>
      <b/>
      <sz val="11"/>
      <color rgb="FF00B050"/>
      <name val="Wingdings"/>
      <charset val="2"/>
    </font>
    <font>
      <b/>
      <sz val="11"/>
      <color rgb="FFFFC000"/>
      <name val="Wingdings"/>
      <charset val="2"/>
    </font>
    <font>
      <b/>
      <sz val="11"/>
      <color theme="4" tint="0.79998168889431442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sz val="14"/>
      <color rgb="FF9C650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theme="5" tint="-0.249977111117893"/>
      <name val="Symbol"/>
      <family val="1"/>
      <charset val="2"/>
    </font>
    <font>
      <sz val="12"/>
      <color theme="7" tint="-0.499984740745262"/>
      <name val="Calibri"/>
      <family val="2"/>
      <scheme val="minor"/>
    </font>
    <font>
      <sz val="10"/>
      <color theme="1"/>
      <name val="Arial Unicode MS"/>
      <family val="2"/>
    </font>
    <font>
      <b/>
      <sz val="16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4" tint="0.3999755851924192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3C5B62"/>
        <bgColor indexed="64"/>
      </patternFill>
    </fill>
    <fill>
      <patternFill patternType="solid">
        <fgColor rgb="FF5D4090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5C48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9" fontId="26" fillId="0" borderId="0" applyFont="0" applyFill="0" applyBorder="0" applyAlignment="0" applyProtection="0"/>
    <xf numFmtId="0" fontId="30" fillId="0" borderId="0"/>
    <xf numFmtId="0" fontId="34" fillId="5" borderId="0" applyNumberFormat="0" applyBorder="0" applyAlignment="0" applyProtection="0"/>
    <xf numFmtId="0" fontId="39" fillId="12" borderId="13" applyNumberFormat="0" applyAlignment="0" applyProtection="0"/>
    <xf numFmtId="0" fontId="26" fillId="13" borderId="14" applyNumberFormat="0" applyFont="0" applyAlignment="0" applyProtection="0"/>
    <xf numFmtId="0" fontId="49" fillId="18" borderId="13" applyNumberFormat="0" applyAlignment="0" applyProtection="0"/>
    <xf numFmtId="0" fontId="70" fillId="30" borderId="0" applyNumberFormat="0" applyBorder="0" applyAlignment="0" applyProtection="0"/>
    <xf numFmtId="0" fontId="71" fillId="31" borderId="0" applyNumberFormat="0" applyBorder="0" applyAlignment="0" applyProtection="0"/>
    <xf numFmtId="43" fontId="26" fillId="0" borderId="0" applyFont="0" applyFill="0" applyBorder="0" applyAlignment="0" applyProtection="0"/>
    <xf numFmtId="0" fontId="94" fillId="0" borderId="0" applyNumberFormat="0" applyFill="0" applyBorder="0" applyAlignment="0" applyProtection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/>
    <xf numFmtId="164" fontId="0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4" fillId="0" borderId="0" xfId="0" applyFont="1" applyAlignment="1">
      <alignment vertical="center"/>
    </xf>
    <xf numFmtId="11" fontId="0" fillId="0" borderId="0" xfId="0" applyNumberFormat="1" applyAlignment="1">
      <alignment horizontal="right" vertic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right" vertical="center"/>
    </xf>
    <xf numFmtId="15" fontId="0" fillId="0" borderId="0" xfId="0" applyNumberFormat="1" applyAlignment="1">
      <alignment horizontal="left"/>
    </xf>
    <xf numFmtId="164" fontId="6" fillId="0" borderId="0" xfId="0" applyNumberFormat="1" applyFont="1" applyBorder="1" applyAlignment="1">
      <alignment horizontal="center" vertical="center"/>
    </xf>
    <xf numFmtId="11" fontId="0" fillId="0" borderId="0" xfId="0" applyNumberFormat="1" applyAlignment="1">
      <alignment horizontal="right"/>
    </xf>
    <xf numFmtId="0" fontId="1" fillId="0" borderId="0" xfId="0" applyFont="1"/>
    <xf numFmtId="164" fontId="8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0" fontId="4" fillId="0" borderId="0" xfId="0" applyFont="1" applyAlignment="1"/>
    <xf numFmtId="0" fontId="17" fillId="2" borderId="0" xfId="0" applyFont="1" applyFill="1"/>
    <xf numFmtId="0" fontId="19" fillId="3" borderId="0" xfId="0" applyFont="1" applyFill="1"/>
    <xf numFmtId="0" fontId="18" fillId="4" borderId="0" xfId="0" applyFont="1" applyFill="1"/>
    <xf numFmtId="0" fontId="19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1" fillId="0" borderId="0" xfId="0" applyFont="1"/>
    <xf numFmtId="0" fontId="18" fillId="4" borderId="0" xfId="0" applyFont="1" applyFill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2" fillId="4" borderId="0" xfId="0" applyFont="1" applyFill="1"/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2"/>
    <xf numFmtId="14" fontId="30" fillId="0" borderId="0" xfId="2" applyNumberFormat="1"/>
    <xf numFmtId="2" fontId="30" fillId="0" borderId="0" xfId="2" applyNumberFormat="1"/>
    <xf numFmtId="0" fontId="32" fillId="0" borderId="0" xfId="2" applyFont="1" applyAlignment="1">
      <alignment vertical="center"/>
    </xf>
    <xf numFmtId="0" fontId="30" fillId="0" borderId="0" xfId="2" applyAlignment="1">
      <alignment vertical="center"/>
    </xf>
    <xf numFmtId="0" fontId="30" fillId="6" borderId="0" xfId="2" applyFill="1" applyAlignment="1">
      <alignment vertical="center"/>
    </xf>
    <xf numFmtId="14" fontId="30" fillId="0" borderId="0" xfId="2" applyNumberFormat="1" applyAlignment="1">
      <alignment vertical="center"/>
    </xf>
    <xf numFmtId="0" fontId="33" fillId="0" borderId="0" xfId="2" applyFont="1" applyAlignment="1">
      <alignment vertical="center"/>
    </xf>
    <xf numFmtId="0" fontId="30" fillId="0" borderId="0" xfId="2" applyFont="1" applyAlignment="1">
      <alignment horizontal="center" vertical="center"/>
    </xf>
    <xf numFmtId="0" fontId="30" fillId="0" borderId="0" xfId="2" applyAlignment="1">
      <alignment horizontal="center" vertical="center"/>
    </xf>
    <xf numFmtId="0" fontId="30" fillId="0" borderId="0" xfId="2" applyFont="1" applyAlignment="1">
      <alignment horizontal="left" vertical="center"/>
    </xf>
    <xf numFmtId="0" fontId="30" fillId="0" borderId="1" xfId="2" applyBorder="1" applyAlignment="1">
      <alignment horizontal="center" vertical="center"/>
    </xf>
    <xf numFmtId="0" fontId="30" fillId="7" borderId="0" xfId="3" applyFont="1" applyFill="1" applyAlignment="1">
      <alignment vertical="center"/>
    </xf>
    <xf numFmtId="0" fontId="34" fillId="7" borderId="0" xfId="3" applyFill="1" applyAlignment="1">
      <alignment vertical="center"/>
    </xf>
    <xf numFmtId="0" fontId="30" fillId="8" borderId="0" xfId="2" applyFill="1" applyAlignment="1">
      <alignment vertical="center"/>
    </xf>
    <xf numFmtId="0" fontId="30" fillId="0" borderId="1" xfId="2" applyFill="1" applyBorder="1" applyAlignment="1">
      <alignment horizontal="center" vertical="center"/>
    </xf>
    <xf numFmtId="0" fontId="30" fillId="9" borderId="1" xfId="2" applyFill="1" applyBorder="1" applyAlignment="1">
      <alignment horizontal="center" vertical="center"/>
    </xf>
    <xf numFmtId="2" fontId="30" fillId="10" borderId="1" xfId="2" applyNumberFormat="1" applyFill="1" applyBorder="1" applyAlignment="1">
      <alignment horizontal="center" vertical="center"/>
    </xf>
    <xf numFmtId="0" fontId="30" fillId="9" borderId="0" xfId="2" applyFill="1" applyAlignment="1">
      <alignment vertical="center"/>
    </xf>
    <xf numFmtId="0" fontId="30" fillId="0" borderId="3" xfId="2" applyBorder="1" applyAlignment="1">
      <alignment vertical="center"/>
    </xf>
    <xf numFmtId="0" fontId="32" fillId="0" borderId="6" xfId="2" applyFont="1" applyBorder="1" applyAlignment="1">
      <alignment vertical="center"/>
    </xf>
    <xf numFmtId="0" fontId="30" fillId="0" borderId="7" xfId="2" applyBorder="1" applyAlignment="1">
      <alignment horizontal="center" vertical="center"/>
    </xf>
    <xf numFmtId="0" fontId="30" fillId="0" borderId="8" xfId="2" applyBorder="1" applyAlignment="1">
      <alignment horizontal="center" vertical="center"/>
    </xf>
    <xf numFmtId="0" fontId="30" fillId="0" borderId="9" xfId="2" applyFont="1" applyBorder="1" applyAlignment="1">
      <alignment vertical="center"/>
    </xf>
    <xf numFmtId="0" fontId="30" fillId="0" borderId="10" xfId="2" applyBorder="1" applyAlignment="1">
      <alignment horizontal="center" vertical="center"/>
    </xf>
    <xf numFmtId="0" fontId="30" fillId="0" borderId="11" xfId="2" applyBorder="1" applyAlignment="1">
      <alignment horizontal="center" vertical="center"/>
    </xf>
    <xf numFmtId="0" fontId="30" fillId="0" borderId="9" xfId="2" applyBorder="1" applyAlignment="1">
      <alignment vertical="center"/>
    </xf>
    <xf numFmtId="0" fontId="30" fillId="6" borderId="9" xfId="2" applyFill="1" applyBorder="1" applyAlignment="1">
      <alignment vertical="center"/>
    </xf>
    <xf numFmtId="0" fontId="30" fillId="11" borderId="10" xfId="2" applyFill="1" applyBorder="1" applyAlignment="1">
      <alignment horizontal="center" vertical="center"/>
    </xf>
    <xf numFmtId="0" fontId="30" fillId="11" borderId="11" xfId="2" applyFill="1" applyBorder="1" applyAlignment="1">
      <alignment horizontal="center" vertical="center"/>
    </xf>
    <xf numFmtId="0" fontId="30" fillId="6" borderId="11" xfId="2" applyFill="1" applyBorder="1" applyAlignment="1">
      <alignment horizontal="center" vertical="center"/>
    </xf>
    <xf numFmtId="0" fontId="30" fillId="6" borderId="10" xfId="2" applyFont="1" applyFill="1" applyBorder="1" applyAlignment="1">
      <alignment horizontal="center" vertical="center"/>
    </xf>
    <xf numFmtId="0" fontId="35" fillId="11" borderId="10" xfId="2" applyFont="1" applyFill="1" applyBorder="1" applyAlignment="1">
      <alignment horizontal="center" vertical="center"/>
    </xf>
    <xf numFmtId="2" fontId="30" fillId="0" borderId="10" xfId="2" applyNumberFormat="1" applyBorder="1" applyAlignment="1">
      <alignment horizontal="center" vertical="center"/>
    </xf>
    <xf numFmtId="0" fontId="30" fillId="0" borderId="9" xfId="2" applyFill="1" applyBorder="1" applyAlignment="1">
      <alignment vertical="center"/>
    </xf>
    <xf numFmtId="0" fontId="32" fillId="0" borderId="9" xfId="2" applyFont="1" applyBorder="1" applyAlignment="1">
      <alignment vertical="center"/>
    </xf>
    <xf numFmtId="0" fontId="30" fillId="0" borderId="3" xfId="2" applyBorder="1" applyAlignment="1">
      <alignment horizontal="center" vertical="center"/>
    </xf>
    <xf numFmtId="2" fontId="30" fillId="0" borderId="12" xfId="2" applyNumberFormat="1" applyBorder="1" applyAlignment="1">
      <alignment horizontal="center" vertical="center"/>
    </xf>
    <xf numFmtId="2" fontId="31" fillId="0" borderId="12" xfId="2" applyNumberFormat="1" applyFont="1" applyBorder="1" applyAlignment="1">
      <alignment horizontal="center" vertical="center"/>
    </xf>
    <xf numFmtId="2" fontId="31" fillId="0" borderId="1" xfId="2" applyNumberFormat="1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/>
    </xf>
    <xf numFmtId="2" fontId="30" fillId="0" borderId="0" xfId="2" applyNumberFormat="1" applyAlignment="1">
      <alignment vertical="center"/>
    </xf>
    <xf numFmtId="0" fontId="27" fillId="0" borderId="0" xfId="0" applyFont="1" applyAlignment="1">
      <alignment horizontal="left"/>
    </xf>
    <xf numFmtId="0" fontId="0" fillId="0" borderId="0" xfId="0" applyAlignment="1">
      <alignment horizontal="right"/>
    </xf>
    <xf numFmtId="0" fontId="38" fillId="0" borderId="0" xfId="0" applyFont="1"/>
    <xf numFmtId="0" fontId="24" fillId="13" borderId="14" xfId="5" applyFont="1" applyAlignment="1">
      <alignment horizontal="center" vertical="center"/>
    </xf>
    <xf numFmtId="2" fontId="39" fillId="12" borderId="13" xfId="4" applyNumberFormat="1" applyAlignment="1">
      <alignment horizontal="center"/>
    </xf>
    <xf numFmtId="0" fontId="32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1" fontId="0" fillId="15" borderId="0" xfId="0" applyNumberFormat="1" applyFill="1" applyAlignment="1">
      <alignment horizontal="center" vertical="center"/>
    </xf>
    <xf numFmtId="0" fontId="0" fillId="15" borderId="0" xfId="0" applyFill="1"/>
    <xf numFmtId="0" fontId="41" fillId="0" borderId="0" xfId="0" applyFont="1" applyAlignment="1">
      <alignment horizontal="center" vertical="center"/>
    </xf>
    <xf numFmtId="0" fontId="41" fillId="13" borderId="14" xfId="5" applyFont="1" applyAlignment="1">
      <alignment horizontal="center" vertical="center"/>
    </xf>
    <xf numFmtId="2" fontId="0" fillId="0" borderId="0" xfId="0" applyNumberFormat="1" applyAlignment="1">
      <alignment horizontal="right"/>
    </xf>
    <xf numFmtId="0" fontId="42" fillId="0" borderId="0" xfId="0" applyFont="1" applyAlignment="1"/>
    <xf numFmtId="0" fontId="0" fillId="17" borderId="0" xfId="0" applyFill="1"/>
    <xf numFmtId="0" fontId="0" fillId="17" borderId="0" xfId="0" applyFill="1" applyAlignment="1">
      <alignment horizontal="right"/>
    </xf>
    <xf numFmtId="0" fontId="27" fillId="17" borderId="0" xfId="0" applyFont="1" applyFill="1" applyAlignment="1">
      <alignment horizontal="left"/>
    </xf>
    <xf numFmtId="0" fontId="28" fillId="17" borderId="0" xfId="0" applyFont="1" applyFill="1"/>
    <xf numFmtId="0" fontId="0" fillId="7" borderId="0" xfId="0" applyFill="1"/>
    <xf numFmtId="0" fontId="48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47" fillId="17" borderId="0" xfId="0" applyFont="1" applyFill="1" applyAlignment="1">
      <alignment vertical="center"/>
    </xf>
    <xf numFmtId="0" fontId="1" fillId="19" borderId="1" xfId="0" applyFont="1" applyFill="1" applyBorder="1" applyAlignment="1">
      <alignment horizontal="center" vertical="center"/>
    </xf>
    <xf numFmtId="0" fontId="0" fillId="0" borderId="1" xfId="0" applyBorder="1"/>
    <xf numFmtId="11" fontId="0" fillId="0" borderId="1" xfId="0" applyNumberFormat="1" applyBorder="1" applyAlignment="1">
      <alignment horizontal="right"/>
    </xf>
    <xf numFmtId="0" fontId="27" fillId="0" borderId="1" xfId="0" applyFont="1" applyBorder="1"/>
    <xf numFmtId="9" fontId="0" fillId="0" borderId="1" xfId="1" applyFont="1" applyBorder="1"/>
    <xf numFmtId="0" fontId="0" fillId="0" borderId="1" xfId="0" applyBorder="1" applyAlignment="1"/>
    <xf numFmtId="11" fontId="0" fillId="0" borderId="1" xfId="0" applyNumberFormat="1" applyBorder="1"/>
    <xf numFmtId="0" fontId="1" fillId="11" borderId="1" xfId="0" applyFont="1" applyFill="1" applyBorder="1"/>
    <xf numFmtId="0" fontId="1" fillId="11" borderId="1" xfId="0" applyFont="1" applyFill="1" applyBorder="1" applyAlignment="1">
      <alignment horizontal="center"/>
    </xf>
    <xf numFmtId="0" fontId="42" fillId="11" borderId="1" xfId="0" applyFont="1" applyFill="1" applyBorder="1" applyAlignment="1"/>
    <xf numFmtId="2" fontId="0" fillId="0" borderId="1" xfId="0" applyNumberFormat="1" applyBorder="1"/>
    <xf numFmtId="0" fontId="43" fillId="0" borderId="1" xfId="0" applyFont="1" applyBorder="1" applyAlignment="1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2" fillId="0" borderId="0" xfId="0" applyFont="1"/>
    <xf numFmtId="167" fontId="52" fillId="0" borderId="0" xfId="0" applyNumberFormat="1" applyFont="1" applyAlignment="1">
      <alignment horizontal="left" vertical="center"/>
    </xf>
    <xf numFmtId="0" fontId="27" fillId="0" borderId="1" xfId="0" applyFont="1" applyBorder="1" applyAlignment="1"/>
    <xf numFmtId="0" fontId="0" fillId="0" borderId="1" xfId="0" applyFill="1" applyBorder="1" applyAlignment="1"/>
    <xf numFmtId="0" fontId="43" fillId="0" borderId="1" xfId="0" applyFont="1" applyBorder="1"/>
    <xf numFmtId="165" fontId="1" fillId="11" borderId="1" xfId="0" applyNumberFormat="1" applyFont="1" applyFill="1" applyBorder="1" applyAlignment="1">
      <alignment horizontal="center" vertical="center"/>
    </xf>
    <xf numFmtId="168" fontId="1" fillId="11" borderId="1" xfId="0" applyNumberFormat="1" applyFont="1" applyFill="1" applyBorder="1" applyAlignment="1">
      <alignment horizontal="center" vertical="center"/>
    </xf>
    <xf numFmtId="2" fontId="1" fillId="11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46" fillId="21" borderId="0" xfId="0" applyFont="1" applyFill="1"/>
    <xf numFmtId="0" fontId="0" fillId="0" borderId="4" xfId="0" applyFill="1" applyBorder="1" applyAlignment="1"/>
    <xf numFmtId="0" fontId="27" fillId="0" borderId="5" xfId="0" applyFont="1" applyBorder="1" applyAlignment="1">
      <alignment horizontal="left"/>
    </xf>
    <xf numFmtId="0" fontId="0" fillId="19" borderId="1" xfId="0" applyFill="1" applyBorder="1" applyAlignment="1">
      <alignment horizontal="center" vertical="center"/>
    </xf>
    <xf numFmtId="0" fontId="54" fillId="11" borderId="1" xfId="0" applyFont="1" applyFill="1" applyBorder="1"/>
    <xf numFmtId="0" fontId="50" fillId="0" borderId="1" xfId="0" applyFont="1" applyBorder="1"/>
    <xf numFmtId="0" fontId="50" fillId="0" borderId="1" xfId="0" applyFont="1" applyBorder="1"/>
    <xf numFmtId="0" fontId="24" fillId="0" borderId="1" xfId="0" applyFont="1" applyBorder="1"/>
    <xf numFmtId="0" fontId="52" fillId="0" borderId="0" xfId="0" applyFont="1" applyAlignment="1">
      <alignment horizontal="left" vertical="center"/>
    </xf>
    <xf numFmtId="0" fontId="55" fillId="0" borderId="1" xfId="0" applyFont="1" applyBorder="1"/>
    <xf numFmtId="164" fontId="26" fillId="16" borderId="1" xfId="6" applyNumberFormat="1" applyFont="1" applyFill="1" applyBorder="1"/>
    <xf numFmtId="0" fontId="48" fillId="0" borderId="0" xfId="0" applyFont="1" applyFill="1"/>
    <xf numFmtId="0" fontId="47" fillId="21" borderId="0" xfId="0" applyFont="1" applyFill="1" applyAlignment="1">
      <alignment horizontal="left" vertical="center"/>
    </xf>
    <xf numFmtId="167" fontId="26" fillId="16" borderId="1" xfId="6" applyNumberFormat="1" applyFont="1" applyFill="1" applyBorder="1" applyAlignment="1">
      <alignment horizontal="right"/>
    </xf>
    <xf numFmtId="0" fontId="30" fillId="0" borderId="0" xfId="0" applyFont="1" applyAlignment="1">
      <alignment horizontal="center"/>
    </xf>
    <xf numFmtId="0" fontId="0" fillId="22" borderId="0" xfId="0" applyFill="1"/>
    <xf numFmtId="0" fontId="0" fillId="22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 vertical="center"/>
    </xf>
    <xf numFmtId="0" fontId="0" fillId="14" borderId="0" xfId="0" applyFill="1"/>
    <xf numFmtId="0" fontId="0" fillId="23" borderId="0" xfId="0" applyFill="1"/>
    <xf numFmtId="0" fontId="16" fillId="23" borderId="0" xfId="0" applyFont="1" applyFill="1"/>
    <xf numFmtId="0" fontId="0" fillId="23" borderId="0" xfId="0" applyFill="1" applyAlignment="1">
      <alignment horizontal="center" vertical="center"/>
    </xf>
    <xf numFmtId="0" fontId="1" fillId="22" borderId="0" xfId="0" applyFont="1" applyFill="1"/>
    <xf numFmtId="0" fontId="1" fillId="19" borderId="0" xfId="0" applyFont="1" applyFill="1"/>
    <xf numFmtId="0" fontId="0" fillId="19" borderId="0" xfId="0" applyFill="1" applyAlignment="1">
      <alignment horizontal="center"/>
    </xf>
    <xf numFmtId="0" fontId="1" fillId="7" borderId="0" xfId="0" applyFont="1" applyFill="1"/>
    <xf numFmtId="0" fontId="0" fillId="24" borderId="0" xfId="0" applyFill="1"/>
    <xf numFmtId="0" fontId="1" fillId="24" borderId="0" xfId="0" applyFont="1" applyFill="1"/>
    <xf numFmtId="11" fontId="0" fillId="24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/>
    </xf>
    <xf numFmtId="164" fontId="7" fillId="24" borderId="0" xfId="0" applyNumberFormat="1" applyFont="1" applyFill="1" applyBorder="1" applyAlignment="1">
      <alignment horizontal="center" vertical="center"/>
    </xf>
    <xf numFmtId="11" fontId="0" fillId="22" borderId="0" xfId="0" applyNumberFormat="1" applyFill="1" applyAlignment="1">
      <alignment horizontal="right"/>
    </xf>
    <xf numFmtId="0" fontId="1" fillId="14" borderId="0" xfId="0" applyFont="1" applyFill="1"/>
    <xf numFmtId="11" fontId="0" fillId="14" borderId="0" xfId="0" applyNumberFormat="1" applyFill="1" applyAlignment="1">
      <alignment horizontal="right"/>
    </xf>
    <xf numFmtId="0" fontId="10" fillId="0" borderId="1" xfId="0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1" fontId="10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 vertical="center"/>
    </xf>
    <xf numFmtId="11" fontId="9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11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1" fontId="7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2" fontId="13" fillId="0" borderId="1" xfId="0" applyNumberFormat="1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 vertical="center"/>
    </xf>
    <xf numFmtId="11" fontId="1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1" fontId="11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1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1" fontId="2" fillId="0" borderId="1" xfId="0" applyNumberFormat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30" fillId="16" borderId="1" xfId="0" applyFont="1" applyFill="1" applyBorder="1" applyAlignment="1">
      <alignment horizontal="left"/>
    </xf>
    <xf numFmtId="0" fontId="50" fillId="0" borderId="1" xfId="0" applyFont="1" applyBorder="1" applyAlignment="1">
      <alignment horizontal="left"/>
    </xf>
    <xf numFmtId="167" fontId="30" fillId="0" borderId="1" xfId="0" applyNumberFormat="1" applyFont="1" applyBorder="1" applyAlignment="1">
      <alignment horizontal="center"/>
    </xf>
    <xf numFmtId="167" fontId="0" fillId="0" borderId="1" xfId="0" applyNumberFormat="1" applyBorder="1" applyAlignment="1">
      <alignment horizontal="right"/>
    </xf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7" xfId="0" applyBorder="1"/>
    <xf numFmtId="0" fontId="0" fillId="0" borderId="2" xfId="0" applyBorder="1"/>
    <xf numFmtId="11" fontId="0" fillId="0" borderId="2" xfId="0" applyNumberFormat="1" applyBorder="1"/>
    <xf numFmtId="0" fontId="0" fillId="0" borderId="8" xfId="0" applyBorder="1"/>
    <xf numFmtId="164" fontId="7" fillId="22" borderId="0" xfId="0" applyNumberFormat="1" applyFont="1" applyFill="1" applyBorder="1" applyAlignment="1">
      <alignment horizontal="center" vertical="center"/>
    </xf>
    <xf numFmtId="0" fontId="40" fillId="14" borderId="1" xfId="0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4" fillId="13" borderId="1" xfId="5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2" fontId="39" fillId="12" borderId="1" xfId="4" applyNumberFormat="1" applyBorder="1" applyAlignment="1">
      <alignment horizontal="center"/>
    </xf>
    <xf numFmtId="0" fontId="1" fillId="24" borderId="1" xfId="0" applyFont="1" applyFill="1" applyBorder="1" applyAlignment="1">
      <alignment horizontal="center" vertical="center"/>
    </xf>
    <xf numFmtId="0" fontId="59" fillId="3" borderId="0" xfId="0" applyFont="1" applyFill="1"/>
    <xf numFmtId="0" fontId="17" fillId="17" borderId="0" xfId="0" applyFont="1" applyFill="1"/>
    <xf numFmtId="0" fontId="17" fillId="21" borderId="0" xfId="0" applyFont="1" applyFill="1"/>
    <xf numFmtId="0" fontId="17" fillId="20" borderId="0" xfId="0" applyFont="1" applyFill="1"/>
    <xf numFmtId="11" fontId="24" fillId="0" borderId="1" xfId="0" applyNumberFormat="1" applyFont="1" applyBorder="1" applyAlignment="1">
      <alignment horizontal="center" vertical="center"/>
    </xf>
    <xf numFmtId="11" fontId="23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5" fillId="25" borderId="1" xfId="0" applyFont="1" applyFill="1" applyBorder="1" applyAlignment="1">
      <alignment horizontal="center" vertical="center"/>
    </xf>
    <xf numFmtId="0" fontId="21" fillId="25" borderId="1" xfId="0" applyFont="1" applyFill="1" applyBorder="1" applyAlignment="1">
      <alignment horizontal="center" vertical="center"/>
    </xf>
    <xf numFmtId="0" fontId="1" fillId="25" borderId="1" xfId="0" applyFont="1" applyFill="1" applyBorder="1" applyAlignment="1">
      <alignment horizontal="center" vertical="center"/>
    </xf>
    <xf numFmtId="0" fontId="17" fillId="4" borderId="0" xfId="0" applyFont="1" applyFill="1"/>
    <xf numFmtId="0" fontId="0" fillId="3" borderId="0" xfId="0" applyFill="1"/>
    <xf numFmtId="0" fontId="47" fillId="3" borderId="0" xfId="0" applyFont="1" applyFill="1" applyAlignment="1">
      <alignment vertical="center"/>
    </xf>
    <xf numFmtId="0" fontId="44" fillId="0" borderId="1" xfId="0" quotePrefix="1" applyFont="1" applyBorder="1"/>
    <xf numFmtId="0" fontId="47" fillId="26" borderId="0" xfId="0" applyFont="1" applyFill="1" applyAlignment="1">
      <alignment vertical="center"/>
    </xf>
    <xf numFmtId="0" fontId="58" fillId="27" borderId="0" xfId="2" applyFont="1" applyFill="1"/>
    <xf numFmtId="0" fontId="53" fillId="27" borderId="0" xfId="2" applyFont="1" applyFill="1"/>
    <xf numFmtId="0" fontId="30" fillId="27" borderId="0" xfId="2" applyFill="1"/>
    <xf numFmtId="0" fontId="0" fillId="16" borderId="1" xfId="0" applyFill="1" applyBorder="1" applyAlignment="1">
      <alignment horizontal="left"/>
    </xf>
    <xf numFmtId="0" fontId="61" fillId="0" borderId="0" xfId="0" applyFont="1"/>
    <xf numFmtId="0" fontId="62" fillId="0" borderId="0" xfId="0" applyFont="1"/>
    <xf numFmtId="0" fontId="32" fillId="7" borderId="1" xfId="0" applyFont="1" applyFill="1" applyBorder="1" applyAlignment="1">
      <alignment horizontal="center" vertical="center"/>
    </xf>
    <xf numFmtId="11" fontId="30" fillId="0" borderId="1" xfId="0" applyNumberFormat="1" applyFont="1" applyBorder="1" applyAlignment="1">
      <alignment horizontal="right"/>
    </xf>
    <xf numFmtId="11" fontId="30" fillId="0" borderId="1" xfId="0" applyNumberFormat="1" applyFont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44" fillId="0" borderId="0" xfId="0" quotePrefix="1" applyFont="1" applyBorder="1"/>
    <xf numFmtId="0" fontId="60" fillId="0" borderId="0" xfId="2" applyFont="1" applyBorder="1"/>
    <xf numFmtId="0" fontId="0" fillId="0" borderId="0" xfId="0"/>
    <xf numFmtId="0" fontId="54" fillId="11" borderId="1" xfId="0" applyFont="1" applyFill="1" applyBorder="1"/>
    <xf numFmtId="0" fontId="63" fillId="0" borderId="0" xfId="2" applyFont="1"/>
    <xf numFmtId="167" fontId="0" fillId="16" borderId="1" xfId="0" applyNumberFormat="1" applyFont="1" applyFill="1" applyBorder="1" applyAlignment="1">
      <alignment horizontal="right"/>
    </xf>
    <xf numFmtId="0" fontId="50" fillId="0" borderId="1" xfId="0" applyFont="1" applyBorder="1"/>
    <xf numFmtId="0" fontId="50" fillId="0" borderId="1" xfId="0" applyFont="1" applyBorder="1"/>
    <xf numFmtId="164" fontId="0" fillId="0" borderId="1" xfId="0" applyNumberFormat="1" applyBorder="1" applyAlignment="1">
      <alignment horizontal="right"/>
    </xf>
    <xf numFmtId="0" fontId="50" fillId="0" borderId="1" xfId="0" applyFont="1" applyBorder="1"/>
    <xf numFmtId="0" fontId="30" fillId="28" borderId="0" xfId="2" applyFill="1"/>
    <xf numFmtId="0" fontId="0" fillId="28" borderId="0" xfId="0" applyFill="1"/>
    <xf numFmtId="164" fontId="0" fillId="0" borderId="5" xfId="0" applyNumberFormat="1" applyBorder="1" applyAlignment="1">
      <alignment horizontal="right"/>
    </xf>
    <xf numFmtId="0" fontId="0" fillId="0" borderId="0" xfId="0"/>
    <xf numFmtId="0" fontId="54" fillId="11" borderId="1" xfId="0" applyFont="1" applyFill="1" applyBorder="1"/>
    <xf numFmtId="0" fontId="0" fillId="0" borderId="0" xfId="0"/>
    <xf numFmtId="0" fontId="54" fillId="11" borderId="1" xfId="0" applyFont="1" applyFill="1" applyBorder="1"/>
    <xf numFmtId="2" fontId="1" fillId="16" borderId="1" xfId="6" applyNumberFormat="1" applyFont="1" applyFill="1" applyBorder="1" applyAlignment="1">
      <alignment horizontal="right"/>
    </xf>
    <xf numFmtId="2" fontId="1" fillId="0" borderId="1" xfId="0" applyNumberFormat="1" applyFont="1" applyBorder="1" applyAlignment="1">
      <alignment horizontal="right"/>
    </xf>
    <xf numFmtId="0" fontId="26" fillId="0" borderId="0" xfId="0" applyFont="1"/>
    <xf numFmtId="167" fontId="1" fillId="16" borderId="1" xfId="6" applyNumberFormat="1" applyFont="1" applyFill="1" applyBorder="1" applyAlignment="1">
      <alignment horizontal="right"/>
    </xf>
    <xf numFmtId="165" fontId="1" fillId="16" borderId="1" xfId="6" applyNumberFormat="1" applyFont="1" applyFill="1" applyBorder="1" applyAlignment="1">
      <alignment horizontal="right"/>
    </xf>
    <xf numFmtId="167" fontId="1" fillId="0" borderId="1" xfId="0" applyNumberFormat="1" applyFont="1" applyBorder="1" applyAlignment="1">
      <alignment horizontal="right"/>
    </xf>
    <xf numFmtId="0" fontId="26" fillId="0" borderId="0" xfId="0" applyFont="1" applyAlignment="1">
      <alignment horizontal="right"/>
    </xf>
    <xf numFmtId="0" fontId="32" fillId="26" borderId="0" xfId="0" applyFont="1" applyFill="1" applyAlignment="1">
      <alignment vertical="center"/>
    </xf>
    <xf numFmtId="166" fontId="1" fillId="16" borderId="1" xfId="6" applyNumberFormat="1" applyFont="1" applyFill="1" applyBorder="1" applyAlignment="1">
      <alignment horizontal="right"/>
    </xf>
    <xf numFmtId="166" fontId="1" fillId="0" borderId="1" xfId="0" applyNumberFormat="1" applyFont="1" applyBorder="1" applyAlignment="1">
      <alignment horizontal="right"/>
    </xf>
    <xf numFmtId="0" fontId="43" fillId="0" borderId="1" xfId="0" applyFont="1" applyFill="1" applyBorder="1"/>
    <xf numFmtId="0" fontId="50" fillId="0" borderId="1" xfId="0" applyFont="1" applyFill="1" applyBorder="1"/>
    <xf numFmtId="0" fontId="27" fillId="0" borderId="1" xfId="0" applyFont="1" applyBorder="1" applyAlignment="1">
      <alignment horizontal="left"/>
    </xf>
    <xf numFmtId="0" fontId="65" fillId="29" borderId="1" xfId="4" applyFont="1" applyFill="1" applyBorder="1" applyAlignment="1">
      <alignment horizontal="center" vertical="center"/>
    </xf>
    <xf numFmtId="0" fontId="66" fillId="29" borderId="1" xfId="4" applyFont="1" applyFill="1" applyBorder="1" applyAlignment="1">
      <alignment horizontal="center" vertical="center"/>
    </xf>
    <xf numFmtId="0" fontId="67" fillId="29" borderId="1" xfId="4" applyFont="1" applyFill="1" applyBorder="1" applyAlignment="1">
      <alignment horizontal="center" vertical="center"/>
    </xf>
    <xf numFmtId="0" fontId="0" fillId="0" borderId="0" xfId="0"/>
    <xf numFmtId="2" fontId="0" fillId="0" borderId="0" xfId="0" applyNumberFormat="1"/>
    <xf numFmtId="11" fontId="0" fillId="0" borderId="1" xfId="0" applyNumberFormat="1" applyFont="1" applyBorder="1" applyAlignment="1">
      <alignment horizontal="right"/>
    </xf>
    <xf numFmtId="1" fontId="26" fillId="16" borderId="1" xfId="1" applyNumberFormat="1" applyFont="1" applyFill="1" applyBorder="1"/>
    <xf numFmtId="1" fontId="0" fillId="0" borderId="1" xfId="0" applyNumberFormat="1" applyFont="1" applyBorder="1" applyAlignment="1">
      <alignment horizontal="center" vertical="center"/>
    </xf>
    <xf numFmtId="0" fontId="0" fillId="16" borderId="1" xfId="0" applyFont="1" applyFill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0" fillId="0" borderId="0" xfId="0"/>
    <xf numFmtId="0" fontId="50" fillId="0" borderId="1" xfId="0" applyFont="1" applyBorder="1" applyAlignment="1">
      <alignment horizontal="left"/>
    </xf>
    <xf numFmtId="0" fontId="32" fillId="0" borderId="0" xfId="0" applyFont="1" applyBorder="1" applyAlignment="1">
      <alignment horizontal="center" vertical="center"/>
    </xf>
    <xf numFmtId="0" fontId="54" fillId="11" borderId="1" xfId="0" applyFont="1" applyFill="1" applyBorder="1" applyAlignment="1">
      <alignment horizontal="left"/>
    </xf>
    <xf numFmtId="0" fontId="0" fillId="0" borderId="0" xfId="0"/>
    <xf numFmtId="0" fontId="43" fillId="0" borderId="0" xfId="0" quotePrefix="1" applyFont="1" applyBorder="1"/>
    <xf numFmtId="0" fontId="0" fillId="14" borderId="1" xfId="0" applyFill="1" applyBorder="1"/>
    <xf numFmtId="14" fontId="0" fillId="0" borderId="0" xfId="0" applyNumberFormat="1" applyAlignment="1">
      <alignment horizontal="center"/>
    </xf>
    <xf numFmtId="0" fontId="70" fillId="30" borderId="0" xfId="7" applyAlignment="1">
      <alignment horizontal="left"/>
    </xf>
    <xf numFmtId="0" fontId="70" fillId="30" borderId="0" xfId="7" applyAlignment="1">
      <alignment horizontal="center"/>
    </xf>
    <xf numFmtId="0" fontId="70" fillId="30" borderId="0" xfId="7"/>
    <xf numFmtId="169" fontId="26" fillId="16" borderId="1" xfId="1" applyNumberFormat="1" applyFont="1" applyFill="1" applyBorder="1" applyAlignment="1">
      <alignment horizontal="right"/>
    </xf>
    <xf numFmtId="169" fontId="0" fillId="0" borderId="1" xfId="1" applyNumberFormat="1" applyFont="1" applyBorder="1" applyAlignment="1">
      <alignment horizontal="right"/>
    </xf>
    <xf numFmtId="0" fontId="32" fillId="0" borderId="0" xfId="0" applyFont="1" applyBorder="1" applyAlignment="1">
      <alignment horizontal="left" vertical="center"/>
    </xf>
    <xf numFmtId="0" fontId="32" fillId="0" borderId="0" xfId="0" applyFont="1" applyAlignment="1">
      <alignment vertical="center"/>
    </xf>
    <xf numFmtId="0" fontId="30" fillId="0" borderId="0" xfId="0" applyFont="1" applyBorder="1" applyAlignment="1">
      <alignment vertical="center"/>
    </xf>
    <xf numFmtId="0" fontId="27" fillId="14" borderId="1" xfId="0" applyFont="1" applyFill="1" applyBorder="1"/>
    <xf numFmtId="0" fontId="50" fillId="14" borderId="1" xfId="0" applyFont="1" applyFill="1" applyBorder="1"/>
    <xf numFmtId="0" fontId="50" fillId="0" borderId="1" xfId="0" applyFont="1" applyBorder="1" applyAlignment="1"/>
    <xf numFmtId="0" fontId="51" fillId="0" borderId="1" xfId="0" applyFont="1" applyBorder="1"/>
    <xf numFmtId="0" fontId="0" fillId="32" borderId="0" xfId="0" applyFill="1"/>
    <xf numFmtId="0" fontId="73" fillId="32" borderId="0" xfId="0" applyFont="1" applyFill="1"/>
    <xf numFmtId="0" fontId="0" fillId="0" borderId="1" xfId="0" applyBorder="1" applyAlignment="1">
      <alignment horizontal="center"/>
    </xf>
    <xf numFmtId="0" fontId="0" fillId="16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5" fontId="1" fillId="11" borderId="1" xfId="0" applyNumberFormat="1" applyFont="1" applyFill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5" fillId="0" borderId="0" xfId="0" applyFont="1" applyFill="1" applyBorder="1"/>
    <xf numFmtId="0" fontId="33" fillId="0" borderId="0" xfId="3" applyFont="1" applyFill="1" applyBorder="1"/>
    <xf numFmtId="0" fontId="30" fillId="33" borderId="1" xfId="4" applyFont="1" applyFill="1" applyBorder="1" applyAlignment="1">
      <alignment horizontal="center" vertical="center"/>
    </xf>
    <xf numFmtId="9" fontId="30" fillId="33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1" fillId="0" borderId="1" xfId="0" applyFont="1" applyBorder="1"/>
    <xf numFmtId="0" fontId="26" fillId="0" borderId="1" xfId="8" applyFont="1" applyFill="1" applyBorder="1" applyAlignment="1">
      <alignment horizontal="center" vertical="center"/>
    </xf>
    <xf numFmtId="2" fontId="26" fillId="0" borderId="1" xfId="8" applyNumberFormat="1" applyFont="1" applyFill="1" applyBorder="1" applyAlignment="1">
      <alignment horizontal="center" vertical="center"/>
    </xf>
    <xf numFmtId="0" fontId="49" fillId="18" borderId="13" xfId="6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74" fillId="14" borderId="1" xfId="4" applyFont="1" applyFill="1" applyBorder="1" applyAlignment="1">
      <alignment horizontal="center" vertical="center"/>
    </xf>
    <xf numFmtId="0" fontId="32" fillId="0" borderId="0" xfId="2" applyFont="1"/>
    <xf numFmtId="166" fontId="0" fillId="0" borderId="1" xfId="0" applyNumberFormat="1" applyFont="1" applyBorder="1" applyAlignment="1">
      <alignment horizontal="right"/>
    </xf>
    <xf numFmtId="0" fontId="47" fillId="34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64" fontId="1" fillId="16" borderId="1" xfId="6" applyNumberFormat="1" applyFont="1" applyFill="1" applyBorder="1" applyAlignment="1">
      <alignment horizontal="right"/>
    </xf>
    <xf numFmtId="9" fontId="0" fillId="16" borderId="1" xfId="1" applyFont="1" applyFill="1" applyBorder="1"/>
    <xf numFmtId="164" fontId="1" fillId="0" borderId="1" xfId="0" applyNumberFormat="1" applyFont="1" applyBorder="1" applyAlignment="1">
      <alignment horizontal="right"/>
    </xf>
    <xf numFmtId="0" fontId="75" fillId="29" borderId="1" xfId="4" applyFont="1" applyFill="1" applyBorder="1" applyAlignment="1">
      <alignment horizontal="center" vertical="center"/>
    </xf>
    <xf numFmtId="0" fontId="77" fillId="29" borderId="1" xfId="4" applyFont="1" applyFill="1" applyBorder="1" applyAlignment="1">
      <alignment horizontal="center" vertical="center"/>
    </xf>
    <xf numFmtId="0" fontId="0" fillId="0" borderId="0" xfId="0" applyAlignment="1">
      <alignment wrapText="1"/>
    </xf>
    <xf numFmtId="164" fontId="30" fillId="33" borderId="1" xfId="4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right"/>
    </xf>
    <xf numFmtId="1" fontId="76" fillId="14" borderId="1" xfId="1" applyNumberFormat="1" applyFont="1" applyFill="1" applyBorder="1" applyAlignment="1">
      <alignment horizontal="center"/>
    </xf>
    <xf numFmtId="170" fontId="76" fillId="14" borderId="1" xfId="1" applyNumberFormat="1" applyFont="1" applyFill="1" applyBorder="1"/>
    <xf numFmtId="2" fontId="81" fillId="12" borderId="13" xfId="4" applyNumberFormat="1" applyFont="1" applyAlignment="1">
      <alignment horizontal="right"/>
    </xf>
    <xf numFmtId="0" fontId="82" fillId="12" borderId="13" xfId="4" quotePrefix="1" applyFont="1"/>
    <xf numFmtId="0" fontId="1" fillId="0" borderId="1" xfId="0" applyFont="1" applyBorder="1" applyAlignment="1"/>
    <xf numFmtId="0" fontId="0" fillId="34" borderId="0" xfId="0" applyFill="1"/>
    <xf numFmtId="1" fontId="77" fillId="14" borderId="1" xfId="1" applyNumberFormat="1" applyFont="1" applyFill="1" applyBorder="1" applyAlignment="1">
      <alignment horizontal="center"/>
    </xf>
    <xf numFmtId="0" fontId="46" fillId="35" borderId="0" xfId="0" applyFont="1" applyFill="1"/>
    <xf numFmtId="0" fontId="47" fillId="35" borderId="0" xfId="0" applyFont="1" applyFill="1" applyAlignment="1">
      <alignment vertical="center"/>
    </xf>
    <xf numFmtId="0" fontId="83" fillId="32" borderId="0" xfId="0" applyFont="1" applyFill="1"/>
    <xf numFmtId="0" fontId="0" fillId="36" borderId="1" xfId="0" applyFill="1" applyBorder="1"/>
    <xf numFmtId="9" fontId="0" fillId="36" borderId="1" xfId="0" applyNumberFormat="1" applyFill="1" applyBorder="1" applyAlignment="1">
      <alignment horizontal="center"/>
    </xf>
    <xf numFmtId="11" fontId="0" fillId="36" borderId="1" xfId="0" applyNumberForma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11" fontId="81" fillId="12" borderId="13" xfId="4" applyNumberFormat="1" applyFont="1" applyAlignment="1">
      <alignment horizontal="right"/>
    </xf>
    <xf numFmtId="171" fontId="1" fillId="0" borderId="1" xfId="9" applyNumberFormat="1" applyFont="1" applyBorder="1"/>
    <xf numFmtId="0" fontId="33" fillId="0" borderId="0" xfId="2" applyFont="1"/>
    <xf numFmtId="0" fontId="0" fillId="0" borderId="0" xfId="0" applyFill="1" applyBorder="1" applyAlignment="1"/>
    <xf numFmtId="0" fontId="27" fillId="0" borderId="0" xfId="0" applyFont="1" applyBorder="1" applyAlignment="1">
      <alignment horizontal="left"/>
    </xf>
    <xf numFmtId="0" fontId="50" fillId="0" borderId="0" xfId="0" applyFont="1" applyBorder="1"/>
    <xf numFmtId="0" fontId="30" fillId="0" borderId="0" xfId="2" applyFont="1"/>
    <xf numFmtId="164" fontId="26" fillId="0" borderId="0" xfId="6" applyNumberFormat="1" applyFont="1" applyFill="1" applyBorder="1" applyAlignment="1">
      <alignment horizontal="right"/>
    </xf>
    <xf numFmtId="164" fontId="30" fillId="0" borderId="0" xfId="2" applyNumberFormat="1" applyFont="1"/>
    <xf numFmtId="166" fontId="30" fillId="0" borderId="0" xfId="2" applyNumberFormat="1" applyFont="1"/>
    <xf numFmtId="166" fontId="26" fillId="16" borderId="1" xfId="1" applyNumberFormat="1" applyFont="1" applyFill="1" applyBorder="1"/>
    <xf numFmtId="1" fontId="30" fillId="0" borderId="0" xfId="2" applyNumberFormat="1" applyFont="1"/>
    <xf numFmtId="0" fontId="30" fillId="0" borderId="0" xfId="2" applyAlignment="1">
      <alignment horizontal="left"/>
    </xf>
    <xf numFmtId="164" fontId="30" fillId="0" borderId="0" xfId="2" applyNumberFormat="1" applyFont="1" applyBorder="1"/>
    <xf numFmtId="2" fontId="30" fillId="0" borderId="0" xfId="2" applyNumberFormat="1" applyFont="1" applyBorder="1"/>
    <xf numFmtId="166" fontId="30" fillId="0" borderId="0" xfId="2" applyNumberFormat="1" applyFont="1" applyBorder="1"/>
    <xf numFmtId="166" fontId="30" fillId="0" borderId="2" xfId="2" applyNumberFormat="1" applyFont="1" applyBorder="1"/>
    <xf numFmtId="0" fontId="27" fillId="0" borderId="2" xfId="0" applyFont="1" applyBorder="1" applyAlignment="1">
      <alignment horizontal="left"/>
    </xf>
    <xf numFmtId="0" fontId="32" fillId="0" borderId="12" xfId="2" applyFont="1" applyBorder="1"/>
    <xf numFmtId="164" fontId="30" fillId="0" borderId="15" xfId="2" applyNumberFormat="1" applyFont="1" applyBorder="1"/>
    <xf numFmtId="0" fontId="27" fillId="0" borderId="15" xfId="0" applyFont="1" applyBorder="1" applyAlignment="1">
      <alignment horizontal="left"/>
    </xf>
    <xf numFmtId="0" fontId="30" fillId="0" borderId="16" xfId="2" applyBorder="1"/>
    <xf numFmtId="0" fontId="0" fillId="0" borderId="10" xfId="0" applyFill="1" applyBorder="1" applyAlignment="1"/>
    <xf numFmtId="0" fontId="50" fillId="0" borderId="11" xfId="0" applyFont="1" applyBorder="1"/>
    <xf numFmtId="0" fontId="30" fillId="0" borderId="10" xfId="2" applyBorder="1"/>
    <xf numFmtId="0" fontId="30" fillId="0" borderId="11" xfId="2" applyBorder="1"/>
    <xf numFmtId="0" fontId="0" fillId="0" borderId="10" xfId="0" applyFill="1" applyBorder="1" applyAlignment="1">
      <alignment horizontal="left" indent="1"/>
    </xf>
    <xf numFmtId="0" fontId="30" fillId="0" borderId="7" xfId="2" applyBorder="1"/>
    <xf numFmtId="0" fontId="30" fillId="0" borderId="0" xfId="2" applyAlignment="1">
      <alignment horizontal="center"/>
    </xf>
    <xf numFmtId="0" fontId="30" fillId="0" borderId="1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30" fillId="0" borderId="10" xfId="0" applyFont="1" applyBorder="1" applyAlignment="1">
      <alignment vertical="center"/>
    </xf>
    <xf numFmtId="9" fontId="0" fillId="0" borderId="0" xfId="1" applyFont="1" applyBorder="1" applyAlignment="1">
      <alignment horizontal="center"/>
    </xf>
    <xf numFmtId="0" fontId="50" fillId="0" borderId="8" xfId="0" applyFont="1" applyBorder="1"/>
    <xf numFmtId="1" fontId="0" fillId="0" borderId="0" xfId="1" applyNumberFormat="1" applyFont="1" applyBorder="1" applyAlignment="1">
      <alignment horizontal="center"/>
    </xf>
    <xf numFmtId="0" fontId="30" fillId="0" borderId="0" xfId="2" applyFont="1" applyAlignment="1">
      <alignment horizontal="center"/>
    </xf>
    <xf numFmtId="0" fontId="30" fillId="0" borderId="7" xfId="0" applyFont="1" applyBorder="1" applyAlignment="1">
      <alignment horizontal="left" vertical="center"/>
    </xf>
    <xf numFmtId="1" fontId="0" fillId="0" borderId="2" xfId="1" applyNumberFormat="1" applyFont="1" applyBorder="1" applyAlignment="1">
      <alignment horizontal="center"/>
    </xf>
    <xf numFmtId="0" fontId="44" fillId="0" borderId="2" xfId="0" quotePrefix="1" applyFont="1" applyBorder="1"/>
    <xf numFmtId="0" fontId="0" fillId="0" borderId="7" xfId="0" applyFill="1" applyBorder="1" applyAlignment="1">
      <alignment horizontal="left" indent="1"/>
    </xf>
    <xf numFmtId="2" fontId="30" fillId="0" borderId="2" xfId="2" applyNumberFormat="1" applyFont="1" applyBorder="1"/>
    <xf numFmtId="2" fontId="30" fillId="0" borderId="17" xfId="2" applyNumberFormat="1" applyFont="1" applyFill="1" applyBorder="1"/>
    <xf numFmtId="0" fontId="27" fillId="0" borderId="17" xfId="0" applyFont="1" applyFill="1" applyBorder="1" applyAlignment="1">
      <alignment horizontal="left"/>
    </xf>
    <xf numFmtId="0" fontId="50" fillId="0" borderId="5" xfId="0" applyFont="1" applyFill="1" applyBorder="1"/>
    <xf numFmtId="0" fontId="30" fillId="0" borderId="0" xfId="2" applyFill="1" applyBorder="1"/>
    <xf numFmtId="0" fontId="32" fillId="0" borderId="0" xfId="2" applyFont="1" applyFill="1" applyBorder="1"/>
    <xf numFmtId="164" fontId="30" fillId="0" borderId="0" xfId="2" applyNumberFormat="1" applyFill="1" applyBorder="1"/>
    <xf numFmtId="0" fontId="0" fillId="14" borderId="12" xfId="0" applyFill="1" applyBorder="1" applyAlignment="1"/>
    <xf numFmtId="2" fontId="32" fillId="14" borderId="15" xfId="2" applyNumberFormat="1" applyFont="1" applyFill="1" applyBorder="1"/>
    <xf numFmtId="0" fontId="27" fillId="14" borderId="15" xfId="0" applyFont="1" applyFill="1" applyBorder="1" applyAlignment="1">
      <alignment horizontal="left"/>
    </xf>
    <xf numFmtId="0" fontId="50" fillId="14" borderId="16" xfId="0" applyFont="1" applyFill="1" applyBorder="1"/>
    <xf numFmtId="0" fontId="0" fillId="14" borderId="10" xfId="0" applyFill="1" applyBorder="1" applyAlignment="1"/>
    <xf numFmtId="2" fontId="32" fillId="14" borderId="0" xfId="2" applyNumberFormat="1" applyFont="1" applyFill="1" applyBorder="1"/>
    <xf numFmtId="0" fontId="27" fillId="14" borderId="0" xfId="0" applyFont="1" applyFill="1" applyBorder="1" applyAlignment="1">
      <alignment horizontal="left"/>
    </xf>
    <xf numFmtId="0" fontId="50" fillId="14" borderId="11" xfId="0" applyFont="1" applyFill="1" applyBorder="1"/>
    <xf numFmtId="0" fontId="30" fillId="14" borderId="7" xfId="2" applyFill="1" applyBorder="1"/>
    <xf numFmtId="166" fontId="32" fillId="14" borderId="2" xfId="2" applyNumberFormat="1" applyFont="1" applyFill="1" applyBorder="1"/>
    <xf numFmtId="0" fontId="27" fillId="14" borderId="2" xfId="0" applyFont="1" applyFill="1" applyBorder="1" applyAlignment="1">
      <alignment horizontal="left"/>
    </xf>
    <xf numFmtId="0" fontId="50" fillId="14" borderId="8" xfId="0" applyFont="1" applyFill="1" applyBorder="1"/>
    <xf numFmtId="0" fontId="32" fillId="11" borderId="4" xfId="2" applyFont="1" applyFill="1" applyBorder="1"/>
    <xf numFmtId="0" fontId="32" fillId="11" borderId="17" xfId="2" applyFont="1" applyFill="1" applyBorder="1"/>
    <xf numFmtId="0" fontId="5" fillId="11" borderId="17" xfId="0" applyFont="1" applyFill="1" applyBorder="1" applyAlignment="1">
      <alignment horizontal="left"/>
    </xf>
    <xf numFmtId="0" fontId="5" fillId="11" borderId="5" xfId="0" applyFont="1" applyFill="1" applyBorder="1"/>
    <xf numFmtId="0" fontId="1" fillId="11" borderId="1" xfId="0" applyFont="1" applyFill="1" applyBorder="1" applyAlignment="1"/>
    <xf numFmtId="164" fontId="30" fillId="11" borderId="1" xfId="2" applyNumberFormat="1" applyFont="1" applyFill="1" applyBorder="1" applyAlignment="1">
      <alignment horizontal="right"/>
    </xf>
    <xf numFmtId="0" fontId="27" fillId="11" borderId="1" xfId="0" applyFont="1" applyFill="1" applyBorder="1" applyAlignment="1">
      <alignment horizontal="left"/>
    </xf>
    <xf numFmtId="0" fontId="50" fillId="11" borderId="1" xfId="0" applyFont="1" applyFill="1" applyBorder="1"/>
    <xf numFmtId="0" fontId="84" fillId="36" borderId="3" xfId="2" applyFont="1" applyFill="1" applyBorder="1" applyAlignment="1">
      <alignment horizontal="center"/>
    </xf>
    <xf numFmtId="0" fontId="84" fillId="36" borderId="9" xfId="2" applyFont="1" applyFill="1" applyBorder="1" applyAlignment="1">
      <alignment horizontal="center"/>
    </xf>
    <xf numFmtId="0" fontId="84" fillId="36" borderId="6" xfId="2" applyFont="1" applyFill="1" applyBorder="1" applyAlignment="1">
      <alignment horizontal="center"/>
    </xf>
    <xf numFmtId="0" fontId="85" fillId="37" borderId="0" xfId="2" applyFont="1" applyFill="1"/>
    <xf numFmtId="0" fontId="86" fillId="37" borderId="0" xfId="2" applyFont="1" applyFill="1"/>
    <xf numFmtId="165" fontId="1" fillId="38" borderId="1" xfId="6" applyNumberFormat="1" applyFont="1" applyFill="1" applyBorder="1" applyAlignment="1">
      <alignment horizontal="right"/>
    </xf>
    <xf numFmtId="0" fontId="70" fillId="30" borderId="1" xfId="7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88" fillId="0" borderId="0" xfId="0" applyFont="1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1" xfId="0" applyBorder="1" applyAlignment="1">
      <alignment horizontal="left"/>
    </xf>
    <xf numFmtId="0" fontId="39" fillId="12" borderId="18" xfId="4" applyBorder="1" applyAlignment="1">
      <alignment horizontal="center"/>
    </xf>
    <xf numFmtId="0" fontId="0" fillId="0" borderId="8" xfId="0" applyBorder="1" applyAlignment="1">
      <alignment horizontal="left"/>
    </xf>
    <xf numFmtId="0" fontId="70" fillId="30" borderId="20" xfId="7" applyBorder="1" applyAlignment="1">
      <alignment horizontal="center"/>
    </xf>
    <xf numFmtId="0" fontId="39" fillId="12" borderId="20" xfId="4" applyBorder="1" applyAlignment="1">
      <alignment horizontal="center"/>
    </xf>
    <xf numFmtId="0" fontId="0" fillId="0" borderId="21" xfId="0" applyBorder="1" applyAlignment="1">
      <alignment horizontal="center"/>
    </xf>
    <xf numFmtId="0" fontId="87" fillId="0" borderId="11" xfId="0" applyFon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16" borderId="0" xfId="0" applyFill="1" applyBorder="1"/>
    <xf numFmtId="0" fontId="70" fillId="16" borderId="0" xfId="7" applyFill="1" applyBorder="1" applyAlignment="1">
      <alignment horizontal="center"/>
    </xf>
    <xf numFmtId="0" fontId="39" fillId="16" borderId="0" xfId="4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6" borderId="22" xfId="0" applyFill="1" applyBorder="1"/>
    <xf numFmtId="0" fontId="0" fillId="16" borderId="23" xfId="0" applyFill="1" applyBorder="1"/>
    <xf numFmtId="0" fontId="0" fillId="16" borderId="23" xfId="0" applyFill="1" applyBorder="1" applyAlignment="1">
      <alignment horizontal="center"/>
    </xf>
    <xf numFmtId="0" fontId="0" fillId="16" borderId="23" xfId="0" applyFill="1" applyBorder="1" applyAlignment="1">
      <alignment horizontal="left"/>
    </xf>
    <xf numFmtId="0" fontId="0" fillId="16" borderId="24" xfId="0" applyFill="1" applyBorder="1"/>
    <xf numFmtId="0" fontId="0" fillId="16" borderId="25" xfId="0" applyFill="1" applyBorder="1"/>
    <xf numFmtId="0" fontId="0" fillId="16" borderId="26" xfId="0" applyFill="1" applyBorder="1"/>
    <xf numFmtId="0" fontId="0" fillId="16" borderId="25" xfId="0" applyFill="1" applyBorder="1" applyAlignment="1">
      <alignment horizontal="center"/>
    </xf>
    <xf numFmtId="0" fontId="0" fillId="16" borderId="0" xfId="0" applyFill="1" applyBorder="1" applyAlignment="1">
      <alignment horizontal="left"/>
    </xf>
    <xf numFmtId="0" fontId="0" fillId="16" borderId="27" xfId="0" applyFill="1" applyBorder="1"/>
    <xf numFmtId="0" fontId="0" fillId="16" borderId="28" xfId="0" applyFill="1" applyBorder="1"/>
    <xf numFmtId="0" fontId="0" fillId="16" borderId="28" xfId="0" applyFill="1" applyBorder="1" applyAlignment="1">
      <alignment horizontal="center"/>
    </xf>
    <xf numFmtId="0" fontId="0" fillId="16" borderId="28" xfId="0" applyFill="1" applyBorder="1" applyAlignment="1">
      <alignment horizontal="left"/>
    </xf>
    <xf numFmtId="0" fontId="0" fillId="16" borderId="29" xfId="0" applyFill="1" applyBorder="1"/>
    <xf numFmtId="1" fontId="1" fillId="0" borderId="1" xfId="0" applyNumberFormat="1" applyFont="1" applyBorder="1" applyAlignment="1">
      <alignment horizontal="right"/>
    </xf>
    <xf numFmtId="0" fontId="89" fillId="17" borderId="0" xfId="0" applyFont="1" applyFill="1"/>
    <xf numFmtId="9" fontId="1" fillId="0" borderId="1" xfId="1" applyFont="1" applyBorder="1" applyAlignment="1">
      <alignment horizontal="right"/>
    </xf>
    <xf numFmtId="0" fontId="0" fillId="36" borderId="1" xfId="0" applyFill="1" applyBorder="1" applyAlignment="1"/>
    <xf numFmtId="167" fontId="1" fillId="36" borderId="1" xfId="0" applyNumberFormat="1" applyFont="1" applyFill="1" applyBorder="1" applyAlignment="1">
      <alignment horizontal="right"/>
    </xf>
    <xf numFmtId="0" fontId="27" fillId="36" borderId="5" xfId="0" applyFont="1" applyFill="1" applyBorder="1" applyAlignment="1">
      <alignment horizontal="left"/>
    </xf>
    <xf numFmtId="0" fontId="50" fillId="36" borderId="1" xfId="0" applyFont="1" applyFill="1" applyBorder="1"/>
    <xf numFmtId="0" fontId="84" fillId="14" borderId="3" xfId="2" applyFont="1" applyFill="1" applyBorder="1" applyAlignment="1">
      <alignment horizontal="center"/>
    </xf>
    <xf numFmtId="0" fontId="84" fillId="14" borderId="9" xfId="2" applyFont="1" applyFill="1" applyBorder="1" applyAlignment="1">
      <alignment horizontal="center"/>
    </xf>
    <xf numFmtId="0" fontId="84" fillId="14" borderId="6" xfId="2" applyFont="1" applyFill="1" applyBorder="1" applyAlignment="1">
      <alignment horizontal="center"/>
    </xf>
    <xf numFmtId="0" fontId="84" fillId="39" borderId="3" xfId="2" applyFont="1" applyFill="1" applyBorder="1" applyAlignment="1">
      <alignment horizontal="center"/>
    </xf>
    <xf numFmtId="0" fontId="84" fillId="39" borderId="9" xfId="2" applyFont="1" applyFill="1" applyBorder="1" applyAlignment="1">
      <alignment horizontal="center"/>
    </xf>
    <xf numFmtId="0" fontId="84" fillId="39" borderId="6" xfId="2" applyFont="1" applyFill="1" applyBorder="1" applyAlignment="1">
      <alignment horizontal="center"/>
    </xf>
    <xf numFmtId="0" fontId="84" fillId="24" borderId="3" xfId="2" applyFont="1" applyFill="1" applyBorder="1" applyAlignment="1">
      <alignment horizontal="center"/>
    </xf>
    <xf numFmtId="0" fontId="84" fillId="24" borderId="9" xfId="2" applyFont="1" applyFill="1" applyBorder="1" applyAlignment="1">
      <alignment horizontal="center"/>
    </xf>
    <xf numFmtId="0" fontId="84" fillId="24" borderId="6" xfId="2" applyFont="1" applyFill="1" applyBorder="1" applyAlignment="1">
      <alignment horizontal="center"/>
    </xf>
    <xf numFmtId="0" fontId="84" fillId="15" borderId="3" xfId="2" applyFont="1" applyFill="1" applyBorder="1" applyAlignment="1">
      <alignment horizontal="center"/>
    </xf>
    <xf numFmtId="0" fontId="84" fillId="15" borderId="9" xfId="2" applyFont="1" applyFill="1" applyBorder="1" applyAlignment="1">
      <alignment horizontal="center"/>
    </xf>
    <xf numFmtId="0" fontId="84" fillId="15" borderId="6" xfId="2" applyFont="1" applyFill="1" applyBorder="1" applyAlignment="1">
      <alignment horizontal="center"/>
    </xf>
    <xf numFmtId="0" fontId="84" fillId="38" borderId="3" xfId="2" applyFont="1" applyFill="1" applyBorder="1" applyAlignment="1">
      <alignment horizontal="center"/>
    </xf>
    <xf numFmtId="0" fontId="84" fillId="38" borderId="9" xfId="2" applyFont="1" applyFill="1" applyBorder="1" applyAlignment="1">
      <alignment horizontal="center"/>
    </xf>
    <xf numFmtId="0" fontId="84" fillId="38" borderId="6" xfId="2" applyFont="1" applyFill="1" applyBorder="1" applyAlignment="1">
      <alignment horizontal="center"/>
    </xf>
    <xf numFmtId="0" fontId="30" fillId="16" borderId="12" xfId="2" applyFill="1" applyBorder="1"/>
    <xf numFmtId="0" fontId="30" fillId="16" borderId="15" xfId="2" applyFill="1" applyBorder="1"/>
    <xf numFmtId="0" fontId="32" fillId="16" borderId="15" xfId="2" applyFont="1" applyFill="1" applyBorder="1"/>
    <xf numFmtId="0" fontId="30" fillId="16" borderId="16" xfId="2" applyFill="1" applyBorder="1"/>
    <xf numFmtId="0" fontId="30" fillId="16" borderId="10" xfId="2" applyFill="1" applyBorder="1"/>
    <xf numFmtId="0" fontId="30" fillId="16" borderId="0" xfId="2" applyFill="1" applyBorder="1"/>
    <xf numFmtId="0" fontId="32" fillId="16" borderId="11" xfId="2" applyFont="1" applyFill="1" applyBorder="1"/>
    <xf numFmtId="0" fontId="32" fillId="16" borderId="0" xfId="2" applyFont="1" applyFill="1" applyBorder="1"/>
    <xf numFmtId="0" fontId="30" fillId="16" borderId="11" xfId="2" applyFill="1" applyBorder="1"/>
    <xf numFmtId="0" fontId="32" fillId="16" borderId="7" xfId="2" applyFont="1" applyFill="1" applyBorder="1"/>
    <xf numFmtId="0" fontId="30" fillId="16" borderId="2" xfId="2" applyFill="1" applyBorder="1"/>
    <xf numFmtId="0" fontId="32" fillId="16" borderId="2" xfId="2" applyFont="1" applyFill="1" applyBorder="1"/>
    <xf numFmtId="0" fontId="30" fillId="16" borderId="8" xfId="2" applyFill="1" applyBorder="1"/>
    <xf numFmtId="0" fontId="0" fillId="0" borderId="5" xfId="0" applyBorder="1" applyAlignment="1">
      <alignment horizontal="center" vertical="center"/>
    </xf>
    <xf numFmtId="0" fontId="40" fillId="14" borderId="8" xfId="0" applyFont="1" applyFill="1" applyBorder="1" applyAlignment="1">
      <alignment horizontal="center" vertical="center"/>
    </xf>
    <xf numFmtId="0" fontId="40" fillId="14" borderId="6" xfId="0" applyFont="1" applyFill="1" applyBorder="1" applyAlignment="1">
      <alignment horizontal="center" vertical="center"/>
    </xf>
    <xf numFmtId="0" fontId="40" fillId="14" borderId="6" xfId="5" applyFont="1" applyFill="1" applyBorder="1" applyAlignment="1">
      <alignment horizontal="center" vertical="center"/>
    </xf>
    <xf numFmtId="2" fontId="40" fillId="14" borderId="6" xfId="4" applyNumberFormat="1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24" fillId="13" borderId="3" xfId="5" applyFon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2" fontId="39" fillId="12" borderId="3" xfId="4" applyNumberFormat="1" applyBorder="1" applyAlignment="1">
      <alignment horizontal="center"/>
    </xf>
    <xf numFmtId="0" fontId="92" fillId="0" borderId="0" xfId="0" applyFont="1" applyAlignment="1">
      <alignment horizontal="center"/>
    </xf>
    <xf numFmtId="0" fontId="91" fillId="0" borderId="0" xfId="0" applyFont="1" applyAlignment="1">
      <alignment horizontal="center"/>
    </xf>
    <xf numFmtId="2" fontId="91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9" fontId="64" fillId="29" borderId="1" xfId="1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5" fontId="1" fillId="0" borderId="1" xfId="0" applyNumberFormat="1" applyFont="1" applyBorder="1" applyAlignment="1">
      <alignment horizontal="right"/>
    </xf>
    <xf numFmtId="11" fontId="26" fillId="16" borderId="1" xfId="6" applyNumberFormat="1" applyFont="1" applyFill="1" applyBorder="1" applyAlignment="1">
      <alignment horizontal="right"/>
    </xf>
    <xf numFmtId="0" fontId="17" fillId="17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15" borderId="0" xfId="0" applyFill="1" applyAlignment="1">
      <alignment horizontal="center"/>
    </xf>
    <xf numFmtId="167" fontId="30" fillId="38" borderId="1" xfId="6" applyNumberFormat="1" applyFont="1" applyFill="1" applyBorder="1" applyAlignment="1">
      <alignment horizontal="center"/>
    </xf>
    <xf numFmtId="2" fontId="93" fillId="0" borderId="1" xfId="4" applyNumberFormat="1" applyFont="1" applyFill="1" applyBorder="1" applyAlignment="1">
      <alignment horizontal="right" vertical="center"/>
    </xf>
    <xf numFmtId="2" fontId="93" fillId="38" borderId="1" xfId="4" applyNumberFormat="1" applyFont="1" applyFill="1" applyBorder="1" applyAlignment="1">
      <alignment horizontal="center" vertical="center"/>
    </xf>
    <xf numFmtId="2" fontId="0" fillId="38" borderId="1" xfId="0" applyNumberFormat="1" applyFill="1" applyBorder="1" applyAlignment="1">
      <alignment horizontal="right"/>
    </xf>
    <xf numFmtId="164" fontId="0" fillId="16" borderId="1" xfId="0" applyNumberFormat="1" applyFill="1" applyBorder="1" applyAlignment="1">
      <alignment horizontal="right"/>
    </xf>
    <xf numFmtId="2" fontId="30" fillId="0" borderId="12" xfId="2" applyNumberFormat="1" applyBorder="1" applyAlignment="1">
      <alignment horizontal="center"/>
    </xf>
    <xf numFmtId="0" fontId="30" fillId="0" borderId="16" xfId="2" applyBorder="1" applyAlignment="1">
      <alignment horizontal="center"/>
    </xf>
    <xf numFmtId="2" fontId="30" fillId="0" borderId="10" xfId="2" applyNumberFormat="1" applyBorder="1" applyAlignment="1">
      <alignment horizontal="center"/>
    </xf>
    <xf numFmtId="0" fontId="30" fillId="0" borderId="11" xfId="2" applyBorder="1" applyAlignment="1">
      <alignment horizontal="center"/>
    </xf>
    <xf numFmtId="2" fontId="30" fillId="0" borderId="7" xfId="2" applyNumberFormat="1" applyBorder="1" applyAlignment="1">
      <alignment horizontal="center"/>
    </xf>
    <xf numFmtId="0" fontId="30" fillId="0" borderId="8" xfId="2" applyBorder="1" applyAlignment="1">
      <alignment horizontal="center"/>
    </xf>
    <xf numFmtId="168" fontId="30" fillId="0" borderId="10" xfId="2" applyNumberFormat="1" applyBorder="1" applyAlignment="1">
      <alignment horizontal="center"/>
    </xf>
    <xf numFmtId="0" fontId="30" fillId="0" borderId="10" xfId="2" applyBorder="1" applyAlignment="1">
      <alignment horizontal="center"/>
    </xf>
    <xf numFmtId="0" fontId="30" fillId="0" borderId="7" xfId="2" applyBorder="1" applyAlignment="1">
      <alignment horizontal="center"/>
    </xf>
    <xf numFmtId="0" fontId="30" fillId="0" borderId="8" xfId="2" applyBorder="1"/>
    <xf numFmtId="164" fontId="30" fillId="0" borderId="12" xfId="2" applyNumberFormat="1" applyBorder="1" applyAlignment="1">
      <alignment horizontal="center"/>
    </xf>
    <xf numFmtId="164" fontId="30" fillId="0" borderId="10" xfId="2" applyNumberFormat="1" applyBorder="1" applyAlignment="1">
      <alignment horizontal="center"/>
    </xf>
    <xf numFmtId="164" fontId="30" fillId="0" borderId="7" xfId="2" applyNumberFormat="1" applyBorder="1" applyAlignment="1">
      <alignment horizontal="center"/>
    </xf>
    <xf numFmtId="0" fontId="39" fillId="12" borderId="1" xfId="4" applyBorder="1" applyAlignment="1">
      <alignment horizontal="center"/>
    </xf>
    <xf numFmtId="0" fontId="87" fillId="0" borderId="15" xfId="0" applyFont="1" applyBorder="1" applyAlignment="1">
      <alignment horizontal="center"/>
    </xf>
    <xf numFmtId="0" fontId="87" fillId="0" borderId="16" xfId="0" applyFont="1" applyBorder="1" applyAlignment="1">
      <alignment horizontal="center"/>
    </xf>
    <xf numFmtId="0" fontId="87" fillId="0" borderId="2" xfId="0" applyFont="1" applyBorder="1" applyAlignment="1">
      <alignment horizontal="center"/>
    </xf>
    <xf numFmtId="0" fontId="87" fillId="0" borderId="8" xfId="0" applyFont="1" applyBorder="1" applyAlignment="1">
      <alignment horizontal="center"/>
    </xf>
    <xf numFmtId="0" fontId="30" fillId="16" borderId="22" xfId="2" applyFill="1" applyBorder="1"/>
    <xf numFmtId="0" fontId="30" fillId="16" borderId="23" xfId="2" applyFill="1" applyBorder="1"/>
    <xf numFmtId="0" fontId="30" fillId="16" borderId="24" xfId="2" applyFill="1" applyBorder="1"/>
    <xf numFmtId="0" fontId="30" fillId="16" borderId="25" xfId="2" applyFill="1" applyBorder="1"/>
    <xf numFmtId="0" fontId="30" fillId="16" borderId="26" xfId="2" applyFill="1" applyBorder="1"/>
    <xf numFmtId="0" fontId="30" fillId="16" borderId="27" xfId="2" applyFill="1" applyBorder="1"/>
    <xf numFmtId="0" fontId="30" fillId="16" borderId="28" xfId="2" applyFill="1" applyBorder="1"/>
    <xf numFmtId="0" fontId="30" fillId="16" borderId="29" xfId="2" applyFill="1" applyBorder="1"/>
    <xf numFmtId="165" fontId="39" fillId="12" borderId="18" xfId="4" applyNumberFormat="1" applyBorder="1" applyAlignment="1">
      <alignment horizontal="center"/>
    </xf>
    <xf numFmtId="165" fontId="70" fillId="30" borderId="1" xfId="7" applyNumberFormat="1" applyBorder="1" applyAlignment="1">
      <alignment horizontal="center"/>
    </xf>
    <xf numFmtId="164" fontId="81" fillId="12" borderId="13" xfId="4" applyNumberFormat="1" applyFont="1" applyAlignment="1">
      <alignment horizontal="right"/>
    </xf>
    <xf numFmtId="167" fontId="0" fillId="0" borderId="0" xfId="0" applyNumberFormat="1" applyAlignment="1">
      <alignment horizontal="center"/>
    </xf>
    <xf numFmtId="11" fontId="30" fillId="33" borderId="1" xfId="4" applyNumberFormat="1" applyFont="1" applyFill="1" applyBorder="1" applyAlignment="1">
      <alignment horizontal="center" vertical="center"/>
    </xf>
    <xf numFmtId="11" fontId="1" fillId="38" borderId="1" xfId="6" applyNumberFormat="1" applyFont="1" applyFill="1" applyBorder="1" applyAlignment="1">
      <alignment horizontal="right"/>
    </xf>
    <xf numFmtId="0" fontId="94" fillId="0" borderId="0" xfId="10"/>
    <xf numFmtId="0" fontId="0" fillId="0" borderId="1" xfId="0" applyBorder="1" applyAlignment="1">
      <alignment horizontal="left"/>
    </xf>
    <xf numFmtId="169" fontId="0" fillId="0" borderId="0" xfId="1" applyNumberFormat="1" applyFont="1"/>
    <xf numFmtId="165" fontId="0" fillId="0" borderId="1" xfId="0" applyNumberFormat="1" applyBorder="1" applyAlignment="1">
      <alignment horizontal="right"/>
    </xf>
    <xf numFmtId="0" fontId="1" fillId="0" borderId="0" xfId="0" applyFont="1" applyAlignment="1">
      <alignment horizontal="left" vertical="center"/>
    </xf>
    <xf numFmtId="0" fontId="49" fillId="18" borderId="13" xfId="6" applyAlignment="1">
      <alignment horizontal="center" vertical="center"/>
    </xf>
    <xf numFmtId="9" fontId="49" fillId="18" borderId="13" xfId="6" applyNumberFormat="1" applyAlignment="1">
      <alignment horizontal="center" vertical="center"/>
    </xf>
    <xf numFmtId="0" fontId="95" fillId="0" borderId="0" xfId="0" applyFont="1" applyAlignment="1">
      <alignment horizontal="center"/>
    </xf>
    <xf numFmtId="0" fontId="95" fillId="0" borderId="0" xfId="0" applyFont="1" applyAlignment="1">
      <alignment horizontal="left"/>
    </xf>
    <xf numFmtId="2" fontId="95" fillId="0" borderId="0" xfId="0" applyNumberFormat="1" applyFont="1" applyAlignment="1">
      <alignment horizontal="center"/>
    </xf>
    <xf numFmtId="166" fontId="95" fillId="0" borderId="0" xfId="0" applyNumberFormat="1" applyFont="1" applyAlignment="1">
      <alignment horizontal="center"/>
    </xf>
    <xf numFmtId="164" fontId="95" fillId="0" borderId="0" xfId="0" applyNumberFormat="1" applyFont="1" applyAlignment="1">
      <alignment horizontal="center"/>
    </xf>
    <xf numFmtId="0" fontId="96" fillId="0" borderId="0" xfId="0" applyFont="1" applyAlignment="1">
      <alignment horizontal="center"/>
    </xf>
    <xf numFmtId="0" fontId="96" fillId="0" borderId="0" xfId="0" applyFont="1" applyAlignment="1">
      <alignment horizontal="left"/>
    </xf>
    <xf numFmtId="11" fontId="30" fillId="0" borderId="0" xfId="2" applyNumberFormat="1"/>
    <xf numFmtId="0" fontId="30" fillId="0" borderId="0" xfId="2" applyAlignment="1">
      <alignment horizontal="right"/>
    </xf>
    <xf numFmtId="0" fontId="32" fillId="0" borderId="0" xfId="2" applyFont="1" applyAlignment="1">
      <alignment horizontal="right"/>
    </xf>
    <xf numFmtId="164" fontId="30" fillId="0" borderId="0" xfId="2" applyNumberFormat="1" applyAlignment="1">
      <alignment horizontal="center"/>
    </xf>
    <xf numFmtId="2" fontId="28" fillId="40" borderId="12" xfId="0" applyNumberFormat="1" applyFont="1" applyFill="1" applyBorder="1" applyAlignment="1">
      <alignment horizontal="right"/>
    </xf>
    <xf numFmtId="0" fontId="28" fillId="40" borderId="16" xfId="0" applyFont="1" applyFill="1" applyBorder="1"/>
    <xf numFmtId="2" fontId="78" fillId="40" borderId="7" xfId="0" applyNumberFormat="1" applyFont="1" applyFill="1" applyBorder="1"/>
    <xf numFmtId="0" fontId="79" fillId="40" borderId="8" xfId="0" applyFont="1" applyFill="1" applyBorder="1"/>
    <xf numFmtId="0" fontId="99" fillId="29" borderId="1" xfId="4" applyFont="1" applyFill="1" applyBorder="1" applyAlignment="1">
      <alignment horizontal="center" vertical="center"/>
    </xf>
    <xf numFmtId="0" fontId="100" fillId="0" borderId="0" xfId="0" quotePrefix="1" applyFont="1" applyBorder="1"/>
    <xf numFmtId="0" fontId="100" fillId="0" borderId="0" xfId="0" applyFont="1"/>
    <xf numFmtId="0" fontId="92" fillId="0" borderId="0" xfId="0" applyFont="1" applyAlignment="1">
      <alignment horizontal="left"/>
    </xf>
    <xf numFmtId="0" fontId="43" fillId="0" borderId="1" xfId="0" quotePrefix="1" applyFont="1" applyBorder="1" applyAlignment="1"/>
    <xf numFmtId="0" fontId="95" fillId="0" borderId="0" xfId="0" applyFont="1" applyAlignment="1">
      <alignment horizontal="center"/>
    </xf>
    <xf numFmtId="165" fontId="0" fillId="0" borderId="0" xfId="0" applyNumberFormat="1"/>
    <xf numFmtId="2" fontId="0" fillId="0" borderId="0" xfId="0" applyNumberFormat="1" applyFont="1" applyAlignment="1">
      <alignment horizontal="center"/>
    </xf>
    <xf numFmtId="166" fontId="0" fillId="0" borderId="0" xfId="0" applyNumberFormat="1"/>
    <xf numFmtId="0" fontId="75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1" fillId="31" borderId="0" xfId="8" applyFont="1" applyAlignment="1">
      <alignment horizontal="left"/>
    </xf>
    <xf numFmtId="0" fontId="101" fillId="31" borderId="0" xfId="8" applyFont="1" applyAlignment="1">
      <alignment horizontal="center"/>
    </xf>
    <xf numFmtId="0" fontId="101" fillId="31" borderId="0" xfId="8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95" fillId="0" borderId="0" xfId="0" applyFont="1" applyBorder="1" applyAlignment="1">
      <alignment horizontal="center"/>
    </xf>
    <xf numFmtId="0" fontId="98" fillId="0" borderId="0" xfId="2" applyFont="1" applyAlignment="1">
      <alignment horizontal="center"/>
    </xf>
    <xf numFmtId="0" fontId="102" fillId="0" borderId="0" xfId="2" applyFont="1" applyAlignment="1">
      <alignment horizontal="center"/>
    </xf>
    <xf numFmtId="0" fontId="103" fillId="0" borderId="0" xfId="0" applyFont="1" applyAlignment="1">
      <alignment horizontal="center"/>
    </xf>
    <xf numFmtId="0" fontId="104" fillId="0" borderId="0" xfId="2" applyFont="1" applyAlignment="1">
      <alignment horizontal="center"/>
    </xf>
    <xf numFmtId="0" fontId="102" fillId="0" borderId="0" xfId="2" applyFont="1"/>
    <xf numFmtId="0" fontId="62" fillId="0" borderId="0" xfId="2" applyFont="1" applyAlignment="1">
      <alignment horizontal="center"/>
    </xf>
    <xf numFmtId="0" fontId="105" fillId="0" borderId="0" xfId="2" applyFont="1"/>
    <xf numFmtId="11" fontId="105" fillId="0" borderId="0" xfId="2" applyNumberFormat="1" applyFont="1"/>
    <xf numFmtId="0" fontId="32" fillId="0" borderId="0" xfId="2" applyFont="1" applyAlignment="1">
      <alignment horizontal="left"/>
    </xf>
    <xf numFmtId="0" fontId="92" fillId="38" borderId="0" xfId="0" applyFont="1" applyFill="1" applyAlignment="1">
      <alignment horizontal="center"/>
    </xf>
    <xf numFmtId="0" fontId="95" fillId="38" borderId="0" xfId="0" applyFont="1" applyFill="1" applyAlignment="1">
      <alignment horizontal="center"/>
    </xf>
    <xf numFmtId="0" fontId="96" fillId="38" borderId="0" xfId="0" applyFont="1" applyFill="1" applyAlignment="1">
      <alignment horizontal="center"/>
    </xf>
    <xf numFmtId="0" fontId="30" fillId="38" borderId="0" xfId="2" applyFill="1"/>
    <xf numFmtId="165" fontId="98" fillId="0" borderId="0" xfId="2" applyNumberFormat="1" applyFont="1" applyAlignment="1">
      <alignment horizontal="center"/>
    </xf>
    <xf numFmtId="0" fontId="97" fillId="0" borderId="0" xfId="2" applyFont="1" applyAlignment="1">
      <alignment horizontal="center"/>
    </xf>
    <xf numFmtId="165" fontId="97" fillId="0" borderId="0" xfId="2" applyNumberFormat="1" applyFont="1" applyAlignment="1">
      <alignment horizontal="center"/>
    </xf>
    <xf numFmtId="2" fontId="30" fillId="0" borderId="0" xfId="2" applyNumberFormat="1" applyAlignment="1">
      <alignment horizontal="center"/>
    </xf>
    <xf numFmtId="0" fontId="17" fillId="17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06" fillId="0" borderId="0" xfId="0" applyFont="1" applyAlignment="1">
      <alignment horizontal="left" vertical="center"/>
    </xf>
    <xf numFmtId="2" fontId="0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32" fillId="0" borderId="0" xfId="0" applyFont="1"/>
    <xf numFmtId="0" fontId="107" fillId="17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11" fontId="0" fillId="0" borderId="0" xfId="0" applyNumberFormat="1" applyFont="1" applyAlignment="1">
      <alignment horizontal="left"/>
    </xf>
    <xf numFmtId="2" fontId="106" fillId="0" borderId="0" xfId="0" applyNumberFormat="1" applyFont="1" applyAlignment="1">
      <alignment horizontal="left" vertical="center"/>
    </xf>
    <xf numFmtId="167" fontId="0" fillId="0" borderId="0" xfId="0" applyNumberFormat="1" applyFont="1" applyAlignment="1">
      <alignment horizontal="left"/>
    </xf>
    <xf numFmtId="0" fontId="108" fillId="0" borderId="0" xfId="0" applyFont="1" applyAlignment="1">
      <alignment horizontal="left"/>
    </xf>
    <xf numFmtId="2" fontId="108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center"/>
    </xf>
    <xf numFmtId="11" fontId="91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109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0" fontId="27" fillId="0" borderId="1" xfId="0" applyFont="1" applyBorder="1" applyAlignment="1">
      <alignment horizontal="left"/>
    </xf>
    <xf numFmtId="0" fontId="39" fillId="12" borderId="13" xfId="4" applyAlignment="1">
      <alignment horizontal="center" vertical="center" wrapText="1"/>
    </xf>
    <xf numFmtId="0" fontId="39" fillId="12" borderId="13" xfId="4" applyAlignment="1">
      <alignment horizontal="center" vertical="center"/>
    </xf>
    <xf numFmtId="0" fontId="39" fillId="12" borderId="13" xfId="4" applyAlignment="1">
      <alignment horizontal="left"/>
    </xf>
    <xf numFmtId="0" fontId="42" fillId="11" borderId="1" xfId="0" applyFont="1" applyFill="1" applyBorder="1" applyAlignment="1">
      <alignment horizontal="left"/>
    </xf>
    <xf numFmtId="0" fontId="87" fillId="0" borderId="0" xfId="0" applyFont="1" applyBorder="1" applyAlignment="1">
      <alignment horizontal="center"/>
    </xf>
    <xf numFmtId="0" fontId="87" fillId="0" borderId="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4" fontId="32" fillId="0" borderId="4" xfId="2" applyNumberFormat="1" applyFont="1" applyBorder="1" applyAlignment="1">
      <alignment horizontal="center" vertical="center"/>
    </xf>
    <xf numFmtId="164" fontId="32" fillId="0" borderId="5" xfId="2" applyNumberFormat="1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5" xfId="2" applyFont="1" applyBorder="1" applyAlignment="1">
      <alignment horizontal="center" vertical="center"/>
    </xf>
  </cellXfs>
  <cellStyles count="11">
    <cellStyle name="Bad 2" xfId="3"/>
    <cellStyle name="Calculation" xfId="6" builtinId="22"/>
    <cellStyle name="Comma" xfId="9" builtinId="3"/>
    <cellStyle name="Good" xfId="7" builtinId="26"/>
    <cellStyle name="Hyperlink" xfId="10" builtinId="8"/>
    <cellStyle name="Input" xfId="4" builtinId="20"/>
    <cellStyle name="Neutral" xfId="8" builtinId="28"/>
    <cellStyle name="Normal" xfId="0" builtinId="0"/>
    <cellStyle name="Normal 2" xfId="2"/>
    <cellStyle name="Note" xfId="5" builtinId="10"/>
    <cellStyle name="Percent" xfId="1" builtinId="5"/>
  </cellStyles>
  <dxfs count="24"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0.0E+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0.0E+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6" formatCode="0.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7" tint="-0.249977111117893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gradientFill>
          <stop position="0">
            <color theme="0"/>
          </stop>
          <stop position="1">
            <color theme="5" tint="-0.25098422193060094"/>
          </stop>
        </gradientFill>
      </fill>
    </dxf>
  </dxfs>
  <tableStyles count="0" defaultTableStyle="TableStyleMedium2" defaultPivotStyle="PivotStyleLight16"/>
  <colors>
    <mruColors>
      <color rgb="FFFFFFCC"/>
      <color rgb="FFE8F6DE"/>
      <color rgb="FF3C5B62"/>
      <color rgb="FFC13F3F"/>
      <color rgb="FF5C4860"/>
      <color rgb="FF585BC4"/>
      <color rgb="FF3366CC"/>
      <color rgb="FF3333CC"/>
      <color rgb="FF009999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5-Sigma Noise Equivalent Flux Ratio, </a:t>
            </a:r>
            <a:br>
              <a:rPr lang="en-US"/>
            </a:br>
            <a:r>
              <a:rPr lang="en-US"/>
              <a:t>12pc, 10hrs, Imaging</a:t>
            </a:r>
          </a:p>
        </c:rich>
      </c:tx>
      <c:layout>
        <c:manualLayout>
          <c:xMode val="edge"/>
          <c:yMode val="edge"/>
          <c:x val="0.28526668186267862"/>
          <c:y val="3.81593492358665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= 2.5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Photometry!$AY$17:$AY$26</c:f>
              <c:numCache>
                <c:formatCode>0.00</c:formatCode>
                <c:ptCount val="10"/>
                <c:pt idx="0">
                  <c:v>0.15</c:v>
                </c:pt>
                <c:pt idx="1">
                  <c:v>0.18333333333333335</c:v>
                </c:pt>
                <c:pt idx="2">
                  <c:v>0.21666666666666667</c:v>
                </c:pt>
                <c:pt idx="3">
                  <c:v>0.25</c:v>
                </c:pt>
                <c:pt idx="4">
                  <c:v>0.28333333333333333</c:v>
                </c:pt>
                <c:pt idx="5">
                  <c:v>0.31666666666666665</c:v>
                </c:pt>
                <c:pt idx="6">
                  <c:v>0.35000000000000003</c:v>
                </c:pt>
                <c:pt idx="7">
                  <c:v>0.3833333333333333</c:v>
                </c:pt>
                <c:pt idx="8">
                  <c:v>0.41666666666666669</c:v>
                </c:pt>
                <c:pt idx="9">
                  <c:v>0.45</c:v>
                </c:pt>
              </c:numCache>
            </c:numRef>
          </c:xVal>
          <c:yVal>
            <c:numRef>
              <c:f>Photometry!$BA$17:$BA$26</c:f>
              <c:numCache>
                <c:formatCode>0.0E+00</c:formatCode>
                <c:ptCount val="10"/>
                <c:pt idx="0">
                  <c:v>2.1718149436599618E-9</c:v>
                </c:pt>
                <c:pt idx="1">
                  <c:v>9.3096398546186584E-10</c:v>
                </c:pt>
                <c:pt idx="2">
                  <c:v>8.8066277606293328E-10</c:v>
                </c:pt>
                <c:pt idx="3">
                  <c:v>6.7389179962158688E-10</c:v>
                </c:pt>
                <c:pt idx="4">
                  <c:v>6.6916470245616905E-10</c:v>
                </c:pt>
                <c:pt idx="5">
                  <c:v>7.0233216981410785E-10</c:v>
                </c:pt>
                <c:pt idx="6">
                  <c:v>6.471055908268833E-10</c:v>
                </c:pt>
                <c:pt idx="7">
                  <c:v>6.4357271189620822E-10</c:v>
                </c:pt>
                <c:pt idx="8">
                  <c:v>6.7450288033521422E-10</c:v>
                </c:pt>
                <c:pt idx="9">
                  <c:v>1.7835484802254052E-9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E-40D5-8E3C-FFE68CEB26AB}"/>
            </c:ext>
          </c:extLst>
        </c:ser>
        <c:ser>
          <c:idx val="1"/>
          <c:order val="1"/>
          <c:tx>
            <c:v>V = 5.0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Photometry!$AY$17:$AY$26</c:f>
              <c:numCache>
                <c:formatCode>0.00</c:formatCode>
                <c:ptCount val="10"/>
                <c:pt idx="0">
                  <c:v>0.15</c:v>
                </c:pt>
                <c:pt idx="1">
                  <c:v>0.18333333333333335</c:v>
                </c:pt>
                <c:pt idx="2">
                  <c:v>0.21666666666666667</c:v>
                </c:pt>
                <c:pt idx="3">
                  <c:v>0.25</c:v>
                </c:pt>
                <c:pt idx="4">
                  <c:v>0.28333333333333333</c:v>
                </c:pt>
                <c:pt idx="5">
                  <c:v>0.31666666666666665</c:v>
                </c:pt>
                <c:pt idx="6">
                  <c:v>0.35000000000000003</c:v>
                </c:pt>
                <c:pt idx="7">
                  <c:v>0.3833333333333333</c:v>
                </c:pt>
                <c:pt idx="8">
                  <c:v>0.41666666666666669</c:v>
                </c:pt>
                <c:pt idx="9">
                  <c:v>0.45</c:v>
                </c:pt>
              </c:numCache>
            </c:numRef>
          </c:xVal>
          <c:yVal>
            <c:numRef>
              <c:f>Photometry!$BB$17:$BB$26</c:f>
              <c:numCache>
                <c:formatCode>0.0E+00</c:formatCode>
                <c:ptCount val="10"/>
                <c:pt idx="0">
                  <c:v>5.5767067089418589E-9</c:v>
                </c:pt>
                <c:pt idx="1">
                  <c:v>3.0896545942007081E-9</c:v>
                </c:pt>
                <c:pt idx="2">
                  <c:v>2.6590391026517476E-9</c:v>
                </c:pt>
                <c:pt idx="3">
                  <c:v>2.2382712897666715E-9</c:v>
                </c:pt>
                <c:pt idx="4">
                  <c:v>2.0753148854308942E-9</c:v>
                </c:pt>
                <c:pt idx="5">
                  <c:v>1.9846447790324362E-9</c:v>
                </c:pt>
                <c:pt idx="6">
                  <c:v>1.8667104483708064E-9</c:v>
                </c:pt>
                <c:pt idx="7">
                  <c:v>1.8116176283757872E-9</c:v>
                </c:pt>
                <c:pt idx="8">
                  <c:v>1.8026872988552224E-9</c:v>
                </c:pt>
                <c:pt idx="9">
                  <c:v>3.6417565450306142E-9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9E-40D5-8E3C-FFE68CEB26AB}"/>
            </c:ext>
          </c:extLst>
        </c:ser>
        <c:ser>
          <c:idx val="2"/>
          <c:order val="2"/>
          <c:tx>
            <c:v>rawHLC/2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Photometry!$AY$17:$AY$26</c:f>
              <c:numCache>
                <c:formatCode>0.00</c:formatCode>
                <c:ptCount val="10"/>
                <c:pt idx="0">
                  <c:v>0.15</c:v>
                </c:pt>
                <c:pt idx="1">
                  <c:v>0.18333333333333335</c:v>
                </c:pt>
                <c:pt idx="2">
                  <c:v>0.21666666666666667</c:v>
                </c:pt>
                <c:pt idx="3">
                  <c:v>0.25</c:v>
                </c:pt>
                <c:pt idx="4">
                  <c:v>0.28333333333333333</c:v>
                </c:pt>
                <c:pt idx="5">
                  <c:v>0.31666666666666665</c:v>
                </c:pt>
                <c:pt idx="6">
                  <c:v>0.35000000000000003</c:v>
                </c:pt>
                <c:pt idx="7">
                  <c:v>0.3833333333333333</c:v>
                </c:pt>
                <c:pt idx="8">
                  <c:v>0.41666666666666669</c:v>
                </c:pt>
                <c:pt idx="9">
                  <c:v>0.45</c:v>
                </c:pt>
              </c:numCache>
            </c:numRef>
          </c:xVal>
          <c:yVal>
            <c:numRef>
              <c:f>Photometry!$BD$17:$BD$26</c:f>
              <c:numCache>
                <c:formatCode>0.00E+00</c:formatCode>
                <c:ptCount val="10"/>
                <c:pt idx="0">
                  <c:v>1.3899174000000001E-9</c:v>
                </c:pt>
                <c:pt idx="1">
                  <c:v>3.1955629500000002E-10</c:v>
                </c:pt>
                <c:pt idx="2">
                  <c:v>4.4244031000000001E-10</c:v>
                </c:pt>
                <c:pt idx="3">
                  <c:v>2.8144753E-10</c:v>
                </c:pt>
                <c:pt idx="4">
                  <c:v>3.5739460499999998E-10</c:v>
                </c:pt>
                <c:pt idx="5">
                  <c:v>4.4036858999999997E-10</c:v>
                </c:pt>
                <c:pt idx="6">
                  <c:v>4.1332642500000001E-10</c:v>
                </c:pt>
                <c:pt idx="7">
                  <c:v>4.2863361E-10</c:v>
                </c:pt>
                <c:pt idx="8">
                  <c:v>4.6116165500000002E-10</c:v>
                </c:pt>
                <c:pt idx="9">
                  <c:v>6.195643E-10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3-486F-A430-86E391059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28872"/>
        <c:axId val="624429528"/>
      </c:scatterChart>
      <c:valAx>
        <c:axId val="62442887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Separation, arcsec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29528"/>
        <c:crosses val="autoZero"/>
        <c:crossBetween val="midCat"/>
      </c:valAx>
      <c:valAx>
        <c:axId val="62442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5-sigma Noise-Eq. Flux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2887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Phase Function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Lewis (Cassini)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'RV Prime'!$AC$25:$AC$43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'RV Prime'!$AD$25:$AD$43</c:f>
              <c:numCache>
                <c:formatCode>0.0000</c:formatCode>
                <c:ptCount val="19"/>
                <c:pt idx="0">
                  <c:v>0.37318772560000002</c:v>
                </c:pt>
                <c:pt idx="1">
                  <c:v>0.35652759627500008</c:v>
                </c:pt>
                <c:pt idx="2">
                  <c:v>0.33925137920000004</c:v>
                </c:pt>
                <c:pt idx="3">
                  <c:v>0.32151695312500006</c:v>
                </c:pt>
                <c:pt idx="4">
                  <c:v>0.30347604080000001</c:v>
                </c:pt>
                <c:pt idx="5">
                  <c:v>0.28527377997499997</c:v>
                </c:pt>
                <c:pt idx="6">
                  <c:v>0.26704829440000005</c:v>
                </c:pt>
                <c:pt idx="7">
                  <c:v>0.248930264825</c:v>
                </c:pt>
                <c:pt idx="8">
                  <c:v>0.23104250000000001</c:v>
                </c:pt>
                <c:pt idx="9">
                  <c:v>0.21349950767500003</c:v>
                </c:pt>
                <c:pt idx="10">
                  <c:v>0.19640706560000004</c:v>
                </c:pt>
                <c:pt idx="11">
                  <c:v>0.17986179252500001</c:v>
                </c:pt>
                <c:pt idx="12">
                  <c:v>0.16395071920000001</c:v>
                </c:pt>
                <c:pt idx="13">
                  <c:v>0.14875085937499999</c:v>
                </c:pt>
                <c:pt idx="14">
                  <c:v>0.13432878079999999</c:v>
                </c:pt>
                <c:pt idx="15">
                  <c:v>0.12074017622499998</c:v>
                </c:pt>
                <c:pt idx="16">
                  <c:v>0.10802943439999996</c:v>
                </c:pt>
                <c:pt idx="17">
                  <c:v>9.6229211075000015E-2</c:v>
                </c:pt>
                <c:pt idx="18">
                  <c:v>8.5359999999999978E-2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4-4ED2-B0F4-86963525978C}"/>
            </c:ext>
          </c:extLst>
        </c:ser>
        <c:ser>
          <c:idx val="1"/>
          <c:order val="1"/>
          <c:tx>
            <c:v>Traub etal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'RV Prime'!$AE$25:$AE$43</c:f>
              <c:numCache>
                <c:formatCode>General</c:formatCode>
                <c:ptCount val="1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</c:numCache>
            </c:numRef>
          </c:xVal>
          <c:yVal>
            <c:numRef>
              <c:f>'RV Prime'!$AF$25:$AF$43</c:f>
              <c:numCache>
                <c:formatCode>0.0000</c:formatCode>
                <c:ptCount val="19"/>
                <c:pt idx="0">
                  <c:v>0.98537014284737978</c:v>
                </c:pt>
                <c:pt idx="1">
                  <c:v>0.96781666822042667</c:v>
                </c:pt>
                <c:pt idx="2">
                  <c:v>0.94415072248203169</c:v>
                </c:pt>
                <c:pt idx="3">
                  <c:v>0.91495527629765538</c:v>
                </c:pt>
                <c:pt idx="4">
                  <c:v>0.88084277957892765</c:v>
                </c:pt>
                <c:pt idx="5">
                  <c:v>0.84244753029429353</c:v>
                </c:pt>
                <c:pt idx="6">
                  <c:v>0.80041799552776727</c:v>
                </c:pt>
                <c:pt idx="7">
                  <c:v>0.75540916492918719</c:v>
                </c:pt>
                <c:pt idx="8">
                  <c:v>0.70807501538564999</c:v>
                </c:pt>
                <c:pt idx="9">
                  <c:v>0.65906116367307499</c:v>
                </c:pt>
                <c:pt idx="10">
                  <c:v>0.60899778104422952</c:v>
                </c:pt>
                <c:pt idx="11">
                  <c:v>0.55849284020678835</c:v>
                </c:pt>
                <c:pt idx="12">
                  <c:v>0.50812576098024143</c:v>
                </c:pt>
                <c:pt idx="13">
                  <c:v>0.45844151613786105</c:v>
                </c:pt>
                <c:pt idx="14">
                  <c:v>0.40994525358919193</c:v>
                </c:pt>
                <c:pt idx="15">
                  <c:v>0.36309748519440987</c:v>
                </c:pt>
                <c:pt idx="16">
                  <c:v>0.31830988618379069</c:v>
                </c:pt>
                <c:pt idx="17">
                  <c:v>0.27594174244675179</c:v>
                </c:pt>
                <c:pt idx="18">
                  <c:v>0.23629707592226157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4-4ED2-B0F4-869635259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113024"/>
        <c:axId val="470119584"/>
      </c:scatterChart>
      <c:valAx>
        <c:axId val="47011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19584"/>
        <c:crosses val="autoZero"/>
        <c:crossBetween val="midCat"/>
      </c:valAx>
      <c:valAx>
        <c:axId val="47011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Albedo at Phase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1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Intensity Distribution (HLC)</a:t>
            </a:r>
          </a:p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layout>
        <c:manualLayout>
          <c:xMode val="edge"/>
          <c:yMode val="edge"/>
          <c:x val="0.19160411198600175"/>
          <c:y val="2.314814814814814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08114610673666"/>
          <c:y val="0.19569444444444453"/>
          <c:w val="0.84654899387576554"/>
          <c:h val="0.60913531641878182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Coronagraph!$B$33:$B$61</c:f>
              <c:numCache>
                <c:formatCode>General</c:formatCode>
                <c:ptCount val="29"/>
                <c:pt idx="0">
                  <c:v>0.100521</c:v>
                </c:pt>
                <c:pt idx="1">
                  <c:v>0.114882</c:v>
                </c:pt>
                <c:pt idx="2">
                  <c:v>0.129242</c:v>
                </c:pt>
                <c:pt idx="3">
                  <c:v>0.14360200000000001</c:v>
                </c:pt>
                <c:pt idx="4">
                  <c:v>0.15796199999999999</c:v>
                </c:pt>
                <c:pt idx="5">
                  <c:v>0.172322</c:v>
                </c:pt>
                <c:pt idx="6">
                  <c:v>0.18668299999999999</c:v>
                </c:pt>
                <c:pt idx="7">
                  <c:v>0.201043</c:v>
                </c:pt>
                <c:pt idx="8">
                  <c:v>0.21540300000000001</c:v>
                </c:pt>
                <c:pt idx="9">
                  <c:v>0.229763</c:v>
                </c:pt>
                <c:pt idx="10">
                  <c:v>0.24412400000000001</c:v>
                </c:pt>
                <c:pt idx="11">
                  <c:v>0.25848399999999999</c:v>
                </c:pt>
                <c:pt idx="12">
                  <c:v>0.27284399999999998</c:v>
                </c:pt>
                <c:pt idx="13">
                  <c:v>0.28720400000000001</c:v>
                </c:pt>
                <c:pt idx="14">
                  <c:v>0.301564</c:v>
                </c:pt>
                <c:pt idx="15">
                  <c:v>0.31592500000000001</c:v>
                </c:pt>
                <c:pt idx="16">
                  <c:v>0.330285</c:v>
                </c:pt>
                <c:pt idx="17">
                  <c:v>0.34464499999999998</c:v>
                </c:pt>
                <c:pt idx="18">
                  <c:v>0.35900500000000002</c:v>
                </c:pt>
                <c:pt idx="19">
                  <c:v>0.373365</c:v>
                </c:pt>
                <c:pt idx="20">
                  <c:v>0.38772600000000002</c:v>
                </c:pt>
                <c:pt idx="21">
                  <c:v>0.402086</c:v>
                </c:pt>
                <c:pt idx="22">
                  <c:v>0.41644599999999998</c:v>
                </c:pt>
                <c:pt idx="23">
                  <c:v>0.43080600000000002</c:v>
                </c:pt>
                <c:pt idx="24">
                  <c:v>0.44516600000000001</c:v>
                </c:pt>
                <c:pt idx="25">
                  <c:v>0.45952700000000002</c:v>
                </c:pt>
                <c:pt idx="26">
                  <c:v>0.473887</c:v>
                </c:pt>
                <c:pt idx="27">
                  <c:v>0.48824699999999999</c:v>
                </c:pt>
                <c:pt idx="28">
                  <c:v>0.50260700000000003</c:v>
                </c:pt>
              </c:numCache>
            </c:numRef>
          </c:cat>
          <c:val>
            <c:numRef>
              <c:f>Coronagraph!$C$33:$C$61</c:f>
              <c:numCache>
                <c:formatCode>General</c:formatCode>
                <c:ptCount val="29"/>
                <c:pt idx="0">
                  <c:v>1.1260213999999999E-11</c:v>
                </c:pt>
                <c:pt idx="1">
                  <c:v>1.1424203000000001E-11</c:v>
                </c:pt>
                <c:pt idx="2">
                  <c:v>1.2754275999999999E-11</c:v>
                </c:pt>
                <c:pt idx="3">
                  <c:v>1.1689422E-11</c:v>
                </c:pt>
                <c:pt idx="4">
                  <c:v>6.6227517E-12</c:v>
                </c:pt>
                <c:pt idx="5">
                  <c:v>4.1843716999999996E-12</c:v>
                </c:pt>
                <c:pt idx="6">
                  <c:v>5.0000954999999999E-12</c:v>
                </c:pt>
                <c:pt idx="7">
                  <c:v>7.3294832999999995E-12</c:v>
                </c:pt>
                <c:pt idx="8">
                  <c:v>7.7663699999999993E-12</c:v>
                </c:pt>
                <c:pt idx="9">
                  <c:v>5.0100876000000003E-12</c:v>
                </c:pt>
                <c:pt idx="10">
                  <c:v>3.4794297000000001E-12</c:v>
                </c:pt>
                <c:pt idx="11">
                  <c:v>4.5271586999999999E-12</c:v>
                </c:pt>
                <c:pt idx="12">
                  <c:v>6.083164E-12</c:v>
                </c:pt>
                <c:pt idx="13">
                  <c:v>6.1726665000000002E-12</c:v>
                </c:pt>
                <c:pt idx="14">
                  <c:v>4.2887069999999997E-12</c:v>
                </c:pt>
                <c:pt idx="15">
                  <c:v>3.3833599999999998E-12</c:v>
                </c:pt>
                <c:pt idx="16">
                  <c:v>3.6098022999999999E-12</c:v>
                </c:pt>
                <c:pt idx="17">
                  <c:v>4.2933990999999997E-12</c:v>
                </c:pt>
                <c:pt idx="18">
                  <c:v>3.8968066999999999E-12</c:v>
                </c:pt>
                <c:pt idx="19">
                  <c:v>2.9685214E-12</c:v>
                </c:pt>
                <c:pt idx="20">
                  <c:v>2.6391690999999998E-12</c:v>
                </c:pt>
                <c:pt idx="21">
                  <c:v>2.8647998E-12</c:v>
                </c:pt>
                <c:pt idx="22">
                  <c:v>3.1732942000000001E-12</c:v>
                </c:pt>
                <c:pt idx="23">
                  <c:v>2.9255133E-12</c:v>
                </c:pt>
                <c:pt idx="24">
                  <c:v>2.8235018000000001E-12</c:v>
                </c:pt>
                <c:pt idx="25">
                  <c:v>2.9995422E-12</c:v>
                </c:pt>
                <c:pt idx="26">
                  <c:v>3.4175638E-12</c:v>
                </c:pt>
                <c:pt idx="27">
                  <c:v>4.8991527000000001E-12</c:v>
                </c:pt>
                <c:pt idx="28">
                  <c:v>3.0347225E-12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C-4A40-A713-296FDCB0C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04000"/>
        <c:axId val="21505536"/>
      </c:lineChart>
      <c:catAx>
        <c:axId val="2150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05536"/>
        <c:crosses val="autoZero"/>
        <c:auto val="1"/>
        <c:lblAlgn val="ctr"/>
        <c:lblOffset val="100"/>
        <c:noMultiLvlLbl val="0"/>
      </c:catAx>
      <c:valAx>
        <c:axId val="215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0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Intensity Distribution (SPC)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Coronagraph!$M$5:$M$37</c:f>
              <c:numCache>
                <c:formatCode>General</c:formatCode>
                <c:ptCount val="33"/>
                <c:pt idx="0">
                  <c:v>0.18102599999999999</c:v>
                </c:pt>
                <c:pt idx="1">
                  <c:v>0.19495100000000001</c:v>
                </c:pt>
                <c:pt idx="2">
                  <c:v>0.20887600000000001</c:v>
                </c:pt>
                <c:pt idx="3">
                  <c:v>0.222801</c:v>
                </c:pt>
                <c:pt idx="4">
                  <c:v>0.23672599999999999</c:v>
                </c:pt>
                <c:pt idx="5">
                  <c:v>0.25065100000000001</c:v>
                </c:pt>
                <c:pt idx="6">
                  <c:v>0.26457599999999998</c:v>
                </c:pt>
                <c:pt idx="7">
                  <c:v>0.278501</c:v>
                </c:pt>
                <c:pt idx="8">
                  <c:v>0.29242600000000002</c:v>
                </c:pt>
                <c:pt idx="9">
                  <c:v>0.30635099999999998</c:v>
                </c:pt>
                <c:pt idx="10">
                  <c:v>0.32027600000000001</c:v>
                </c:pt>
                <c:pt idx="11">
                  <c:v>0.33420100000000003</c:v>
                </c:pt>
                <c:pt idx="12">
                  <c:v>0.34812599999999999</c:v>
                </c:pt>
                <c:pt idx="13">
                  <c:v>0.36205100000000001</c:v>
                </c:pt>
                <c:pt idx="14">
                  <c:v>0.37597599999999998</c:v>
                </c:pt>
                <c:pt idx="15">
                  <c:v>0.389901</c:v>
                </c:pt>
                <c:pt idx="16">
                  <c:v>0.40382600000000002</c:v>
                </c:pt>
                <c:pt idx="17">
                  <c:v>0.41775099999999998</c:v>
                </c:pt>
                <c:pt idx="18">
                  <c:v>0.43167699999999998</c:v>
                </c:pt>
                <c:pt idx="19">
                  <c:v>0.445602</c:v>
                </c:pt>
                <c:pt idx="20">
                  <c:v>0.45952700000000002</c:v>
                </c:pt>
                <c:pt idx="21">
                  <c:v>0.47345199999999998</c:v>
                </c:pt>
                <c:pt idx="22">
                  <c:v>0.487377</c:v>
                </c:pt>
                <c:pt idx="23">
                  <c:v>0.50130200000000003</c:v>
                </c:pt>
                <c:pt idx="24">
                  <c:v>0.51522699999999999</c:v>
                </c:pt>
                <c:pt idx="25">
                  <c:v>0.52915199999999996</c:v>
                </c:pt>
                <c:pt idx="26">
                  <c:v>0.54307700000000003</c:v>
                </c:pt>
                <c:pt idx="27">
                  <c:v>0.557002</c:v>
                </c:pt>
                <c:pt idx="28">
                  <c:v>0.57092699999999996</c:v>
                </c:pt>
                <c:pt idx="29">
                  <c:v>0.58485200000000004</c:v>
                </c:pt>
                <c:pt idx="30">
                  <c:v>0.598777</c:v>
                </c:pt>
                <c:pt idx="31">
                  <c:v>0.61270199999999997</c:v>
                </c:pt>
                <c:pt idx="32">
                  <c:v>0.62662700000000005</c:v>
                </c:pt>
              </c:numCache>
            </c:numRef>
          </c:cat>
          <c:val>
            <c:numRef>
              <c:f>Coronagraph!$N$5:$N$37</c:f>
              <c:numCache>
                <c:formatCode>General</c:formatCode>
                <c:ptCount val="33"/>
                <c:pt idx="0">
                  <c:v>9.2359934999999993E-12</c:v>
                </c:pt>
                <c:pt idx="1">
                  <c:v>7.9808018000000003E-12</c:v>
                </c:pt>
                <c:pt idx="2">
                  <c:v>6.4727158000000003E-12</c:v>
                </c:pt>
                <c:pt idx="3">
                  <c:v>4.7216962000000002E-12</c:v>
                </c:pt>
                <c:pt idx="4">
                  <c:v>5.0607030000000002E-12</c:v>
                </c:pt>
                <c:pt idx="5">
                  <c:v>3.5196561000000001E-12</c:v>
                </c:pt>
                <c:pt idx="6">
                  <c:v>3.3005912000000001E-12</c:v>
                </c:pt>
                <c:pt idx="7">
                  <c:v>2.9093909000000001E-12</c:v>
                </c:pt>
                <c:pt idx="8">
                  <c:v>2.41178E-12</c:v>
                </c:pt>
                <c:pt idx="9">
                  <c:v>1.9626469999999998E-12</c:v>
                </c:pt>
                <c:pt idx="10">
                  <c:v>2.0999273E-12</c:v>
                </c:pt>
                <c:pt idx="11">
                  <c:v>2.6897384000000001E-12</c:v>
                </c:pt>
                <c:pt idx="12">
                  <c:v>3.3944247999999999E-12</c:v>
                </c:pt>
                <c:pt idx="13">
                  <c:v>4.3269864999999999E-12</c:v>
                </c:pt>
                <c:pt idx="14">
                  <c:v>4.0161170000000003E-12</c:v>
                </c:pt>
                <c:pt idx="15">
                  <c:v>4.1078711999999998E-12</c:v>
                </c:pt>
                <c:pt idx="16">
                  <c:v>4.1775061000000002E-12</c:v>
                </c:pt>
                <c:pt idx="17">
                  <c:v>4.5605815000000004E-12</c:v>
                </c:pt>
                <c:pt idx="18">
                  <c:v>5.1237215000000004E-12</c:v>
                </c:pt>
                <c:pt idx="19">
                  <c:v>4.5031251E-12</c:v>
                </c:pt>
                <c:pt idx="20">
                  <c:v>4.4082158E-12</c:v>
                </c:pt>
                <c:pt idx="21">
                  <c:v>4.2487639999999996E-12</c:v>
                </c:pt>
                <c:pt idx="22">
                  <c:v>4.6538338999999996E-12</c:v>
                </c:pt>
                <c:pt idx="23">
                  <c:v>5.2174673E-12</c:v>
                </c:pt>
                <c:pt idx="24">
                  <c:v>5.4110696000000001E-12</c:v>
                </c:pt>
                <c:pt idx="25">
                  <c:v>4.9947449000000002E-12</c:v>
                </c:pt>
                <c:pt idx="26">
                  <c:v>4.6694647999999997E-12</c:v>
                </c:pt>
                <c:pt idx="27">
                  <c:v>4.2744007E-12</c:v>
                </c:pt>
                <c:pt idx="28">
                  <c:v>4.5633865E-12</c:v>
                </c:pt>
                <c:pt idx="29">
                  <c:v>6.1716808999999999E-12</c:v>
                </c:pt>
                <c:pt idx="30">
                  <c:v>9.2761410999999995E-12</c:v>
                </c:pt>
                <c:pt idx="31">
                  <c:v>1.2595295E-11</c:v>
                </c:pt>
                <c:pt idx="32">
                  <c:v>1.5781341999999999E-11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C2-4169-8647-437F36B7E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17824"/>
        <c:axId val="21519360"/>
      </c:lineChart>
      <c:catAx>
        <c:axId val="215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19360"/>
        <c:crosses val="autoZero"/>
        <c:auto val="1"/>
        <c:lblAlgn val="ctr"/>
        <c:lblOffset val="100"/>
        <c:noMultiLvlLbl val="0"/>
      </c:catAx>
      <c:valAx>
        <c:axId val="215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HLC 20160124,  0.4 mas Jitter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Coronagraph!$E$5</c:f>
              <c:strCache>
                <c:ptCount val="1"/>
                <c:pt idx="0">
                  <c:v>core_thput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Coronagraph!$A$6:$A$28</c:f>
              <c:numCache>
                <c:formatCode>General</c:formatCode>
                <c:ptCount val="23"/>
                <c:pt idx="0">
                  <c:v>2.7</c:v>
                </c:pt>
                <c:pt idx="1">
                  <c:v>3</c:v>
                </c:pt>
                <c:pt idx="2">
                  <c:v>3.3</c:v>
                </c:pt>
                <c:pt idx="3">
                  <c:v>3.6</c:v>
                </c:pt>
                <c:pt idx="4">
                  <c:v>3.9</c:v>
                </c:pt>
                <c:pt idx="5">
                  <c:v>4.2</c:v>
                </c:pt>
                <c:pt idx="6">
                  <c:v>4.5</c:v>
                </c:pt>
                <c:pt idx="7">
                  <c:v>4.8</c:v>
                </c:pt>
                <c:pt idx="8">
                  <c:v>5.0999999999999996</c:v>
                </c:pt>
                <c:pt idx="9">
                  <c:v>5.4</c:v>
                </c:pt>
                <c:pt idx="10">
                  <c:v>5.7</c:v>
                </c:pt>
                <c:pt idx="11">
                  <c:v>6</c:v>
                </c:pt>
                <c:pt idx="12">
                  <c:v>6.3</c:v>
                </c:pt>
                <c:pt idx="13">
                  <c:v>6.6</c:v>
                </c:pt>
                <c:pt idx="14">
                  <c:v>6.9</c:v>
                </c:pt>
                <c:pt idx="15">
                  <c:v>7.2</c:v>
                </c:pt>
                <c:pt idx="16">
                  <c:v>7.5</c:v>
                </c:pt>
                <c:pt idx="17">
                  <c:v>7.8</c:v>
                </c:pt>
                <c:pt idx="18">
                  <c:v>8.1</c:v>
                </c:pt>
                <c:pt idx="19">
                  <c:v>8.4</c:v>
                </c:pt>
                <c:pt idx="20">
                  <c:v>8.6999999999999993</c:v>
                </c:pt>
                <c:pt idx="21">
                  <c:v>9</c:v>
                </c:pt>
                <c:pt idx="22">
                  <c:v>9.3000000000000007</c:v>
                </c:pt>
              </c:numCache>
            </c:numRef>
          </c:xVal>
          <c:yVal>
            <c:numRef>
              <c:f>Coronagraph!$E$6:$E$28</c:f>
              <c:numCache>
                <c:formatCode>General</c:formatCode>
                <c:ptCount val="23"/>
                <c:pt idx="0">
                  <c:v>5.7534806000000003E-3</c:v>
                </c:pt>
                <c:pt idx="1">
                  <c:v>1.0177500000000001E-2</c:v>
                </c:pt>
                <c:pt idx="2">
                  <c:v>1.5567096000000001E-2</c:v>
                </c:pt>
                <c:pt idx="3">
                  <c:v>1.8421678E-2</c:v>
                </c:pt>
                <c:pt idx="4">
                  <c:v>1.9613994999999999E-2</c:v>
                </c:pt>
                <c:pt idx="5">
                  <c:v>2.0714155000000001E-2</c:v>
                </c:pt>
                <c:pt idx="6">
                  <c:v>2.1722156999999999E-2</c:v>
                </c:pt>
                <c:pt idx="7">
                  <c:v>2.2431438000000001E-2</c:v>
                </c:pt>
                <c:pt idx="8">
                  <c:v>2.2807502E-2</c:v>
                </c:pt>
                <c:pt idx="9">
                  <c:v>2.2850349999999998E-2</c:v>
                </c:pt>
                <c:pt idx="10">
                  <c:v>2.2880924E-2</c:v>
                </c:pt>
                <c:pt idx="11">
                  <c:v>2.2792243E-2</c:v>
                </c:pt>
                <c:pt idx="12">
                  <c:v>2.2734497999999999E-2</c:v>
                </c:pt>
                <c:pt idx="13">
                  <c:v>2.2657623000000002E-2</c:v>
                </c:pt>
                <c:pt idx="14">
                  <c:v>2.2561621E-2</c:v>
                </c:pt>
                <c:pt idx="15">
                  <c:v>2.2446489999999999E-2</c:v>
                </c:pt>
                <c:pt idx="16">
                  <c:v>2.2441623000000001E-2</c:v>
                </c:pt>
                <c:pt idx="17">
                  <c:v>2.2469386000000001E-2</c:v>
                </c:pt>
                <c:pt idx="18">
                  <c:v>2.2529777000000001E-2</c:v>
                </c:pt>
                <c:pt idx="19">
                  <c:v>2.1943265E-2</c:v>
                </c:pt>
                <c:pt idx="20">
                  <c:v>1.5616425999999999E-2</c:v>
                </c:pt>
                <c:pt idx="21">
                  <c:v>8.7064133000000002E-3</c:v>
                </c:pt>
                <c:pt idx="22">
                  <c:v>3.7575632999999999E-3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D3-4435-BC72-146EF9E80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145040"/>
        <c:axId val="719140120"/>
      </c:scatterChart>
      <c:valAx>
        <c:axId val="719145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Working angle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40120"/>
        <c:crosses val="autoZero"/>
        <c:crossBetween val="midCat"/>
      </c:valAx>
      <c:valAx>
        <c:axId val="719140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Core throughput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45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Stellar Sample Spectra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5267219771764338E-2"/>
          <c:y val="0.13014035087719314"/>
          <c:w val="0.72368169625918344"/>
          <c:h val="0.7292512778008016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Spectra!$B$3:$B$803</c:f>
              <c:numCache>
                <c:formatCode>0.00E+00</c:formatCode>
                <c:ptCount val="801"/>
                <c:pt idx="0">
                  <c:v>7.9457711097600002E-19</c:v>
                </c:pt>
                <c:pt idx="1">
                  <c:v>7.9141146511553785E-19</c:v>
                </c:pt>
                <c:pt idx="2">
                  <c:v>7.8827094342857128E-19</c:v>
                </c:pt>
                <c:pt idx="3">
                  <c:v>7.85155248E-19</c:v>
                </c:pt>
                <c:pt idx="4">
                  <c:v>7.8206408560629913E-19</c:v>
                </c:pt>
                <c:pt idx="5">
                  <c:v>7.7899716762352945E-19</c:v>
                </c:pt>
                <c:pt idx="6">
                  <c:v>7.7595420993749993E-19</c:v>
                </c:pt>
                <c:pt idx="7">
                  <c:v>7.7293493285603116E-19</c:v>
                </c:pt>
                <c:pt idx="8">
                  <c:v>7.6993906102325579E-19</c:v>
                </c:pt>
                <c:pt idx="9">
                  <c:v>7.6696632333590724E-19</c:v>
                </c:pt>
                <c:pt idx="10">
                  <c:v>7.6401645286153849E-19</c:v>
                </c:pt>
                <c:pt idx="11">
                  <c:v>7.6108918675862061E-19</c:v>
                </c:pt>
                <c:pt idx="12">
                  <c:v>7.5818426619847332E-19</c:v>
                </c:pt>
                <c:pt idx="13">
                  <c:v>7.5530143628897333E-19</c:v>
                </c:pt>
                <c:pt idx="14">
                  <c:v>7.5244044599999988E-19</c:v>
                </c:pt>
                <c:pt idx="15">
                  <c:v>7.4960104809056598E-19</c:v>
                </c:pt>
                <c:pt idx="16">
                  <c:v>7.467829990375939E-19</c:v>
                </c:pt>
                <c:pt idx="17">
                  <c:v>7.439860589662921E-19</c:v>
                </c:pt>
                <c:pt idx="18">
                  <c:v>7.4120999158208953E-19</c:v>
                </c:pt>
                <c:pt idx="19">
                  <c:v>7.3845456410408923E-19</c:v>
                </c:pt>
                <c:pt idx="20">
                  <c:v>7.3571954719999993E-19</c:v>
                </c:pt>
                <c:pt idx="21">
                  <c:v>7.3300471492250912E-19</c:v>
                </c:pt>
                <c:pt idx="22">
                  <c:v>7.3030984464705882E-19</c:v>
                </c:pt>
                <c:pt idx="23">
                  <c:v>7.2763471701098891E-19</c:v>
                </c:pt>
                <c:pt idx="24">
                  <c:v>7.2497911585401463E-19</c:v>
                </c:pt>
                <c:pt idx="25">
                  <c:v>7.2234282815999994E-19</c:v>
                </c:pt>
                <c:pt idx="26">
                  <c:v>7.1972564399999986E-19</c:v>
                </c:pt>
                <c:pt idx="27">
                  <c:v>7.171273564765343E-19</c:v>
                </c:pt>
                <c:pt idx="28">
                  <c:v>7.1454776166906463E-19</c:v>
                </c:pt>
                <c:pt idx="29">
                  <c:v>7.1198665858064511E-19</c:v>
                </c:pt>
                <c:pt idx="30">
                  <c:v>7.0944384908571426E-19</c:v>
                </c:pt>
                <c:pt idx="31">
                  <c:v>7.0691913787900359E-19</c:v>
                </c:pt>
                <c:pt idx="32">
                  <c:v>7.044123324255319E-19</c:v>
                </c:pt>
                <c:pt idx="33">
                  <c:v>7.0192324291166069E-19</c:v>
                </c:pt>
                <c:pt idx="34">
                  <c:v>6.9945168219718311E-19</c:v>
                </c:pt>
                <c:pt idx="35">
                  <c:v>6.9699746576842102E-19</c:v>
                </c:pt>
                <c:pt idx="36">
                  <c:v>6.9456041169230773E-19</c:v>
                </c:pt>
                <c:pt idx="37">
                  <c:v>6.9214034057142852E-19</c:v>
                </c:pt>
                <c:pt idx="38">
                  <c:v>6.8973707550000005E-19</c:v>
                </c:pt>
                <c:pt idx="39">
                  <c:v>6.8735044202076119E-19</c:v>
                </c:pt>
                <c:pt idx="40">
                  <c:v>6.849802680827585E-19</c:v>
                </c:pt>
                <c:pt idx="41">
                  <c:v>6.8262638400000001E-19</c:v>
                </c:pt>
                <c:pt idx="42">
                  <c:v>6.8028862241095882E-19</c:v>
                </c:pt>
                <c:pt idx="43">
                  <c:v>6.7796681823890791E-19</c:v>
                </c:pt>
                <c:pt idx="44">
                  <c:v>6.7566080865306121E-19</c:v>
                </c:pt>
                <c:pt idx="45">
                  <c:v>6.7337043303050834E-19</c:v>
                </c:pt>
                <c:pt idx="46">
                  <c:v>6.7109553291891888E-19</c:v>
                </c:pt>
                <c:pt idx="47">
                  <c:v>6.6883595199999995E-19</c:v>
                </c:pt>
                <c:pt idx="48">
                  <c:v>6.6659153605369128E-19</c:v>
                </c:pt>
                <c:pt idx="49">
                  <c:v>6.6436213292307685E-19</c:v>
                </c:pt>
                <c:pt idx="50">
                  <c:v>6.6214759248000005E-19</c:v>
                </c:pt>
                <c:pt idx="51">
                  <c:v>6.5994776659136208E-19</c:v>
                </c:pt>
                <c:pt idx="52">
                  <c:v>6.5776250908609267E-19</c:v>
                </c:pt>
                <c:pt idx="53">
                  <c:v>6.5559167572277229E-19</c:v>
                </c:pt>
                <c:pt idx="54">
                  <c:v>6.5343512415789466E-19</c:v>
                </c:pt>
                <c:pt idx="55">
                  <c:v>6.5129271391475411E-19</c:v>
                </c:pt>
                <c:pt idx="56">
                  <c:v>6.491643063529411E-19</c:v>
                </c:pt>
                <c:pt idx="57">
                  <c:v>6.4704976463843642E-19</c:v>
                </c:pt>
                <c:pt idx="58">
                  <c:v>6.4494895371428568E-19</c:v>
                </c:pt>
                <c:pt idx="59">
                  <c:v>6.428617402718446E-19</c:v>
                </c:pt>
                <c:pt idx="60">
                  <c:v>6.4078799272258065E-19</c:v>
                </c:pt>
                <c:pt idx="61">
                  <c:v>6.38727581170418E-19</c:v>
                </c:pt>
                <c:pt idx="62">
                  <c:v>6.3668037738461539E-19</c:v>
                </c:pt>
                <c:pt idx="63">
                  <c:v>6.3464625477316288E-19</c:v>
                </c:pt>
                <c:pt idx="64">
                  <c:v>6.3262508835668783E-19</c:v>
                </c:pt>
                <c:pt idx="65">
                  <c:v>6.3061675474285714E-19</c:v>
                </c:pt>
                <c:pt idx="66">
                  <c:v>6.2862113210126574E-19</c:v>
                </c:pt>
                <c:pt idx="67">
                  <c:v>6.2663810013880126E-19</c:v>
                </c:pt>
                <c:pt idx="68">
                  <c:v>6.2466754007547165E-19</c:v>
                </c:pt>
                <c:pt idx="69">
                  <c:v>6.2270933462068953E-19</c:v>
                </c:pt>
                <c:pt idx="70">
                  <c:v>6.2076336794999994E-19</c:v>
                </c:pt>
                <c:pt idx="71">
                  <c:v>6.1882952568224295E-19</c:v>
                </c:pt>
                <c:pt idx="72">
                  <c:v>6.1690769485714288E-19</c:v>
                </c:pt>
                <c:pt idx="73">
                  <c:v>6.1499776391331268E-19</c:v>
                </c:pt>
                <c:pt idx="74">
                  <c:v>6.1309962266666666E-19</c:v>
                </c:pt>
                <c:pt idx="75">
                  <c:v>6.1121316228923073E-19</c:v>
                </c:pt>
                <c:pt idx="76">
                  <c:v>6.0933827528834351E-19</c:v>
                </c:pt>
                <c:pt idx="77">
                  <c:v>6.0747485548623849E-19</c:v>
                </c:pt>
                <c:pt idx="78">
                  <c:v>6.0562279799999991E-19</c:v>
                </c:pt>
                <c:pt idx="79">
                  <c:v>6.0378199922188448E-19</c:v>
                </c:pt>
                <c:pt idx="80">
                  <c:v>6.0195235679999996E-19</c:v>
                </c:pt>
                <c:pt idx="81">
                  <c:v>6.0013376961933537E-19</c:v>
                </c:pt>
                <c:pt idx="82">
                  <c:v>5.9832613778313254E-19</c:v>
                </c:pt>
                <c:pt idx="83">
                  <c:v>5.9652936259459457E-19</c:v>
                </c:pt>
                <c:pt idx="84">
                  <c:v>5.9474334653892218E-19</c:v>
                </c:pt>
                <c:pt idx="85">
                  <c:v>5.9296799326567161E-19</c:v>
                </c:pt>
                <c:pt idx="86">
                  <c:v>5.9120320757142853E-19</c:v>
                </c:pt>
                <c:pt idx="87">
                  <c:v>5.8944889538278927E-19</c:v>
                </c:pt>
                <c:pt idx="88">
                  <c:v>5.877049637396449E-19</c:v>
                </c:pt>
                <c:pt idx="89">
                  <c:v>5.85971320778761E-19</c:v>
                </c:pt>
                <c:pt idx="90">
                  <c:v>5.8424787571764702E-19</c:v>
                </c:pt>
                <c:pt idx="91">
                  <c:v>5.8253453883870972E-19</c:v>
                </c:pt>
                <c:pt idx="92">
                  <c:v>5.8083122147368416E-19</c:v>
                </c:pt>
                <c:pt idx="93">
                  <c:v>5.7913783598833817E-19</c:v>
                </c:pt>
                <c:pt idx="94">
                  <c:v>5.7745429576744184E-19</c:v>
                </c:pt>
                <c:pt idx="95">
                  <c:v>5.7578051519999989E-19</c:v>
                </c:pt>
                <c:pt idx="96">
                  <c:v>5.7411640966473987E-19</c:v>
                </c:pt>
                <c:pt idx="97">
                  <c:v>5.7246189551585006E-19</c:v>
                </c:pt>
                <c:pt idx="98">
                  <c:v>5.7081689006896548E-19</c:v>
                </c:pt>
                <c:pt idx="99">
                  <c:v>5.6918131158739251E-19</c:v>
                </c:pt>
                <c:pt idx="100">
                  <c:v>5.6755507926857133E-19</c:v>
                </c:pt>
                <c:pt idx="101">
                  <c:v>5.659381132307692E-19</c:v>
                </c:pt>
                <c:pt idx="102">
                  <c:v>5.6433033449999991E-19</c:v>
                </c:pt>
                <c:pt idx="103">
                  <c:v>5.6273166499716715E-19</c:v>
                </c:pt>
                <c:pt idx="104">
                  <c:v>5.6114202752542365E-19</c:v>
                </c:pt>
                <c:pt idx="105">
                  <c:v>5.5956134575774647E-19</c:v>
                </c:pt>
                <c:pt idx="106">
                  <c:v>5.5798954422471905E-19</c:v>
                </c:pt>
                <c:pt idx="107">
                  <c:v>5.5642654830252094E-19</c:v>
                </c:pt>
                <c:pt idx="108">
                  <c:v>5.5487228420111731E-19</c:v>
                </c:pt>
                <c:pt idx="109">
                  <c:v>5.533266789526462E-19</c:v>
                </c:pt>
                <c:pt idx="110">
                  <c:v>5.5178966040000002E-19</c:v>
                </c:pt>
                <c:pt idx="111">
                  <c:v>5.502611571855955E-19</c:v>
                </c:pt>
                <c:pt idx="112">
                  <c:v>5.4874109874033142E-19</c:v>
                </c:pt>
                <c:pt idx="113">
                  <c:v>5.4722941527272728E-19</c:v>
                </c:pt>
                <c:pt idx="114">
                  <c:v>5.4572603775824168E-19</c:v>
                </c:pt>
                <c:pt idx="115">
                  <c:v>5.4423089792876713E-19</c:v>
                </c:pt>
                <c:pt idx="116">
                  <c:v>5.4274392826229506E-19</c:v>
                </c:pt>
                <c:pt idx="117">
                  <c:v>5.412650619727521E-19</c:v>
                </c:pt>
                <c:pt idx="118">
                  <c:v>5.3979423299999995E-19</c:v>
                </c:pt>
                <c:pt idx="119">
                  <c:v>5.3833137599999998E-19</c:v>
                </c:pt>
                <c:pt idx="120">
                  <c:v>5.3687642633513514E-19</c:v>
                </c:pt>
                <c:pt idx="121">
                  <c:v>5.3542932006468997E-19</c:v>
                </c:pt>
                <c:pt idx="122">
                  <c:v>5.3398999393548386E-19</c:v>
                </c:pt>
                <c:pt idx="123">
                  <c:v>5.325583853726541E-19</c:v>
                </c:pt>
                <c:pt idx="124">
                  <c:v>5.3113443247058827E-19</c:v>
                </c:pt>
                <c:pt idx="125">
                  <c:v>5.2971807398399998E-19</c:v>
                </c:pt>
                <c:pt idx="126">
                  <c:v>5.2830924931914893E-19</c:v>
                </c:pt>
                <c:pt idx="127">
                  <c:v>5.269078985251989E-19</c:v>
                </c:pt>
                <c:pt idx="128">
                  <c:v>5.2551396228571425E-19</c:v>
                </c:pt>
                <c:pt idx="129">
                  <c:v>5.2412738191029027E-19</c:v>
                </c:pt>
                <c:pt idx="130">
                  <c:v>5.2274809932631579E-19</c:v>
                </c:pt>
                <c:pt idx="131">
                  <c:v>5.2137605707086609E-19</c:v>
                </c:pt>
                <c:pt idx="132">
                  <c:v>5.2001119828272252E-19</c:v>
                </c:pt>
                <c:pt idx="133">
                  <c:v>5.1865346669451691E-19</c:v>
                </c:pt>
                <c:pt idx="134">
                  <c:v>5.1730280662500002E-19</c:v>
                </c:pt>
                <c:pt idx="135">
                  <c:v>5.1595916297142853E-19</c:v>
                </c:pt>
                <c:pt idx="136">
                  <c:v>5.1462248120207251E-19</c:v>
                </c:pt>
                <c:pt idx="137">
                  <c:v>5.132927073488372E-19</c:v>
                </c:pt>
                <c:pt idx="138">
                  <c:v>5.1196978799999996E-19</c:v>
                </c:pt>
                <c:pt idx="139">
                  <c:v>5.1065367029305912E-19</c:v>
                </c:pt>
                <c:pt idx="140">
                  <c:v>5.0934430190769229E-19</c:v>
                </c:pt>
                <c:pt idx="141">
                  <c:v>5.0804163105882356E-19</c:v>
                </c:pt>
                <c:pt idx="142">
                  <c:v>5.0674560648979586E-19</c:v>
                </c:pt>
                <c:pt idx="143">
                  <c:v>5.0545617746564878E-19</c:v>
                </c:pt>
                <c:pt idx="144">
                  <c:v>5.0417329376649745E-19</c:v>
                </c:pt>
                <c:pt idx="145">
                  <c:v>5.0289690568101265E-19</c:v>
                </c:pt>
                <c:pt idx="146">
                  <c:v>5.0162696399999999E-19</c:v>
                </c:pt>
                <c:pt idx="147">
                  <c:v>5.0036342001007549E-19</c:v>
                </c:pt>
                <c:pt idx="148">
                  <c:v>4.991062254874372E-19</c:v>
                </c:pt>
                <c:pt idx="149">
                  <c:v>4.978553326917293E-19</c:v>
                </c:pt>
                <c:pt idx="150">
                  <c:v>4.9661069435999992E-19</c:v>
                </c:pt>
                <c:pt idx="151">
                  <c:v>4.9537226370074808E-19</c:v>
                </c:pt>
                <c:pt idx="152">
                  <c:v>4.9413999438805965E-19</c:v>
                </c:pt>
                <c:pt idx="153">
                  <c:v>4.9291384055583125E-19</c:v>
                </c:pt>
                <c:pt idx="154">
                  <c:v>4.9169375679207922E-19</c:v>
                </c:pt>
                <c:pt idx="155">
                  <c:v>4.9047969813333329E-19</c:v>
                </c:pt>
                <c:pt idx="156">
                  <c:v>4.8927162005911325E-19</c:v>
                </c:pt>
                <c:pt idx="157">
                  <c:v>4.8806947848648641E-19</c:v>
                </c:pt>
                <c:pt idx="158">
                  <c:v>4.8687322976470585E-19</c:v>
                </c:pt>
                <c:pt idx="159">
                  <c:v>4.856828306699266E-19</c:v>
                </c:pt>
                <c:pt idx="160">
                  <c:v>4.844982384E-19</c:v>
                </c:pt>
                <c:pt idx="161">
                  <c:v>4.8331941056934305E-19</c:v>
                </c:pt>
                <c:pt idx="162">
                  <c:v>4.821463052038834E-19</c:v>
                </c:pt>
                <c:pt idx="163">
                  <c:v>4.8097888073607746E-19</c:v>
                </c:pt>
                <c:pt idx="164">
                  <c:v>4.7981709599999994E-19</c:v>
                </c:pt>
                <c:pt idx="165">
                  <c:v>4.7866091022650605E-19</c:v>
                </c:pt>
                <c:pt idx="166">
                  <c:v>4.7751028303846149E-19</c:v>
                </c:pt>
                <c:pt idx="167">
                  <c:v>4.7636517444604315E-19</c:v>
                </c:pt>
                <c:pt idx="168">
                  <c:v>4.7522554484210526E-19</c:v>
                </c:pt>
                <c:pt idx="169">
                  <c:v>4.7409135499761334E-19</c:v>
                </c:pt>
                <c:pt idx="170">
                  <c:v>4.7296256605714281E-19</c:v>
                </c:pt>
                <c:pt idx="171">
                  <c:v>4.7183913953444173E-19</c:v>
                </c:pt>
                <c:pt idx="172">
                  <c:v>4.7072103730805685E-19</c:v>
                </c:pt>
                <c:pt idx="173">
                  <c:v>4.6960822161702124E-19</c:v>
                </c:pt>
                <c:pt idx="174">
                  <c:v>4.6850065505660374E-19</c:v>
                </c:pt>
                <c:pt idx="175">
                  <c:v>4.6739830057411761E-19</c:v>
                </c:pt>
                <c:pt idx="176">
                  <c:v>4.6630112146478871E-19</c:v>
                </c:pt>
                <c:pt idx="177">
                  <c:v>4.6520908136768147E-19</c:v>
                </c:pt>
                <c:pt idx="178">
                  <c:v>4.6412214426168219E-19</c:v>
                </c:pt>
                <c:pt idx="179">
                  <c:v>4.6304027446153846E-19</c:v>
                </c:pt>
                <c:pt idx="180">
                  <c:v>4.6196343661395346E-19</c:v>
                </c:pt>
                <c:pt idx="181">
                  <c:v>4.6089159569373546E-19</c:v>
                </c:pt>
                <c:pt idx="182">
                  <c:v>4.5982471699999997E-19</c:v>
                </c:pt>
                <c:pt idx="183">
                  <c:v>4.5876276615242489E-19</c:v>
                </c:pt>
                <c:pt idx="184">
                  <c:v>4.5770570908755759E-19</c:v>
                </c:pt>
                <c:pt idx="185">
                  <c:v>4.5665351205517236E-19</c:v>
                </c:pt>
                <c:pt idx="186">
                  <c:v>4.5560614161467889E-19</c:v>
                </c:pt>
                <c:pt idx="187">
                  <c:v>4.5456356463157896E-19</c:v>
                </c:pt>
                <c:pt idx="188">
                  <c:v>4.5352574827397261E-19</c:v>
                </c:pt>
                <c:pt idx="189">
                  <c:v>4.524926600091116E-19</c:v>
                </c:pt>
                <c:pt idx="190">
                  <c:v>4.5146426759999995E-19</c:v>
                </c:pt>
                <c:pt idx="191">
                  <c:v>4.5044053910204077E-19</c:v>
                </c:pt>
                <c:pt idx="192">
                  <c:v>4.4942144285972853E-19</c:v>
                </c:pt>
                <c:pt idx="193">
                  <c:v>4.48406947503386E-19</c:v>
                </c:pt>
                <c:pt idx="194">
                  <c:v>4.4739702194594595E-19</c:v>
                </c:pt>
                <c:pt idx="195">
                  <c:v>4.463916353797752E-19</c:v>
                </c:pt>
                <c:pt idx="196">
                  <c:v>4.4539075727354257E-19</c:v>
                </c:pt>
                <c:pt idx="197">
                  <c:v>4.4439435736912745E-19</c:v>
                </c:pt>
                <c:pt idx="198">
                  <c:v>4.434024056785714E-19</c:v>
                </c:pt>
                <c:pt idx="199">
                  <c:v>4.4241487248106901E-19</c:v>
                </c:pt>
                <c:pt idx="200">
                  <c:v>4.4143172832E-19</c:v>
                </c:pt>
                <c:pt idx="201">
                  <c:v>4.4045294400000003E-19</c:v>
                </c:pt>
                <c:pt idx="202">
                  <c:v>4.3947849058407077E-19</c:v>
                </c:pt>
                <c:pt idx="203">
                  <c:v>4.3850833939072848E-19</c:v>
                </c:pt>
                <c:pt idx="204">
                  <c:v>4.3754246199118941E-19</c:v>
                </c:pt>
                <c:pt idx="205">
                  <c:v>4.3658083020659332E-19</c:v>
                </c:pt>
                <c:pt idx="206">
                  <c:v>4.3562341610526317E-19</c:v>
                </c:pt>
                <c:pt idx="207">
                  <c:v>4.3467019199999993E-19</c:v>
                </c:pt>
                <c:pt idx="208">
                  <c:v>4.3372113044541481E-19</c:v>
                </c:pt>
                <c:pt idx="209">
                  <c:v>4.327762042352941E-19</c:v>
                </c:pt>
                <c:pt idx="210">
                  <c:v>4.3183538639999997E-19</c:v>
                </c:pt>
                <c:pt idx="211">
                  <c:v>4.3089865020390452E-19</c:v>
                </c:pt>
                <c:pt idx="212">
                  <c:v>4.2996596914285709E-19</c:v>
                </c:pt>
                <c:pt idx="213">
                  <c:v>4.2903731694168467E-19</c:v>
                </c:pt>
                <c:pt idx="214">
                  <c:v>4.2811266755172408E-19</c:v>
                </c:pt>
                <c:pt idx="215">
                  <c:v>4.2719199514838712E-19</c:v>
                </c:pt>
                <c:pt idx="216">
                  <c:v>4.2627527412875532E-19</c:v>
                </c:pt>
                <c:pt idx="217">
                  <c:v>4.2536247910920767E-19</c:v>
                </c:pt>
                <c:pt idx="218">
                  <c:v>4.2445358492307693E-19</c:v>
                </c:pt>
                <c:pt idx="219">
                  <c:v>4.2354856661833683E-19</c:v>
                </c:pt>
                <c:pt idx="220">
                  <c:v>4.2264739945531914E-19</c:v>
                </c:pt>
                <c:pt idx="221">
                  <c:v>4.2175005890445857E-19</c:v>
                </c:pt>
                <c:pt idx="222">
                  <c:v>4.2085652064406779E-19</c:v>
                </c:pt>
                <c:pt idx="223">
                  <c:v>4.1996676055813952E-19</c:v>
                </c:pt>
                <c:pt idx="224">
                  <c:v>4.1908075473417718E-19</c:v>
                </c:pt>
                <c:pt idx="225">
                  <c:v>4.1819847946105264E-19</c:v>
                </c:pt>
                <c:pt idx="226">
                  <c:v>4.173199112268907E-19</c:v>
                </c:pt>
                <c:pt idx="227">
                  <c:v>4.1644502671698109E-19</c:v>
                </c:pt>
                <c:pt idx="228">
                  <c:v>4.1557380281171544E-19</c:v>
                </c:pt>
                <c:pt idx="229">
                  <c:v>4.1470621658455115E-19</c:v>
                </c:pt>
                <c:pt idx="230">
                  <c:v>4.1384224529999995E-19</c:v>
                </c:pt>
                <c:pt idx="231">
                  <c:v>4.1298186641164237E-19</c:v>
                </c:pt>
                <c:pt idx="232">
                  <c:v>4.1212505756016596E-19</c:v>
                </c:pt>
                <c:pt idx="233">
                  <c:v>4.1127179657142857E-19</c:v>
                </c:pt>
                <c:pt idx="234">
                  <c:v>4.1042206145454539E-19</c:v>
                </c:pt>
                <c:pt idx="235">
                  <c:v>4.0957583039999998E-19</c:v>
                </c:pt>
                <c:pt idx="236">
                  <c:v>4.0873308177777781E-19</c:v>
                </c:pt>
                <c:pt idx="237">
                  <c:v>4.0789379413552357E-19</c:v>
                </c:pt>
                <c:pt idx="238">
                  <c:v>4.0705794619672127E-19</c:v>
                </c:pt>
                <c:pt idx="239">
                  <c:v>4.0622551685889569E-19</c:v>
                </c:pt>
                <c:pt idx="240">
                  <c:v>4.0539648519183675E-19</c:v>
                </c:pt>
                <c:pt idx="241">
                  <c:v>4.0457083043584516E-19</c:v>
                </c:pt>
                <c:pt idx="242">
                  <c:v>4.0374853199999999E-19</c:v>
                </c:pt>
                <c:pt idx="243">
                  <c:v>4.0292956946044626E-19</c:v>
                </c:pt>
                <c:pt idx="244">
                  <c:v>4.0211392255870439E-19</c:v>
                </c:pt>
                <c:pt idx="245">
                  <c:v>4.0130157119999996E-19</c:v>
                </c:pt>
                <c:pt idx="246">
                  <c:v>4.0049249545161292E-19</c:v>
                </c:pt>
                <c:pt idx="247">
                  <c:v>3.9968667554124744E-19</c:v>
                </c:pt>
                <c:pt idx="248">
                  <c:v>3.9888409185542166E-19</c:v>
                </c:pt>
                <c:pt idx="249">
                  <c:v>3.9808472493787576E-19</c:v>
                </c:pt>
                <c:pt idx="250">
                  <c:v>3.9728855548800001E-19</c:v>
                </c:pt>
                <c:pt idx="251">
                  <c:v>3.9649556435928138E-19</c:v>
                </c:pt>
                <c:pt idx="252">
                  <c:v>3.9570573255776892E-19</c:v>
                </c:pt>
                <c:pt idx="253">
                  <c:v>3.9491904124055668E-19</c:v>
                </c:pt>
                <c:pt idx="254">
                  <c:v>3.9413547171428564E-19</c:v>
                </c:pt>
                <c:pt idx="255">
                  <c:v>3.9335500543366335E-19</c:v>
                </c:pt>
                <c:pt idx="256">
                  <c:v>3.92577624E-19</c:v>
                </c:pt>
                <c:pt idx="257">
                  <c:v>3.9180330915976333E-19</c:v>
                </c:pt>
                <c:pt idx="258">
                  <c:v>3.9103204280314957E-19</c:v>
                </c:pt>
                <c:pt idx="259">
                  <c:v>3.9026380696267186E-19</c:v>
                </c:pt>
                <c:pt idx="260">
                  <c:v>3.8949858381176473E-19</c:v>
                </c:pt>
                <c:pt idx="261">
                  <c:v>3.8873635566340505E-19</c:v>
                </c:pt>
                <c:pt idx="262">
                  <c:v>3.8797710496874996E-19</c:v>
                </c:pt>
                <c:pt idx="263">
                  <c:v>3.8722081431578947E-19</c:v>
                </c:pt>
                <c:pt idx="264">
                  <c:v>3.8646746642801558E-19</c:v>
                </c:pt>
                <c:pt idx="265">
                  <c:v>3.8571704416310674E-19</c:v>
                </c:pt>
                <c:pt idx="266">
                  <c:v>3.849695305116279E-19</c:v>
                </c:pt>
                <c:pt idx="267">
                  <c:v>3.842249085957447E-19</c:v>
                </c:pt>
                <c:pt idx="268">
                  <c:v>3.8348316166795362E-19</c:v>
                </c:pt>
                <c:pt idx="269">
                  <c:v>3.8274427310982655E-19</c:v>
                </c:pt>
                <c:pt idx="270">
                  <c:v>3.8200822643076924E-19</c:v>
                </c:pt>
                <c:pt idx="271">
                  <c:v>3.8127500526679466E-19</c:v>
                </c:pt>
                <c:pt idx="272">
                  <c:v>3.805445933793103E-19</c:v>
                </c:pt>
                <c:pt idx="273">
                  <c:v>3.798169746539197E-19</c:v>
                </c:pt>
                <c:pt idx="274">
                  <c:v>3.7909213309923666E-19</c:v>
                </c:pt>
                <c:pt idx="275">
                  <c:v>3.7837005284571424E-19</c:v>
                </c:pt>
                <c:pt idx="276">
                  <c:v>3.7765071814448667E-19</c:v>
                </c:pt>
                <c:pt idx="277">
                  <c:v>3.7693411336622391E-19</c:v>
                </c:pt>
                <c:pt idx="278">
                  <c:v>3.7622022299999994E-19</c:v>
                </c:pt>
                <c:pt idx="279">
                  <c:v>3.7550903165217386E-19</c:v>
                </c:pt>
                <c:pt idx="280">
                  <c:v>3.7480052404528299E-19</c:v>
                </c:pt>
                <c:pt idx="281">
                  <c:v>3.7409468501694917E-19</c:v>
                </c:pt>
                <c:pt idx="282">
                  <c:v>3.7339149951879695E-19</c:v>
                </c:pt>
                <c:pt idx="283">
                  <c:v>3.726909526153846E-19</c:v>
                </c:pt>
                <c:pt idx="284">
                  <c:v>3.7199302948314605E-19</c:v>
                </c:pt>
                <c:pt idx="285">
                  <c:v>3.7129771540934572E-19</c:v>
                </c:pt>
                <c:pt idx="286">
                  <c:v>3.7060499579104477E-19</c:v>
                </c:pt>
                <c:pt idx="287">
                  <c:v>3.6991485613407821E-19</c:v>
                </c:pt>
                <c:pt idx="288">
                  <c:v>3.6922728205204462E-19</c:v>
                </c:pt>
                <c:pt idx="289">
                  <c:v>3.6854225926530608E-19</c:v>
                </c:pt>
                <c:pt idx="290">
                  <c:v>3.6785977359999997E-19</c:v>
                </c:pt>
                <c:pt idx="291">
                  <c:v>3.6717981098706098E-19</c:v>
                </c:pt>
                <c:pt idx="292">
                  <c:v>3.6650235746125456E-19</c:v>
                </c:pt>
                <c:pt idx="293">
                  <c:v>3.6582739916022096E-19</c:v>
                </c:pt>
                <c:pt idx="294">
                  <c:v>3.6515492232352941E-19</c:v>
                </c:pt>
                <c:pt idx="295">
                  <c:v>3.6448491329174315E-19</c:v>
                </c:pt>
                <c:pt idx="296">
                  <c:v>3.6381735850549445E-19</c:v>
                </c:pt>
                <c:pt idx="297">
                  <c:v>3.6315224450457035E-19</c:v>
                </c:pt>
                <c:pt idx="298">
                  <c:v>3.6248955792700731E-19</c:v>
                </c:pt>
                <c:pt idx="299">
                  <c:v>3.6182928550819666E-19</c:v>
                </c:pt>
                <c:pt idx="300">
                  <c:v>3.6117141407999997E-19</c:v>
                </c:pt>
                <c:pt idx="301">
                  <c:v>3.6051593056987293E-19</c:v>
                </c:pt>
                <c:pt idx="302">
                  <c:v>3.5986282199999993E-19</c:v>
                </c:pt>
                <c:pt idx="303">
                  <c:v>3.5921207548643759E-19</c:v>
                </c:pt>
                <c:pt idx="304">
                  <c:v>3.5856367823826715E-19</c:v>
                </c:pt>
                <c:pt idx="305">
                  <c:v>3.5791761755675676E-19</c:v>
                </c:pt>
                <c:pt idx="306">
                  <c:v>3.5727388083453232E-19</c:v>
                </c:pt>
                <c:pt idx="307">
                  <c:v>3.5663245555475761E-19</c:v>
                </c:pt>
                <c:pt idx="308">
                  <c:v>3.5599332929032256E-19</c:v>
                </c:pt>
                <c:pt idx="309">
                  <c:v>3.5535648970304108E-19</c:v>
                </c:pt>
                <c:pt idx="310">
                  <c:v>3.5472192454285713E-19</c:v>
                </c:pt>
                <c:pt idx="311">
                  <c:v>3.5408962164705883E-19</c:v>
                </c:pt>
                <c:pt idx="312">
                  <c:v>3.5345956893950179E-19</c:v>
                </c:pt>
                <c:pt idx="313">
                  <c:v>3.528317544298401E-19</c:v>
                </c:pt>
                <c:pt idx="314">
                  <c:v>3.5220616621276595E-19</c:v>
                </c:pt>
                <c:pt idx="315">
                  <c:v>3.5158279246725666E-19</c:v>
                </c:pt>
                <c:pt idx="316">
                  <c:v>3.5096162145583034E-19</c:v>
                </c:pt>
                <c:pt idx="317">
                  <c:v>3.5034264152380949E-19</c:v>
                </c:pt>
                <c:pt idx="318">
                  <c:v>3.4972584109859156E-19</c:v>
                </c:pt>
                <c:pt idx="319">
                  <c:v>3.4911120868892796E-19</c:v>
                </c:pt>
                <c:pt idx="320">
                  <c:v>3.4849873288421051E-19</c:v>
                </c:pt>
                <c:pt idx="321">
                  <c:v>3.4788840235376531E-19</c:v>
                </c:pt>
                <c:pt idx="322">
                  <c:v>3.4728020584615387E-19</c:v>
                </c:pt>
                <c:pt idx="323">
                  <c:v>3.4667413218848163E-19</c:v>
                </c:pt>
                <c:pt idx="324">
                  <c:v>3.4607017028571426E-19</c:v>
                </c:pt>
                <c:pt idx="325">
                  <c:v>3.4546830912E-19</c:v>
                </c:pt>
                <c:pt idx="326">
                  <c:v>3.4486853775000003E-19</c:v>
                </c:pt>
                <c:pt idx="327">
                  <c:v>3.4427084531022527E-19</c:v>
                </c:pt>
                <c:pt idx="328">
                  <c:v>3.4367522101038059E-19</c:v>
                </c:pt>
                <c:pt idx="329">
                  <c:v>3.4308165413471501E-19</c:v>
                </c:pt>
                <c:pt idx="330">
                  <c:v>3.4249013404137925E-19</c:v>
                </c:pt>
                <c:pt idx="331">
                  <c:v>3.4190065016178999E-19</c:v>
                </c:pt>
                <c:pt idx="332">
                  <c:v>3.4131319200000001E-19</c:v>
                </c:pt>
                <c:pt idx="333">
                  <c:v>3.4072774913207541E-19</c:v>
                </c:pt>
                <c:pt idx="334">
                  <c:v>3.4014431120547941E-19</c:v>
                </c:pt>
                <c:pt idx="335">
                  <c:v>3.3956286793846151E-19</c:v>
                </c:pt>
                <c:pt idx="336">
                  <c:v>3.3898340911945395E-19</c:v>
                </c:pt>
                <c:pt idx="337">
                  <c:v>3.3840592460647358E-19</c:v>
                </c:pt>
                <c:pt idx="338">
                  <c:v>3.378304043265306E-19</c:v>
                </c:pt>
                <c:pt idx="339">
                  <c:v>3.3725683827504243E-19</c:v>
                </c:pt>
                <c:pt idx="340">
                  <c:v>3.3668521651525417E-19</c:v>
                </c:pt>
                <c:pt idx="341">
                  <c:v>3.3611552917766497E-19</c:v>
                </c:pt>
                <c:pt idx="342">
                  <c:v>3.3554776645945944E-19</c:v>
                </c:pt>
                <c:pt idx="343">
                  <c:v>3.3498191862394603E-19</c:v>
                </c:pt>
                <c:pt idx="344">
                  <c:v>3.3441797599999997E-19</c:v>
                </c:pt>
                <c:pt idx="345">
                  <c:v>3.3385592898151257E-19</c:v>
                </c:pt>
                <c:pt idx="346">
                  <c:v>3.3329576802684564E-19</c:v>
                </c:pt>
                <c:pt idx="347">
                  <c:v>3.327374836582914E-19</c:v>
                </c:pt>
                <c:pt idx="348">
                  <c:v>3.3218106646153842E-19</c:v>
                </c:pt>
                <c:pt idx="349">
                  <c:v>3.3162650708514189E-19</c:v>
                </c:pt>
                <c:pt idx="350">
                  <c:v>3.3107379624000002E-19</c:v>
                </c:pt>
                <c:pt idx="351">
                  <c:v>3.3052292469883522E-19</c:v>
                </c:pt>
                <c:pt idx="352">
                  <c:v>3.2997388329568104E-19</c:v>
                </c:pt>
                <c:pt idx="353">
                  <c:v>3.2942666292537314E-19</c:v>
                </c:pt>
                <c:pt idx="354">
                  <c:v>3.2888125454304634E-19</c:v>
                </c:pt>
                <c:pt idx="355">
                  <c:v>3.2833764916363632E-19</c:v>
                </c:pt>
                <c:pt idx="356">
                  <c:v>3.2779583786138615E-19</c:v>
                </c:pt>
                <c:pt idx="357">
                  <c:v>3.2725581176935749E-19</c:v>
                </c:pt>
                <c:pt idx="358">
                  <c:v>3.2671756207894733E-19</c:v>
                </c:pt>
                <c:pt idx="359">
                  <c:v>3.2618108003940885E-19</c:v>
                </c:pt>
                <c:pt idx="360">
                  <c:v>3.2564635695737706E-19</c:v>
                </c:pt>
                <c:pt idx="361">
                  <c:v>3.2511338419639929E-19</c:v>
                </c:pt>
                <c:pt idx="362">
                  <c:v>3.2458215317647055E-19</c:v>
                </c:pt>
                <c:pt idx="363">
                  <c:v>3.2405265537357257E-19</c:v>
                </c:pt>
                <c:pt idx="364">
                  <c:v>3.2352488231921821E-19</c:v>
                </c:pt>
                <c:pt idx="365">
                  <c:v>3.2299882559999997E-19</c:v>
                </c:pt>
                <c:pt idx="366">
                  <c:v>3.2247447685714284E-19</c:v>
                </c:pt>
                <c:pt idx="367">
                  <c:v>3.219518277860616E-19</c:v>
                </c:pt>
                <c:pt idx="368">
                  <c:v>3.214308701359223E-19</c:v>
                </c:pt>
                <c:pt idx="369">
                  <c:v>3.2091159570920836E-19</c:v>
                </c:pt>
                <c:pt idx="370">
                  <c:v>3.2039399636129033E-19</c:v>
                </c:pt>
                <c:pt idx="371">
                  <c:v>3.1987806399999994E-19</c:v>
                </c:pt>
                <c:pt idx="372">
                  <c:v>3.19363790585209E-19</c:v>
                </c:pt>
                <c:pt idx="373">
                  <c:v>3.1885116812841089E-19</c:v>
                </c:pt>
                <c:pt idx="374">
                  <c:v>3.1834018869230769E-19</c:v>
                </c:pt>
                <c:pt idx="375">
                  <c:v>3.1783084439039999E-19</c:v>
                </c:pt>
                <c:pt idx="376">
                  <c:v>3.1732312738658144E-19</c:v>
                </c:pt>
                <c:pt idx="377">
                  <c:v>3.1681702989473686E-19</c:v>
                </c:pt>
                <c:pt idx="378">
                  <c:v>3.1631254417834392E-19</c:v>
                </c:pt>
                <c:pt idx="379">
                  <c:v>3.1580966255007949E-19</c:v>
                </c:pt>
                <c:pt idx="380">
                  <c:v>3.1530837737142857E-19</c:v>
                </c:pt>
                <c:pt idx="381">
                  <c:v>3.1480868105229797E-19</c:v>
                </c:pt>
                <c:pt idx="382">
                  <c:v>3.1431056605063287E-19</c:v>
                </c:pt>
                <c:pt idx="383">
                  <c:v>3.1381402487203792E-19</c:v>
                </c:pt>
                <c:pt idx="384">
                  <c:v>3.1331905006940063E-19</c:v>
                </c:pt>
                <c:pt idx="385">
                  <c:v>3.1282563424251964E-19</c:v>
                </c:pt>
                <c:pt idx="386">
                  <c:v>3.1233377003773583E-19</c:v>
                </c:pt>
                <c:pt idx="387">
                  <c:v>3.1184345014756671E-19</c:v>
                </c:pt>
                <c:pt idx="388">
                  <c:v>3.1135466731034476E-19</c:v>
                </c:pt>
                <c:pt idx="389">
                  <c:v>3.1086741430985912E-19</c:v>
                </c:pt>
                <c:pt idx="390">
                  <c:v>3.1038168397499997E-19</c:v>
                </c:pt>
                <c:pt idx="391">
                  <c:v>3.0989746917940719E-19</c:v>
                </c:pt>
                <c:pt idx="392">
                  <c:v>3.0941476284112147E-19</c:v>
                </c:pt>
                <c:pt idx="393">
                  <c:v>3.0893355792223948E-19</c:v>
                </c:pt>
                <c:pt idx="394">
                  <c:v>3.0845384742857144E-19</c:v>
                </c:pt>
                <c:pt idx="395">
                  <c:v>3.0797562440930229E-19</c:v>
                </c:pt>
                <c:pt idx="396">
                  <c:v>3.0749888195665634E-19</c:v>
                </c:pt>
                <c:pt idx="397">
                  <c:v>3.0702361320556415E-19</c:v>
                </c:pt>
                <c:pt idx="398">
                  <c:v>3.0654981133333333E-19</c:v>
                </c:pt>
                <c:pt idx="399">
                  <c:v>3.0607746955932201E-19</c:v>
                </c:pt>
                <c:pt idx="400">
                  <c:v>3.0560658114461537E-19</c:v>
                </c:pt>
                <c:pt idx="401">
                  <c:v>3.0513713939170506E-19</c:v>
                </c:pt>
                <c:pt idx="402">
                  <c:v>3.0466913764417176E-19</c:v>
                </c:pt>
                <c:pt idx="403">
                  <c:v>3.0420256928637059E-19</c:v>
                </c:pt>
                <c:pt idx="404">
                  <c:v>3.0373742774311924E-19</c:v>
                </c:pt>
                <c:pt idx="405">
                  <c:v>3.0327370647938931E-19</c:v>
                </c:pt>
                <c:pt idx="406">
                  <c:v>3.0281139899999995E-19</c:v>
                </c:pt>
                <c:pt idx="407">
                  <c:v>3.0235049884931504E-19</c:v>
                </c:pt>
                <c:pt idx="408">
                  <c:v>3.0189099961094224E-19</c:v>
                </c:pt>
                <c:pt idx="409">
                  <c:v>3.0143289490743546E-19</c:v>
                </c:pt>
                <c:pt idx="410">
                  <c:v>3.0097617839999998E-19</c:v>
                </c:pt>
                <c:pt idx="411">
                  <c:v>3.0052084378819971E-19</c:v>
                </c:pt>
                <c:pt idx="412">
                  <c:v>3.0006688480966768E-19</c:v>
                </c:pt>
                <c:pt idx="413">
                  <c:v>2.9961429523981899E-19</c:v>
                </c:pt>
                <c:pt idx="414">
                  <c:v>2.9916306889156627E-19</c:v>
                </c:pt>
                <c:pt idx="415">
                  <c:v>2.9871319961503758E-19</c:v>
                </c:pt>
                <c:pt idx="416">
                  <c:v>2.9826468129729729E-19</c:v>
                </c:pt>
                <c:pt idx="417">
                  <c:v>2.9781750786206896E-19</c:v>
                </c:pt>
                <c:pt idx="418">
                  <c:v>2.9737167326946109E-19</c:v>
                </c:pt>
                <c:pt idx="419">
                  <c:v>2.9692717151569503E-19</c:v>
                </c:pt>
                <c:pt idx="420">
                  <c:v>2.964839966328358E-19</c:v>
                </c:pt>
                <c:pt idx="421">
                  <c:v>2.9604214268852456E-19</c:v>
                </c:pt>
                <c:pt idx="422">
                  <c:v>2.9560160378571427E-19</c:v>
                </c:pt>
                <c:pt idx="423">
                  <c:v>2.9516237406240709E-19</c:v>
                </c:pt>
                <c:pt idx="424">
                  <c:v>2.9472444769139464E-19</c:v>
                </c:pt>
                <c:pt idx="425">
                  <c:v>2.9428781887999998E-19</c:v>
                </c:pt>
                <c:pt idx="426">
                  <c:v>2.9385248186982245E-19</c:v>
                </c:pt>
                <c:pt idx="427">
                  <c:v>2.9341843093648445E-19</c:v>
                </c:pt>
                <c:pt idx="428">
                  <c:v>2.929856603893805E-19</c:v>
                </c:pt>
                <c:pt idx="429">
                  <c:v>2.9255416457142856E-19</c:v>
                </c:pt>
                <c:pt idx="430">
                  <c:v>2.9212393785882351E-19</c:v>
                </c:pt>
                <c:pt idx="431">
                  <c:v>2.9169497466079292E-19</c:v>
                </c:pt>
                <c:pt idx="432">
                  <c:v>2.9126726941935486E-19</c:v>
                </c:pt>
                <c:pt idx="433">
                  <c:v>2.9084081660907754E-19</c:v>
                </c:pt>
                <c:pt idx="434">
                  <c:v>2.9041561073684208E-19</c:v>
                </c:pt>
                <c:pt idx="435">
                  <c:v>2.8999164634160584E-19</c:v>
                </c:pt>
                <c:pt idx="436">
                  <c:v>2.8956891799416908E-19</c:v>
                </c:pt>
                <c:pt idx="437">
                  <c:v>2.8914742029694322E-19</c:v>
                </c:pt>
                <c:pt idx="438">
                  <c:v>2.8872714788372092E-19</c:v>
                </c:pt>
                <c:pt idx="439">
                  <c:v>2.883080954194485E-19</c:v>
                </c:pt>
                <c:pt idx="440">
                  <c:v>2.8789025759999995E-19</c:v>
                </c:pt>
                <c:pt idx="441">
                  <c:v>2.8747362915195365E-19</c:v>
                </c:pt>
                <c:pt idx="442">
                  <c:v>2.8705820483236994E-19</c:v>
                </c:pt>
                <c:pt idx="443">
                  <c:v>2.8664397942857139E-19</c:v>
                </c:pt>
                <c:pt idx="444">
                  <c:v>2.8623094775792503E-19</c:v>
                </c:pt>
                <c:pt idx="445">
                  <c:v>2.8581910466762589E-19</c:v>
                </c:pt>
                <c:pt idx="446">
                  <c:v>2.8540844503448274E-19</c:v>
                </c:pt>
                <c:pt idx="447">
                  <c:v>2.8499896376470583E-19</c:v>
                </c:pt>
                <c:pt idx="448">
                  <c:v>2.8459065579369625E-19</c:v>
                </c:pt>
                <c:pt idx="449">
                  <c:v>2.8418351608583688E-19</c:v>
                </c:pt>
                <c:pt idx="450">
                  <c:v>2.8377753963428567E-19</c:v>
                </c:pt>
                <c:pt idx="451">
                  <c:v>2.8337272146077033E-19</c:v>
                </c:pt>
                <c:pt idx="452">
                  <c:v>2.829690566153846E-19</c:v>
                </c:pt>
                <c:pt idx="453">
                  <c:v>2.8256654017638693E-19</c:v>
                </c:pt>
                <c:pt idx="454">
                  <c:v>2.8216516724999996E-19</c:v>
                </c:pt>
                <c:pt idx="455">
                  <c:v>2.8176493297021276E-19</c:v>
                </c:pt>
                <c:pt idx="456">
                  <c:v>2.8136583249858357E-19</c:v>
                </c:pt>
                <c:pt idx="457">
                  <c:v>2.8096786102404521E-19</c:v>
                </c:pt>
                <c:pt idx="458">
                  <c:v>2.8057101376271183E-19</c:v>
                </c:pt>
                <c:pt idx="459">
                  <c:v>2.8017528595768686E-19</c:v>
                </c:pt>
                <c:pt idx="460">
                  <c:v>2.7978067287887324E-19</c:v>
                </c:pt>
                <c:pt idx="461">
                  <c:v>2.7938716982278477E-19</c:v>
                </c:pt>
                <c:pt idx="462">
                  <c:v>2.7899477211235953E-19</c:v>
                </c:pt>
                <c:pt idx="463">
                  <c:v>2.786034750967742E-19</c:v>
                </c:pt>
                <c:pt idx="464">
                  <c:v>2.7821327415126047E-19</c:v>
                </c:pt>
                <c:pt idx="465">
                  <c:v>2.7782416467692306E-19</c:v>
                </c:pt>
                <c:pt idx="466">
                  <c:v>2.7743614210055866E-19</c:v>
                </c:pt>
                <c:pt idx="467">
                  <c:v>2.7704920187447701E-19</c:v>
                </c:pt>
                <c:pt idx="468">
                  <c:v>2.766633394763231E-19</c:v>
                </c:pt>
                <c:pt idx="469">
                  <c:v>2.7627855040890125E-19</c:v>
                </c:pt>
                <c:pt idx="470">
                  <c:v>2.7589483020000001E-19</c:v>
                </c:pt>
                <c:pt idx="471">
                  <c:v>2.7551217440221909E-19</c:v>
                </c:pt>
                <c:pt idx="472">
                  <c:v>2.7513057859279775E-19</c:v>
                </c:pt>
                <c:pt idx="473">
                  <c:v>2.7475003837344398E-19</c:v>
                </c:pt>
                <c:pt idx="474">
                  <c:v>2.7437054937016571E-19</c:v>
                </c:pt>
                <c:pt idx="475">
                  <c:v>2.7399210723310342E-19</c:v>
                </c:pt>
                <c:pt idx="476">
                  <c:v>2.7361470763636364E-19</c:v>
                </c:pt>
                <c:pt idx="477">
                  <c:v>2.732383462778542E-19</c:v>
                </c:pt>
                <c:pt idx="478">
                  <c:v>2.7286301887912084E-19</c:v>
                </c:pt>
                <c:pt idx="479">
                  <c:v>2.7248872118518517E-19</c:v>
                </c:pt>
                <c:pt idx="480">
                  <c:v>2.7211544896438357E-19</c:v>
                </c:pt>
                <c:pt idx="481">
                  <c:v>2.717431980082079E-19</c:v>
                </c:pt>
                <c:pt idx="482">
                  <c:v>2.7137196413114753E-19</c:v>
                </c:pt>
                <c:pt idx="483">
                  <c:v>2.7100174317053205E-19</c:v>
                </c:pt>
                <c:pt idx="484">
                  <c:v>2.7063253098637605E-19</c:v>
                </c:pt>
                <c:pt idx="485">
                  <c:v>2.7026432346122446E-19</c:v>
                </c:pt>
                <c:pt idx="486">
                  <c:v>2.6989711649999997E-19</c:v>
                </c:pt>
                <c:pt idx="487">
                  <c:v>2.6953090602985073E-19</c:v>
                </c:pt>
                <c:pt idx="488">
                  <c:v>2.6916568799999999E-19</c:v>
                </c:pt>
                <c:pt idx="489">
                  <c:v>2.6880145838159675E-19</c:v>
                </c:pt>
                <c:pt idx="490">
                  <c:v>2.6843821316756757E-19</c:v>
                </c:pt>
                <c:pt idx="491">
                  <c:v>2.6807594837246964E-19</c:v>
                </c:pt>
                <c:pt idx="492">
                  <c:v>2.6771466003234499E-19</c:v>
                </c:pt>
                <c:pt idx="493">
                  <c:v>2.6735434420457601E-19</c:v>
                </c:pt>
                <c:pt idx="494">
                  <c:v>2.6699499696774193E-19</c:v>
                </c:pt>
                <c:pt idx="495">
                  <c:v>2.6663661442147649E-19</c:v>
                </c:pt>
                <c:pt idx="496">
                  <c:v>2.6627919268632705E-19</c:v>
                </c:pt>
                <c:pt idx="497">
                  <c:v>2.6592272790361444E-19</c:v>
                </c:pt>
                <c:pt idx="498">
                  <c:v>2.6556721623529413E-19</c:v>
                </c:pt>
                <c:pt idx="499">
                  <c:v>2.6521265386381842E-19</c:v>
                </c:pt>
                <c:pt idx="500">
                  <c:v>2.6485903699199999E-19</c:v>
                </c:pt>
                <c:pt idx="501">
                  <c:v>2.6450636184287615E-19</c:v>
                </c:pt>
                <c:pt idx="502">
                  <c:v>2.6415462465957446E-19</c:v>
                </c:pt>
                <c:pt idx="503">
                  <c:v>2.6380382170517925E-19</c:v>
                </c:pt>
                <c:pt idx="504">
                  <c:v>2.6345394926259945E-19</c:v>
                </c:pt>
                <c:pt idx="505">
                  <c:v>2.6310500363443707E-19</c:v>
                </c:pt>
                <c:pt idx="506">
                  <c:v>2.6275698114285713E-19</c:v>
                </c:pt>
                <c:pt idx="507">
                  <c:v>2.6240987812945839E-19</c:v>
                </c:pt>
                <c:pt idx="508">
                  <c:v>2.6206369095514513E-19</c:v>
                </c:pt>
                <c:pt idx="509">
                  <c:v>2.6171841599999997E-19</c:v>
                </c:pt>
                <c:pt idx="510">
                  <c:v>2.6137404966315789E-19</c:v>
                </c:pt>
                <c:pt idx="511">
                  <c:v>2.610305883626807E-19</c:v>
                </c:pt>
                <c:pt idx="512">
                  <c:v>2.6068802853543304E-19</c:v>
                </c:pt>
                <c:pt idx="513">
                  <c:v>2.6034636663695935E-19</c:v>
                </c:pt>
                <c:pt idx="514">
                  <c:v>2.6000559914136126E-19</c:v>
                </c:pt>
                <c:pt idx="515">
                  <c:v>2.5966572254117647E-19</c:v>
                </c:pt>
                <c:pt idx="516">
                  <c:v>2.5932673334725845E-19</c:v>
                </c:pt>
                <c:pt idx="517">
                  <c:v>2.5898862808865708E-19</c:v>
                </c:pt>
                <c:pt idx="518">
                  <c:v>2.5865140331250001E-19</c:v>
                </c:pt>
                <c:pt idx="519">
                  <c:v>2.5831505558387514E-19</c:v>
                </c:pt>
                <c:pt idx="520">
                  <c:v>2.5797958148571426E-19</c:v>
                </c:pt>
                <c:pt idx="521">
                  <c:v>2.5764497761867704E-19</c:v>
                </c:pt>
                <c:pt idx="522">
                  <c:v>2.5731124060103626E-19</c:v>
                </c:pt>
                <c:pt idx="523">
                  <c:v>2.5697836706856402E-19</c:v>
                </c:pt>
                <c:pt idx="524">
                  <c:v>2.566463536744186E-19</c:v>
                </c:pt>
                <c:pt idx="525">
                  <c:v>2.5631519708903228E-19</c:v>
                </c:pt>
                <c:pt idx="526">
                  <c:v>2.5598489399999998E-19</c:v>
                </c:pt>
                <c:pt idx="527">
                  <c:v>2.5565544111196909E-19</c:v>
                </c:pt>
                <c:pt idx="528">
                  <c:v>2.5532683514652956E-19</c:v>
                </c:pt>
                <c:pt idx="529">
                  <c:v>2.5499907284210525E-19</c:v>
                </c:pt>
                <c:pt idx="530">
                  <c:v>2.5467215095384615E-19</c:v>
                </c:pt>
                <c:pt idx="531">
                  <c:v>2.543460662535211E-19</c:v>
                </c:pt>
                <c:pt idx="532">
                  <c:v>2.5402081552941178E-19</c:v>
                </c:pt>
                <c:pt idx="533">
                  <c:v>2.5369639558620685E-19</c:v>
                </c:pt>
                <c:pt idx="534">
                  <c:v>2.5337280324489793E-19</c:v>
                </c:pt>
                <c:pt idx="535">
                  <c:v>2.5305003534267514E-19</c:v>
                </c:pt>
                <c:pt idx="536">
                  <c:v>2.5272808873282439E-19</c:v>
                </c:pt>
                <c:pt idx="537">
                  <c:v>2.5240696028462512E-19</c:v>
                </c:pt>
                <c:pt idx="538">
                  <c:v>2.5208664688324872E-19</c:v>
                </c:pt>
                <c:pt idx="539">
                  <c:v>2.5176714542965779E-19</c:v>
                </c:pt>
                <c:pt idx="540">
                  <c:v>2.5144845284050633E-19</c:v>
                </c:pt>
                <c:pt idx="541">
                  <c:v>2.5113056604804046E-19</c:v>
                </c:pt>
                <c:pt idx="542">
                  <c:v>2.5081348199999999E-19</c:v>
                </c:pt>
                <c:pt idx="543">
                  <c:v>2.5049719765952078E-19</c:v>
                </c:pt>
                <c:pt idx="544">
                  <c:v>2.5018171000503775E-19</c:v>
                </c:pt>
                <c:pt idx="545">
                  <c:v>2.4986701603018866E-19</c:v>
                </c:pt>
                <c:pt idx="546">
                  <c:v>2.495531127437186E-19</c:v>
                </c:pt>
                <c:pt idx="547">
                  <c:v>2.4923999716938518E-19</c:v>
                </c:pt>
                <c:pt idx="548">
                  <c:v>2.4892766634586465E-19</c:v>
                </c:pt>
                <c:pt idx="549">
                  <c:v>2.4861611732665834E-19</c:v>
                </c:pt>
                <c:pt idx="550">
                  <c:v>2.4830534717999996E-19</c:v>
                </c:pt>
                <c:pt idx="551">
                  <c:v>2.4799535298876405E-19</c:v>
                </c:pt>
                <c:pt idx="552">
                  <c:v>2.4768613185037404E-19</c:v>
                </c:pt>
                <c:pt idx="553">
                  <c:v>2.4737768087671232E-19</c:v>
                </c:pt>
                <c:pt idx="554">
                  <c:v>2.4706999719402983E-19</c:v>
                </c:pt>
                <c:pt idx="555">
                  <c:v>2.4676307794285715E-19</c:v>
                </c:pt>
                <c:pt idx="556">
                  <c:v>2.4645692027791562E-19</c:v>
                </c:pt>
                <c:pt idx="557">
                  <c:v>2.4615152136802973E-19</c:v>
                </c:pt>
                <c:pt idx="558">
                  <c:v>2.4584687839603961E-19</c:v>
                </c:pt>
                <c:pt idx="559">
                  <c:v>2.4554298855871447E-19</c:v>
                </c:pt>
                <c:pt idx="560">
                  <c:v>2.4523984906666664E-19</c:v>
                </c:pt>
                <c:pt idx="561">
                  <c:v>2.4493745714426632E-19</c:v>
                </c:pt>
                <c:pt idx="562">
                  <c:v>2.4463581002955663E-19</c:v>
                </c:pt>
                <c:pt idx="563">
                  <c:v>2.4433490497416976E-19</c:v>
                </c:pt>
                <c:pt idx="564">
                  <c:v>2.440347392432432E-19</c:v>
                </c:pt>
                <c:pt idx="565">
                  <c:v>2.4373531011533742E-19</c:v>
                </c:pt>
                <c:pt idx="566">
                  <c:v>2.4343661488235292E-19</c:v>
                </c:pt>
                <c:pt idx="567">
                  <c:v>2.4313865084944917E-19</c:v>
                </c:pt>
                <c:pt idx="568">
                  <c:v>2.428414153349633E-19</c:v>
                </c:pt>
                <c:pt idx="569">
                  <c:v>2.4254490567032965E-19</c:v>
                </c:pt>
                <c:pt idx="570">
                  <c:v>2.422491192E-19</c:v>
                </c:pt>
                <c:pt idx="571">
                  <c:v>2.4195405328136417E-19</c:v>
                </c:pt>
                <c:pt idx="572">
                  <c:v>2.4165970528467153E-19</c:v>
                </c:pt>
                <c:pt idx="573">
                  <c:v>2.4136607259295261E-19</c:v>
                </c:pt>
                <c:pt idx="574">
                  <c:v>2.410731526019417E-19</c:v>
                </c:pt>
                <c:pt idx="575">
                  <c:v>2.4078094272E-19</c:v>
                </c:pt>
                <c:pt idx="576">
                  <c:v>2.4048944036803873E-19</c:v>
                </c:pt>
                <c:pt idx="577">
                  <c:v>2.4019864297944377E-19</c:v>
                </c:pt>
                <c:pt idx="578">
                  <c:v>2.3990854799999997E-19</c:v>
                </c:pt>
                <c:pt idx="579">
                  <c:v>2.3961915288781666E-19</c:v>
                </c:pt>
                <c:pt idx="580">
                  <c:v>2.3933045511325302E-19</c:v>
                </c:pt>
                <c:pt idx="581">
                  <c:v>2.3904245215884477E-19</c:v>
                </c:pt>
                <c:pt idx="582">
                  <c:v>2.3875514151923075E-19</c:v>
                </c:pt>
                <c:pt idx="583">
                  <c:v>2.3846852070108044E-19</c:v>
                </c:pt>
                <c:pt idx="584">
                  <c:v>2.3818258722302158E-19</c:v>
                </c:pt>
                <c:pt idx="585">
                  <c:v>2.3789733861556884E-19</c:v>
                </c:pt>
                <c:pt idx="586">
                  <c:v>2.3761277242105263E-19</c:v>
                </c:pt>
                <c:pt idx="587">
                  <c:v>2.373288861935484E-19</c:v>
                </c:pt>
                <c:pt idx="588">
                  <c:v>2.3704567749880667E-19</c:v>
                </c:pt>
                <c:pt idx="589">
                  <c:v>2.3676314391418354E-19</c:v>
                </c:pt>
                <c:pt idx="590">
                  <c:v>2.364812830285714E-19</c:v>
                </c:pt>
                <c:pt idx="591">
                  <c:v>2.3620009244233054E-19</c:v>
                </c:pt>
                <c:pt idx="592">
                  <c:v>2.3591956976722087E-19</c:v>
                </c:pt>
                <c:pt idx="593">
                  <c:v>2.3563971262633451E-19</c:v>
                </c:pt>
                <c:pt idx="594">
                  <c:v>2.3536051865402843E-19</c:v>
                </c:pt>
                <c:pt idx="595">
                  <c:v>2.3508198549585797E-19</c:v>
                </c:pt>
                <c:pt idx="596">
                  <c:v>2.3480411080851062E-19</c:v>
                </c:pt>
                <c:pt idx="597">
                  <c:v>2.3452689225974024E-19</c:v>
                </c:pt>
                <c:pt idx="598">
                  <c:v>2.3425032752830187E-19</c:v>
                </c:pt>
                <c:pt idx="599">
                  <c:v>2.3397441430388691E-19</c:v>
                </c:pt>
                <c:pt idx="600">
                  <c:v>2.3369915028705881E-19</c:v>
                </c:pt>
                <c:pt idx="601">
                  <c:v>2.3342453318918921E-19</c:v>
                </c:pt>
                <c:pt idx="602">
                  <c:v>2.3315056073239436E-19</c:v>
                </c:pt>
                <c:pt idx="603">
                  <c:v>2.3287723064947244E-19</c:v>
                </c:pt>
                <c:pt idx="604">
                  <c:v>2.3260454068384073E-19</c:v>
                </c:pt>
                <c:pt idx="605">
                  <c:v>2.3233248858947366E-19</c:v>
                </c:pt>
                <c:pt idx="606">
                  <c:v>2.3206107213084109E-19</c:v>
                </c:pt>
                <c:pt idx="607">
                  <c:v>2.3179028908284714E-19</c:v>
                </c:pt>
                <c:pt idx="608">
                  <c:v>2.3152013723076923E-19</c:v>
                </c:pt>
                <c:pt idx="609">
                  <c:v>2.3125061437019787E-19</c:v>
                </c:pt>
                <c:pt idx="610">
                  <c:v>2.3098171830697673E-19</c:v>
                </c:pt>
                <c:pt idx="611">
                  <c:v>2.3071344685714286E-19</c:v>
                </c:pt>
                <c:pt idx="612">
                  <c:v>2.3044579784686773E-19</c:v>
                </c:pt>
                <c:pt idx="613">
                  <c:v>2.3017876911239862E-19</c:v>
                </c:pt>
                <c:pt idx="614">
                  <c:v>2.2991235849999999E-19</c:v>
                </c:pt>
                <c:pt idx="615">
                  <c:v>2.2964656386589591E-19</c:v>
                </c:pt>
                <c:pt idx="616">
                  <c:v>2.2938138307621244E-19</c:v>
                </c:pt>
                <c:pt idx="617">
                  <c:v>2.2911681400692041E-19</c:v>
                </c:pt>
                <c:pt idx="618">
                  <c:v>2.288528545437788E-19</c:v>
                </c:pt>
                <c:pt idx="619">
                  <c:v>2.2858950258227845E-19</c:v>
                </c:pt>
                <c:pt idx="620">
                  <c:v>2.2832675602758618E-19</c:v>
                </c:pt>
                <c:pt idx="621">
                  <c:v>2.2806461279448908E-19</c:v>
                </c:pt>
                <c:pt idx="622">
                  <c:v>2.2780307080733945E-19</c:v>
                </c:pt>
                <c:pt idx="623">
                  <c:v>2.2754212799999997E-19</c:v>
                </c:pt>
                <c:pt idx="624">
                  <c:v>2.2728178231578948E-19</c:v>
                </c:pt>
                <c:pt idx="625">
                  <c:v>2.2702203170742859E-19</c:v>
                </c:pt>
                <c:pt idx="626">
                  <c:v>2.267628741369863E-19</c:v>
                </c:pt>
                <c:pt idx="627">
                  <c:v>2.2650430757582668E-19</c:v>
                </c:pt>
                <c:pt idx="628">
                  <c:v>2.262463300045558E-19</c:v>
                </c:pt>
                <c:pt idx="629">
                  <c:v>2.2598893941296925E-19</c:v>
                </c:pt>
                <c:pt idx="630">
                  <c:v>2.2573213379999997E-19</c:v>
                </c:pt>
                <c:pt idx="631">
                  <c:v>2.2547591117366628E-19</c:v>
                </c:pt>
                <c:pt idx="632">
                  <c:v>2.2522026955102039E-19</c:v>
                </c:pt>
                <c:pt idx="633">
                  <c:v>2.2496520695809736E-19</c:v>
                </c:pt>
                <c:pt idx="634">
                  <c:v>2.2471072142986427E-19</c:v>
                </c:pt>
                <c:pt idx="635">
                  <c:v>2.2445681101016948E-19</c:v>
                </c:pt>
                <c:pt idx="636">
                  <c:v>2.24203473751693E-19</c:v>
                </c:pt>
                <c:pt idx="637">
                  <c:v>2.2395070771589625E-19</c:v>
                </c:pt>
                <c:pt idx="638">
                  <c:v>2.2369851097297298E-19</c:v>
                </c:pt>
                <c:pt idx="639">
                  <c:v>2.2344688160179977E-19</c:v>
                </c:pt>
                <c:pt idx="640">
                  <c:v>2.231958176898876E-19</c:v>
                </c:pt>
                <c:pt idx="641">
                  <c:v>2.229453173333333E-19</c:v>
                </c:pt>
                <c:pt idx="642">
                  <c:v>2.2269537863677128E-19</c:v>
                </c:pt>
                <c:pt idx="643">
                  <c:v>2.2244599971332585E-19</c:v>
                </c:pt>
                <c:pt idx="644">
                  <c:v>2.2219717868456373E-19</c:v>
                </c:pt>
                <c:pt idx="645">
                  <c:v>2.2194891368044694E-19</c:v>
                </c:pt>
                <c:pt idx="646">
                  <c:v>2.217012028392857E-19</c:v>
                </c:pt>
                <c:pt idx="647">
                  <c:v>2.214540443076923E-19</c:v>
                </c:pt>
                <c:pt idx="648">
                  <c:v>2.2120743624053451E-19</c:v>
                </c:pt>
                <c:pt idx="649">
                  <c:v>2.2096137680088986E-19</c:v>
                </c:pt>
                <c:pt idx="650">
                  <c:v>2.2071586416E-19</c:v>
                </c:pt>
                <c:pt idx="651">
                  <c:v>2.2047089649722529E-19</c:v>
                </c:pt>
                <c:pt idx="652">
                  <c:v>2.2022647200000001E-19</c:v>
                </c:pt>
                <c:pt idx="653">
                  <c:v>2.1998258886378738E-19</c:v>
                </c:pt>
                <c:pt idx="654">
                  <c:v>2.1973924529203539E-19</c:v>
                </c:pt>
                <c:pt idx="655">
                  <c:v>2.1949643949613257E-19</c:v>
                </c:pt>
                <c:pt idx="656">
                  <c:v>2.1925416969536424E-19</c:v>
                </c:pt>
                <c:pt idx="657">
                  <c:v>2.190124341168688E-19</c:v>
                </c:pt>
                <c:pt idx="658">
                  <c:v>2.1877123099559471E-19</c:v>
                </c:pt>
                <c:pt idx="659">
                  <c:v>2.1853055857425743E-19</c:v>
                </c:pt>
                <c:pt idx="660">
                  <c:v>2.1829041510329666E-19</c:v>
                </c:pt>
                <c:pt idx="661">
                  <c:v>2.1805079884083424E-19</c:v>
                </c:pt>
                <c:pt idx="662">
                  <c:v>2.1781170805263159E-19</c:v>
                </c:pt>
                <c:pt idx="663">
                  <c:v>2.1757314101204821E-19</c:v>
                </c:pt>
                <c:pt idx="664">
                  <c:v>2.1733509599999996E-19</c:v>
                </c:pt>
                <c:pt idx="665">
                  <c:v>2.1709757130491801E-19</c:v>
                </c:pt>
                <c:pt idx="666">
                  <c:v>2.168605652227074E-19</c:v>
                </c:pt>
                <c:pt idx="667">
                  <c:v>2.1662407605670662E-19</c:v>
                </c:pt>
                <c:pt idx="668">
                  <c:v>2.1638810211764705E-19</c:v>
                </c:pt>
                <c:pt idx="669">
                  <c:v>2.1615264172361261E-19</c:v>
                </c:pt>
                <c:pt idx="670">
                  <c:v>2.1591769319999998E-19</c:v>
                </c:pt>
                <c:pt idx="671">
                  <c:v>2.1568325487947881E-19</c:v>
                </c:pt>
                <c:pt idx="672">
                  <c:v>2.1544932510195226E-19</c:v>
                </c:pt>
                <c:pt idx="673">
                  <c:v>2.1521590221451789E-19</c:v>
                </c:pt>
                <c:pt idx="674">
                  <c:v>2.1498298457142854E-19</c:v>
                </c:pt>
                <c:pt idx="675">
                  <c:v>2.1475057053405405E-19</c:v>
                </c:pt>
                <c:pt idx="676">
                  <c:v>2.1451865847084234E-19</c:v>
                </c:pt>
                <c:pt idx="677">
                  <c:v>2.1428724675728154E-19</c:v>
                </c:pt>
                <c:pt idx="678">
                  <c:v>2.1405633377586204E-19</c:v>
                </c:pt>
                <c:pt idx="679">
                  <c:v>2.1382591791603874E-19</c:v>
                </c:pt>
                <c:pt idx="680">
                  <c:v>2.1359599757419356E-19</c:v>
                </c:pt>
                <c:pt idx="681">
                  <c:v>2.1336657115359826E-19</c:v>
                </c:pt>
                <c:pt idx="682">
                  <c:v>2.1313763706437766E-19</c:v>
                </c:pt>
                <c:pt idx="683">
                  <c:v>2.1290919372347266E-19</c:v>
                </c:pt>
                <c:pt idx="684">
                  <c:v>2.1268123955460384E-19</c:v>
                </c:pt>
                <c:pt idx="685">
                  <c:v>2.1245377298823529E-19</c:v>
                </c:pt>
                <c:pt idx="686">
                  <c:v>2.1222679246153846E-19</c:v>
                </c:pt>
                <c:pt idx="687">
                  <c:v>2.1200029641835646E-19</c:v>
                </c:pt>
                <c:pt idx="688">
                  <c:v>2.1177428330916842E-19</c:v>
                </c:pt>
                <c:pt idx="689">
                  <c:v>2.115487515910543E-19</c:v>
                </c:pt>
                <c:pt idx="690">
                  <c:v>2.1132369972765957E-19</c:v>
                </c:pt>
                <c:pt idx="691">
                  <c:v>2.1109912618916046E-19</c:v>
                </c:pt>
                <c:pt idx="692">
                  <c:v>2.1087502945222929E-19</c:v>
                </c:pt>
                <c:pt idx="693">
                  <c:v>2.10651408E-19</c:v>
                </c:pt>
                <c:pt idx="694">
                  <c:v>2.1042826032203389E-19</c:v>
                </c:pt>
                <c:pt idx="695">
                  <c:v>2.1020558491428571E-19</c:v>
                </c:pt>
                <c:pt idx="696">
                  <c:v>2.0998338027906976E-19</c:v>
                </c:pt>
                <c:pt idx="697">
                  <c:v>2.0976164492502639E-19</c:v>
                </c:pt>
                <c:pt idx="698">
                  <c:v>2.0954037736708859E-19</c:v>
                </c:pt>
                <c:pt idx="699">
                  <c:v>2.0931957612644889E-19</c:v>
                </c:pt>
                <c:pt idx="700">
                  <c:v>2.0909923973052632E-19</c:v>
                </c:pt>
                <c:pt idx="701">
                  <c:v>2.0887936671293372E-19</c:v>
                </c:pt>
                <c:pt idx="702">
                  <c:v>2.0865995561344535E-19</c:v>
                </c:pt>
                <c:pt idx="703">
                  <c:v>2.0844100497796432E-19</c:v>
                </c:pt>
                <c:pt idx="704">
                  <c:v>2.0822251335849054E-19</c:v>
                </c:pt>
                <c:pt idx="705">
                  <c:v>2.0800447931308901E-19</c:v>
                </c:pt>
                <c:pt idx="706">
                  <c:v>2.0778690140585772E-19</c:v>
                </c:pt>
                <c:pt idx="707">
                  <c:v>2.0756977820689652E-19</c:v>
                </c:pt>
                <c:pt idx="708">
                  <c:v>2.0735310829227557E-19</c:v>
                </c:pt>
                <c:pt idx="709">
                  <c:v>2.0713689024400415E-19</c:v>
                </c:pt>
                <c:pt idx="710">
                  <c:v>2.0692112264999997E-19</c:v>
                </c:pt>
                <c:pt idx="711">
                  <c:v>2.0670580410405827E-19</c:v>
                </c:pt>
                <c:pt idx="712">
                  <c:v>2.0649093320582118E-19</c:v>
                </c:pt>
                <c:pt idx="713">
                  <c:v>2.0627650856074763E-19</c:v>
                </c:pt>
                <c:pt idx="714">
                  <c:v>2.0606252878008298E-19</c:v>
                </c:pt>
                <c:pt idx="715">
                  <c:v>2.05848992480829E-19</c:v>
                </c:pt>
                <c:pt idx="716">
                  <c:v>2.0563589828571428E-19</c:v>
                </c:pt>
                <c:pt idx="717">
                  <c:v>2.0542324482316441E-19</c:v>
                </c:pt>
                <c:pt idx="718">
                  <c:v>2.052110307272727E-19</c:v>
                </c:pt>
                <c:pt idx="719">
                  <c:v>2.0499925463777089E-19</c:v>
                </c:pt>
                <c:pt idx="720">
                  <c:v>2.0478791519999999E-19</c:v>
                </c:pt>
                <c:pt idx="721">
                  <c:v>2.0457701106488155E-19</c:v>
                </c:pt>
                <c:pt idx="722">
                  <c:v>2.043665408888889E-19</c:v>
                </c:pt>
                <c:pt idx="723">
                  <c:v>2.0415650333401849E-19</c:v>
                </c:pt>
                <c:pt idx="724">
                  <c:v>2.0394689706776179E-19</c:v>
                </c:pt>
                <c:pt idx="725">
                  <c:v>2.0373772076307693E-19</c:v>
                </c:pt>
                <c:pt idx="726">
                  <c:v>2.0352897309836064E-19</c:v>
                </c:pt>
                <c:pt idx="727">
                  <c:v>2.0332065275742064E-19</c:v>
                </c:pt>
                <c:pt idx="728">
                  <c:v>2.0311275842944784E-19</c:v>
                </c:pt>
                <c:pt idx="729">
                  <c:v>2.0290528880898873E-19</c:v>
                </c:pt>
                <c:pt idx="730">
                  <c:v>2.0269824259591838E-19</c:v>
                </c:pt>
                <c:pt idx="731">
                  <c:v>2.0249161849541284E-19</c:v>
                </c:pt>
                <c:pt idx="732">
                  <c:v>2.0228541521792258E-19</c:v>
                </c:pt>
                <c:pt idx="733">
                  <c:v>2.0207963147914548E-19</c:v>
                </c:pt>
                <c:pt idx="734">
                  <c:v>2.0187426599999999E-19</c:v>
                </c:pt>
                <c:pt idx="735">
                  <c:v>2.0166931750659896E-19</c:v>
                </c:pt>
                <c:pt idx="736">
                  <c:v>2.0146478473022313E-19</c:v>
                </c:pt>
                <c:pt idx="737">
                  <c:v>2.0126066640729483E-19</c:v>
                </c:pt>
                <c:pt idx="738">
                  <c:v>2.0105696127935219E-19</c:v>
                </c:pt>
                <c:pt idx="739">
                  <c:v>2.0085366809302326E-19</c:v>
                </c:pt>
                <c:pt idx="740">
                  <c:v>2.0065078559999998E-19</c:v>
                </c:pt>
                <c:pt idx="741">
                  <c:v>2.0044831255701308E-19</c:v>
                </c:pt>
                <c:pt idx="742">
                  <c:v>2.0024624772580646E-19</c:v>
                </c:pt>
                <c:pt idx="743">
                  <c:v>2.0004458987311177E-19</c:v>
                </c:pt>
                <c:pt idx="744">
                  <c:v>1.9984333777062372E-19</c:v>
                </c:pt>
                <c:pt idx="745">
                  <c:v>1.9964249019497487E-19</c:v>
                </c:pt>
                <c:pt idx="746">
                  <c:v>1.9944204592771083E-19</c:v>
                </c:pt>
                <c:pt idx="747">
                  <c:v>1.9924200375526581E-19</c:v>
                </c:pt>
                <c:pt idx="748">
                  <c:v>1.9904236246893788E-19</c:v>
                </c:pt>
                <c:pt idx="749">
                  <c:v>1.9884312086486484E-19</c:v>
                </c:pt>
                <c:pt idx="750">
                  <c:v>1.98644277744E-19</c:v>
                </c:pt>
                <c:pt idx="751">
                  <c:v>1.9844583191208791E-19</c:v>
                </c:pt>
                <c:pt idx="752">
                  <c:v>1.9824778217964069E-19</c:v>
                </c:pt>
                <c:pt idx="753">
                  <c:v>1.9805012736191425E-19</c:v>
                </c:pt>
                <c:pt idx="754">
                  <c:v>1.9785286627888446E-19</c:v>
                </c:pt>
                <c:pt idx="755">
                  <c:v>1.9765599775522385E-19</c:v>
                </c:pt>
                <c:pt idx="756">
                  <c:v>1.9745952062027834E-19</c:v>
                </c:pt>
                <c:pt idx="757">
                  <c:v>1.9726343370804367E-19</c:v>
                </c:pt>
                <c:pt idx="758">
                  <c:v>1.9706773585714282E-19</c:v>
                </c:pt>
                <c:pt idx="759">
                  <c:v>1.9687242591080278E-19</c:v>
                </c:pt>
                <c:pt idx="760">
                  <c:v>1.9667750271683167E-19</c:v>
                </c:pt>
                <c:pt idx="761">
                  <c:v>1.9648296512759645E-19</c:v>
                </c:pt>
                <c:pt idx="762">
                  <c:v>1.96288812E-19</c:v>
                </c:pt>
                <c:pt idx="763">
                  <c:v>1.96095042195459E-19</c:v>
                </c:pt>
                <c:pt idx="764">
                  <c:v>1.9590165457988167E-19</c:v>
                </c:pt>
                <c:pt idx="765">
                  <c:v>1.9570864802364532E-19</c:v>
                </c:pt>
                <c:pt idx="766">
                  <c:v>1.9551602140157478E-19</c:v>
                </c:pt>
                <c:pt idx="767">
                  <c:v>1.9532377359292035E-19</c:v>
                </c:pt>
                <c:pt idx="768">
                  <c:v>1.9513190348133593E-19</c:v>
                </c:pt>
                <c:pt idx="769">
                  <c:v>1.9494040995485769E-19</c:v>
                </c:pt>
                <c:pt idx="770">
                  <c:v>1.9474929190588236E-19</c:v>
                </c:pt>
                <c:pt idx="771">
                  <c:v>1.9455854823114593E-19</c:v>
                </c:pt>
                <c:pt idx="772">
                  <c:v>1.9436817783170253E-19</c:v>
                </c:pt>
                <c:pt idx="773">
                  <c:v>1.9417817961290322E-19</c:v>
                </c:pt>
                <c:pt idx="774">
                  <c:v>1.9398855248437498E-19</c:v>
                </c:pt>
                <c:pt idx="775">
                  <c:v>1.9379929535999996E-19</c:v>
                </c:pt>
                <c:pt idx="776">
                  <c:v>1.9361040715789474E-19</c:v>
                </c:pt>
                <c:pt idx="777">
                  <c:v>1.9342188680038946E-19</c:v>
                </c:pt>
                <c:pt idx="778">
                  <c:v>1.9323373321400779E-19</c:v>
                </c:pt>
                <c:pt idx="779">
                  <c:v>1.9304594532944606E-19</c:v>
                </c:pt>
                <c:pt idx="780">
                  <c:v>1.9285852208155337E-19</c:v>
                </c:pt>
                <c:pt idx="781">
                  <c:v>1.9267146240931136E-19</c:v>
                </c:pt>
                <c:pt idx="782">
                  <c:v>1.9248476525581395E-19</c:v>
                </c:pt>
                <c:pt idx="783">
                  <c:v>1.922984295682478E-19</c:v>
                </c:pt>
                <c:pt idx="784">
                  <c:v>1.9211245429787235E-19</c:v>
                </c:pt>
                <c:pt idx="785">
                  <c:v>1.919268384E-19</c:v>
                </c:pt>
                <c:pt idx="786">
                  <c:v>1.9174158083397681E-19</c:v>
                </c:pt>
                <c:pt idx="787">
                  <c:v>1.9155668056316298E-19</c:v>
                </c:pt>
                <c:pt idx="788">
                  <c:v>1.9137213655491328E-19</c:v>
                </c:pt>
                <c:pt idx="789">
                  <c:v>1.911879477805582E-19</c:v>
                </c:pt>
                <c:pt idx="790">
                  <c:v>1.9100411321538462E-19</c:v>
                </c:pt>
                <c:pt idx="791">
                  <c:v>1.908206318386167E-19</c:v>
                </c:pt>
                <c:pt idx="792">
                  <c:v>1.9063750263339733E-19</c:v>
                </c:pt>
                <c:pt idx="793">
                  <c:v>1.9045472458676893E-19</c:v>
                </c:pt>
                <c:pt idx="794">
                  <c:v>1.9027229668965515E-19</c:v>
                </c:pt>
                <c:pt idx="795">
                  <c:v>1.900902179368421E-19</c:v>
                </c:pt>
                <c:pt idx="796">
                  <c:v>1.8990848732695985E-19</c:v>
                </c:pt>
                <c:pt idx="797">
                  <c:v>1.8972710386246416E-19</c:v>
                </c:pt>
                <c:pt idx="798">
                  <c:v>1.8954606654961833E-19</c:v>
                </c:pt>
                <c:pt idx="799">
                  <c:v>1.8936537439847472E-19</c:v>
                </c:pt>
                <c:pt idx="800">
                  <c:v>1.8918502642285712E-19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FE-4C71-A014-FF2ADB0F709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Spectra!$C$3:$C$803</c:f>
              <c:numCache>
                <c:formatCode>0.00E+00</c:formatCode>
                <c:ptCount val="801"/>
                <c:pt idx="0">
                  <c:v>4.0141385007278041E-2</c:v>
                </c:pt>
                <c:pt idx="1">
                  <c:v>4.0067627636363484E-2</c:v>
                </c:pt>
                <c:pt idx="2">
                  <c:v>3.8142772925764158E-2</c:v>
                </c:pt>
                <c:pt idx="3">
                  <c:v>3.4623499999999974E-2</c:v>
                </c:pt>
                <c:pt idx="4">
                  <c:v>3.367713973799126E-2</c:v>
                </c:pt>
                <c:pt idx="5">
                  <c:v>3.3362731441047996E-2</c:v>
                </c:pt>
                <c:pt idx="6">
                  <c:v>3.8476650655021746E-2</c:v>
                </c:pt>
                <c:pt idx="7">
                  <c:v>3.9769470160116407E-2</c:v>
                </c:pt>
                <c:pt idx="8">
                  <c:v>3.907540829694317E-2</c:v>
                </c:pt>
                <c:pt idx="9">
                  <c:v>3.9034710334788933E-2</c:v>
                </c:pt>
                <c:pt idx="10">
                  <c:v>3.5144144104803474E-2</c:v>
                </c:pt>
                <c:pt idx="11">
                  <c:v>3.6658139737991313E-2</c:v>
                </c:pt>
                <c:pt idx="12">
                  <c:v>3.7885989810771403E-2</c:v>
                </c:pt>
                <c:pt idx="13">
                  <c:v>3.6741783114992606E-2</c:v>
                </c:pt>
                <c:pt idx="14">
                  <c:v>3.992682678311503E-2</c:v>
                </c:pt>
                <c:pt idx="15">
                  <c:v>4.1303025491624137E-2</c:v>
                </c:pt>
                <c:pt idx="16">
                  <c:v>3.9625443231441036E-2</c:v>
                </c:pt>
                <c:pt idx="17">
                  <c:v>3.8771644573925693E-2</c:v>
                </c:pt>
                <c:pt idx="18">
                  <c:v>3.878467225054625E-2</c:v>
                </c:pt>
                <c:pt idx="19">
                  <c:v>3.7934856518572473E-2</c:v>
                </c:pt>
                <c:pt idx="20">
                  <c:v>3.7383426491994012E-2</c:v>
                </c:pt>
                <c:pt idx="21">
                  <c:v>3.6770162299854407E-2</c:v>
                </c:pt>
                <c:pt idx="22">
                  <c:v>3.7081052439912582E-2</c:v>
                </c:pt>
                <c:pt idx="23">
                  <c:v>3.7829776402039321E-2</c:v>
                </c:pt>
                <c:pt idx="24">
                  <c:v>3.6618138383102627E-2</c:v>
                </c:pt>
                <c:pt idx="25">
                  <c:v>3.3003621267297792E-2</c:v>
                </c:pt>
                <c:pt idx="26">
                  <c:v>3.6584307580174939E-2</c:v>
                </c:pt>
                <c:pt idx="27">
                  <c:v>3.5752140568099E-2</c:v>
                </c:pt>
                <c:pt idx="28">
                  <c:v>3.5936055353241056E-2</c:v>
                </c:pt>
                <c:pt idx="29">
                  <c:v>3.6859276239067047E-2</c:v>
                </c:pt>
                <c:pt idx="30">
                  <c:v>3.2241332847778498E-2</c:v>
                </c:pt>
                <c:pt idx="31">
                  <c:v>3.7842120174799689E-2</c:v>
                </c:pt>
                <c:pt idx="32">
                  <c:v>3.8186746355685114E-2</c:v>
                </c:pt>
                <c:pt idx="33">
                  <c:v>3.6965935860058322E-2</c:v>
                </c:pt>
                <c:pt idx="34">
                  <c:v>3.593427405247808E-2</c:v>
                </c:pt>
                <c:pt idx="35">
                  <c:v>3.5343457725947526E-2</c:v>
                </c:pt>
                <c:pt idx="36">
                  <c:v>3.5461519679300162E-2</c:v>
                </c:pt>
                <c:pt idx="37">
                  <c:v>3.5308607142857142E-2</c:v>
                </c:pt>
                <c:pt idx="38">
                  <c:v>3.5524358600583082E-2</c:v>
                </c:pt>
                <c:pt idx="39">
                  <c:v>3.53127448979592E-2</c:v>
                </c:pt>
                <c:pt idx="40">
                  <c:v>3.6413673469387696E-2</c:v>
                </c:pt>
                <c:pt idx="41">
                  <c:v>3.6704293216630192E-2</c:v>
                </c:pt>
                <c:pt idx="42">
                  <c:v>3.7533164723032066E-2</c:v>
                </c:pt>
                <c:pt idx="43">
                  <c:v>3.5515638949671816E-2</c:v>
                </c:pt>
                <c:pt idx="44">
                  <c:v>3.5731148796498927E-2</c:v>
                </c:pt>
                <c:pt idx="45">
                  <c:v>3.5510592997811813E-2</c:v>
                </c:pt>
                <c:pt idx="46">
                  <c:v>3.6939306345733003E-2</c:v>
                </c:pt>
                <c:pt idx="47">
                  <c:v>3.6147816921954658E-2</c:v>
                </c:pt>
                <c:pt idx="48">
                  <c:v>3.6103547445255457E-2</c:v>
                </c:pt>
                <c:pt idx="49">
                  <c:v>3.6746242888402655E-2</c:v>
                </c:pt>
                <c:pt idx="50">
                  <c:v>3.6698957664233561E-2</c:v>
                </c:pt>
                <c:pt idx="51">
                  <c:v>3.6988939416058395E-2</c:v>
                </c:pt>
                <c:pt idx="52">
                  <c:v>3.6314524087591241E-2</c:v>
                </c:pt>
                <c:pt idx="53">
                  <c:v>3.6514105109489034E-2</c:v>
                </c:pt>
                <c:pt idx="54">
                  <c:v>3.6216640145985413E-2</c:v>
                </c:pt>
                <c:pt idx="55">
                  <c:v>3.5645350364963496E-2</c:v>
                </c:pt>
                <c:pt idx="56">
                  <c:v>3.5383440145985406E-2</c:v>
                </c:pt>
                <c:pt idx="57">
                  <c:v>3.5410541514930796E-2</c:v>
                </c:pt>
                <c:pt idx="58">
                  <c:v>3.5492643845593613E-2</c:v>
                </c:pt>
                <c:pt idx="59">
                  <c:v>3.4917888565185726E-2</c:v>
                </c:pt>
                <c:pt idx="60">
                  <c:v>3.5065802257829577E-2</c:v>
                </c:pt>
                <c:pt idx="61">
                  <c:v>3.5230900218499631E-2</c:v>
                </c:pt>
                <c:pt idx="62">
                  <c:v>3.4335318529304687E-2</c:v>
                </c:pt>
                <c:pt idx="63">
                  <c:v>3.4408914056809903E-2</c:v>
                </c:pt>
                <c:pt idx="64">
                  <c:v>3.5068244355426069E-2</c:v>
                </c:pt>
                <c:pt idx="65">
                  <c:v>3.4827016381507092E-2</c:v>
                </c:pt>
                <c:pt idx="66">
                  <c:v>3.3892900946831742E-2</c:v>
                </c:pt>
                <c:pt idx="67">
                  <c:v>3.4438926101201292E-2</c:v>
                </c:pt>
                <c:pt idx="68">
                  <c:v>3.3230007647487264E-2</c:v>
                </c:pt>
                <c:pt idx="69">
                  <c:v>3.3735548434085945E-2</c:v>
                </c:pt>
                <c:pt idx="70">
                  <c:v>3.4174798325445926E-2</c:v>
                </c:pt>
                <c:pt idx="71">
                  <c:v>3.3589507462686526E-2</c:v>
                </c:pt>
                <c:pt idx="72">
                  <c:v>3.357199235529669E-2</c:v>
                </c:pt>
                <c:pt idx="73">
                  <c:v>3.2923428467418997E-2</c:v>
                </c:pt>
                <c:pt idx="74">
                  <c:v>3.2929593010556979E-2</c:v>
                </c:pt>
                <c:pt idx="75">
                  <c:v>3.3213032751091692E-2</c:v>
                </c:pt>
                <c:pt idx="76">
                  <c:v>3.3429611576265006E-2</c:v>
                </c:pt>
                <c:pt idx="77">
                  <c:v>3.3401945394976332E-2</c:v>
                </c:pt>
                <c:pt idx="78">
                  <c:v>3.3015337336244524E-2</c:v>
                </c:pt>
                <c:pt idx="79">
                  <c:v>3.3314721514379322E-2</c:v>
                </c:pt>
                <c:pt idx="80">
                  <c:v>3.3496275836972338E-2</c:v>
                </c:pt>
                <c:pt idx="81">
                  <c:v>3.3203901382823857E-2</c:v>
                </c:pt>
                <c:pt idx="82">
                  <c:v>3.3087401018922866E-2</c:v>
                </c:pt>
                <c:pt idx="83">
                  <c:v>3.2725778748180487E-2</c:v>
                </c:pt>
                <c:pt idx="84">
                  <c:v>3.2204831816527113E-2</c:v>
                </c:pt>
                <c:pt idx="85">
                  <c:v>3.2023820960698682E-2</c:v>
                </c:pt>
                <c:pt idx="86">
                  <c:v>3.2069366448326052E-2</c:v>
                </c:pt>
                <c:pt idx="87">
                  <c:v>3.2182731441048031E-2</c:v>
                </c:pt>
                <c:pt idx="88">
                  <c:v>3.2046939592430865E-2</c:v>
                </c:pt>
                <c:pt idx="89">
                  <c:v>3.2188286026200857E-2</c:v>
                </c:pt>
                <c:pt idx="90">
                  <c:v>3.240202620087336E-2</c:v>
                </c:pt>
                <c:pt idx="91">
                  <c:v>3.2201300582241611E-2</c:v>
                </c:pt>
                <c:pt idx="92">
                  <c:v>3.210361426491995E-2</c:v>
                </c:pt>
                <c:pt idx="93">
                  <c:v>3.2344067321688492E-2</c:v>
                </c:pt>
                <c:pt idx="94">
                  <c:v>3.1774171761280952E-2</c:v>
                </c:pt>
                <c:pt idx="95">
                  <c:v>3.2035269286753987E-2</c:v>
                </c:pt>
                <c:pt idx="96">
                  <c:v>3.1643543668122269E-2</c:v>
                </c:pt>
                <c:pt idx="97">
                  <c:v>3.1825120087336241E-2</c:v>
                </c:pt>
                <c:pt idx="98">
                  <c:v>3.1546999999999992E-2</c:v>
                </c:pt>
                <c:pt idx="99">
                  <c:v>3.1217778020378451E-2</c:v>
                </c:pt>
                <c:pt idx="100">
                  <c:v>3.1374091305929427E-2</c:v>
                </c:pt>
                <c:pt idx="101">
                  <c:v>3.1125632957439066E-2</c:v>
                </c:pt>
                <c:pt idx="102">
                  <c:v>3.1455123726346429E-2</c:v>
                </c:pt>
                <c:pt idx="103">
                  <c:v>3.1221414332484536E-2</c:v>
                </c:pt>
                <c:pt idx="104">
                  <c:v>3.1229935976718803E-2</c:v>
                </c:pt>
                <c:pt idx="105">
                  <c:v>3.1376128046562382E-2</c:v>
                </c:pt>
                <c:pt idx="106">
                  <c:v>3.1081697344488905E-2</c:v>
                </c:pt>
                <c:pt idx="107">
                  <c:v>3.0666332484539826E-2</c:v>
                </c:pt>
                <c:pt idx="108">
                  <c:v>3.0610155692979264E-2</c:v>
                </c:pt>
                <c:pt idx="109">
                  <c:v>3.0658622771917055E-2</c:v>
                </c:pt>
                <c:pt idx="110">
                  <c:v>3.0661583697234342E-2</c:v>
                </c:pt>
                <c:pt idx="111">
                  <c:v>3.0448321571480537E-2</c:v>
                </c:pt>
                <c:pt idx="112">
                  <c:v>3.0455379410694795E-2</c:v>
                </c:pt>
                <c:pt idx="113">
                  <c:v>3.0306499090578386E-2</c:v>
                </c:pt>
                <c:pt idx="114">
                  <c:v>3.0362088395780282E-2</c:v>
                </c:pt>
                <c:pt idx="115">
                  <c:v>3.0264964350672968E-2</c:v>
                </c:pt>
                <c:pt idx="116">
                  <c:v>3.0210345818181817E-2</c:v>
                </c:pt>
                <c:pt idx="117">
                  <c:v>3.0163623135685696E-2</c:v>
                </c:pt>
                <c:pt idx="118">
                  <c:v>2.9917001091305927E-2</c:v>
                </c:pt>
                <c:pt idx="119">
                  <c:v>2.9956047653692246E-2</c:v>
                </c:pt>
                <c:pt idx="120">
                  <c:v>3.0613310658421246E-2</c:v>
                </c:pt>
                <c:pt idx="121">
                  <c:v>3.0952683157511804E-2</c:v>
                </c:pt>
                <c:pt idx="122">
                  <c:v>3.1892388141142244E-2</c:v>
                </c:pt>
                <c:pt idx="123">
                  <c:v>3.6673127682793918E-2</c:v>
                </c:pt>
                <c:pt idx="124">
                  <c:v>3.8650581818181769E-2</c:v>
                </c:pt>
                <c:pt idx="125">
                  <c:v>3.2116435067297174E-2</c:v>
                </c:pt>
                <c:pt idx="126">
                  <c:v>4.7593600000000007E-2</c:v>
                </c:pt>
                <c:pt idx="127">
                  <c:v>3.3330661818181721E-2</c:v>
                </c:pt>
                <c:pt idx="128">
                  <c:v>5.3705776646053263E-2</c:v>
                </c:pt>
                <c:pt idx="129">
                  <c:v>5.5029029101491572E-2</c:v>
                </c:pt>
                <c:pt idx="130">
                  <c:v>3.4896469625318331E-2</c:v>
                </c:pt>
                <c:pt idx="131">
                  <c:v>6.3111813022917226E-2</c:v>
                </c:pt>
                <c:pt idx="132">
                  <c:v>7.0936118952346305E-2</c:v>
                </c:pt>
                <c:pt idx="133">
                  <c:v>4.861081957075275E-2</c:v>
                </c:pt>
                <c:pt idx="134">
                  <c:v>4.0460126591488219E-2</c:v>
                </c:pt>
                <c:pt idx="135">
                  <c:v>7.0672967272727538E-2</c:v>
                </c:pt>
                <c:pt idx="136">
                  <c:v>8.1326989090909116E-2</c:v>
                </c:pt>
                <c:pt idx="137">
                  <c:v>8.0382083999999965E-2</c:v>
                </c:pt>
                <c:pt idx="138">
                  <c:v>6.1679262545455166E-2</c:v>
                </c:pt>
                <c:pt idx="139">
                  <c:v>3.4895327272727358E-2</c:v>
                </c:pt>
                <c:pt idx="140">
                  <c:v>6.1085666787922703E-2</c:v>
                </c:pt>
                <c:pt idx="141">
                  <c:v>8.0670890545454413E-2</c:v>
                </c:pt>
                <c:pt idx="142">
                  <c:v>8.6541595853037459E-2</c:v>
                </c:pt>
                <c:pt idx="143">
                  <c:v>8.5357059658057441E-2</c:v>
                </c:pt>
                <c:pt idx="144">
                  <c:v>8.4668656966169459E-2</c:v>
                </c:pt>
                <c:pt idx="145">
                  <c:v>7.9867565090908865E-2</c:v>
                </c:pt>
                <c:pt idx="146">
                  <c:v>6.2433880000000122E-2</c:v>
                </c:pt>
                <c:pt idx="147">
                  <c:v>3.4482889778101093E-2</c:v>
                </c:pt>
                <c:pt idx="148">
                  <c:v>5.6540742545454797E-2</c:v>
                </c:pt>
                <c:pt idx="149">
                  <c:v>7.6232807999999791E-2</c:v>
                </c:pt>
                <c:pt idx="150">
                  <c:v>8.3352801018552164E-2</c:v>
                </c:pt>
                <c:pt idx="151">
                  <c:v>8.5806995636363612E-2</c:v>
                </c:pt>
                <c:pt idx="152">
                  <c:v>8.6410336122226247E-2</c:v>
                </c:pt>
                <c:pt idx="153">
                  <c:v>8.5873530909090917E-2</c:v>
                </c:pt>
                <c:pt idx="154">
                  <c:v>8.598769309090909E-2</c:v>
                </c:pt>
                <c:pt idx="155">
                  <c:v>8.4749548563113855E-2</c:v>
                </c:pt>
                <c:pt idx="156">
                  <c:v>8.2905397818181792E-2</c:v>
                </c:pt>
                <c:pt idx="157">
                  <c:v>8.0392809090909151E-2</c:v>
                </c:pt>
                <c:pt idx="158">
                  <c:v>7.5513179701709621E-2</c:v>
                </c:pt>
                <c:pt idx="159">
                  <c:v>6.197736485994907E-2</c:v>
                </c:pt>
                <c:pt idx="160">
                  <c:v>3.5830963259367361E-2</c:v>
                </c:pt>
                <c:pt idx="161">
                  <c:v>4.821512768279429E-2</c:v>
                </c:pt>
                <c:pt idx="162">
                  <c:v>6.7620016363635946E-2</c:v>
                </c:pt>
                <c:pt idx="163">
                  <c:v>7.4943311272727173E-2</c:v>
                </c:pt>
                <c:pt idx="164">
                  <c:v>7.8725074572571857E-2</c:v>
                </c:pt>
                <c:pt idx="165">
                  <c:v>7.9493451272727264E-2</c:v>
                </c:pt>
                <c:pt idx="166">
                  <c:v>7.9820329090909081E-2</c:v>
                </c:pt>
                <c:pt idx="167">
                  <c:v>7.9192150545454476E-2</c:v>
                </c:pt>
                <c:pt idx="168">
                  <c:v>7.8467165878501263E-2</c:v>
                </c:pt>
                <c:pt idx="169">
                  <c:v>7.8822909057839202E-2</c:v>
                </c:pt>
                <c:pt idx="170">
                  <c:v>7.7955608886389249E-2</c:v>
                </c:pt>
                <c:pt idx="171">
                  <c:v>7.787788225829384E-2</c:v>
                </c:pt>
                <c:pt idx="172">
                  <c:v>7.6998785777146889E-2</c:v>
                </c:pt>
                <c:pt idx="173">
                  <c:v>7.5763946229933932E-2</c:v>
                </c:pt>
                <c:pt idx="174">
                  <c:v>7.5591989861143807E-2</c:v>
                </c:pt>
                <c:pt idx="175">
                  <c:v>7.4890094133395937E-2</c:v>
                </c:pt>
                <c:pt idx="176">
                  <c:v>7.4639512521657667E-2</c:v>
                </c:pt>
                <c:pt idx="177">
                  <c:v>7.3987956735218491E-2</c:v>
                </c:pt>
                <c:pt idx="178">
                  <c:v>7.3577641842350716E-2</c:v>
                </c:pt>
                <c:pt idx="179">
                  <c:v>7.2417567449430384E-2</c:v>
                </c:pt>
                <c:pt idx="180">
                  <c:v>7.0305940626595509E-2</c:v>
                </c:pt>
                <c:pt idx="181">
                  <c:v>6.815653007179244E-2</c:v>
                </c:pt>
                <c:pt idx="182">
                  <c:v>6.3484791067714277E-2</c:v>
                </c:pt>
                <c:pt idx="183">
                  <c:v>4.9925041604056322E-2</c:v>
                </c:pt>
                <c:pt idx="184">
                  <c:v>2.9668498942042619E-2</c:v>
                </c:pt>
                <c:pt idx="185">
                  <c:v>4.2439929903603263E-2</c:v>
                </c:pt>
                <c:pt idx="186">
                  <c:v>5.9401705711670576E-2</c:v>
                </c:pt>
                <c:pt idx="187">
                  <c:v>6.5544843112582851E-2</c:v>
                </c:pt>
                <c:pt idx="188">
                  <c:v>6.7142624817684571E-2</c:v>
                </c:pt>
                <c:pt idx="189">
                  <c:v>6.7159762824358107E-2</c:v>
                </c:pt>
                <c:pt idx="190">
                  <c:v>6.7597306958493988E-2</c:v>
                </c:pt>
                <c:pt idx="191">
                  <c:v>6.7623486634985283E-2</c:v>
                </c:pt>
                <c:pt idx="192">
                  <c:v>6.7105814960469828E-2</c:v>
                </c:pt>
                <c:pt idx="193">
                  <c:v>6.7336541483900003E-2</c:v>
                </c:pt>
                <c:pt idx="194">
                  <c:v>6.6795868701123584E-2</c:v>
                </c:pt>
                <c:pt idx="195">
                  <c:v>6.6284718383045518E-2</c:v>
                </c:pt>
                <c:pt idx="196">
                  <c:v>6.6084953643688438E-2</c:v>
                </c:pt>
                <c:pt idx="197">
                  <c:v>6.5038004838205765E-2</c:v>
                </c:pt>
                <c:pt idx="198">
                  <c:v>6.3945537992871448E-2</c:v>
                </c:pt>
                <c:pt idx="199">
                  <c:v>6.4287942920649016E-2</c:v>
                </c:pt>
                <c:pt idx="200">
                  <c:v>6.4301141435544718E-2</c:v>
                </c:pt>
                <c:pt idx="201">
                  <c:v>6.3723816156741192E-2</c:v>
                </c:pt>
                <c:pt idx="202">
                  <c:v>6.3066918291390717E-2</c:v>
                </c:pt>
                <c:pt idx="203">
                  <c:v>6.2868674878854641E-2</c:v>
                </c:pt>
                <c:pt idx="204">
                  <c:v>6.2568704671356334E-2</c:v>
                </c:pt>
                <c:pt idx="205">
                  <c:v>6.1348523042333875E-2</c:v>
                </c:pt>
                <c:pt idx="206">
                  <c:v>6.1276885382088878E-2</c:v>
                </c:pt>
                <c:pt idx="207">
                  <c:v>6.1480900403841965E-2</c:v>
                </c:pt>
                <c:pt idx="208">
                  <c:v>6.070071424836597E-2</c:v>
                </c:pt>
                <c:pt idx="209">
                  <c:v>6.0308004500978465E-2</c:v>
                </c:pt>
                <c:pt idx="210">
                  <c:v>6.0629011431980899E-2</c:v>
                </c:pt>
                <c:pt idx="211">
                  <c:v>6.0333217173489287E-2</c:v>
                </c:pt>
                <c:pt idx="212">
                  <c:v>5.944897325264753E-2</c:v>
                </c:pt>
                <c:pt idx="213">
                  <c:v>5.8966555905172413E-2</c:v>
                </c:pt>
                <c:pt idx="214">
                  <c:v>5.8911100683870961E-2</c:v>
                </c:pt>
                <c:pt idx="215">
                  <c:v>5.8778274115879818E-2</c:v>
                </c:pt>
                <c:pt idx="216">
                  <c:v>5.8333723092739348E-2</c:v>
                </c:pt>
                <c:pt idx="217">
                  <c:v>5.7865188572039324E-2</c:v>
                </c:pt>
                <c:pt idx="218">
                  <c:v>5.771688505119453E-2</c:v>
                </c:pt>
                <c:pt idx="219">
                  <c:v>5.7340710538641669E-2</c:v>
                </c:pt>
                <c:pt idx="220">
                  <c:v>5.6939103238539873E-2</c:v>
                </c:pt>
                <c:pt idx="221">
                  <c:v>5.653825406058037E-2</c:v>
                </c:pt>
                <c:pt idx="222">
                  <c:v>5.6157599723102927E-2</c:v>
                </c:pt>
                <c:pt idx="223">
                  <c:v>5.5741386367088606E-2</c:v>
                </c:pt>
                <c:pt idx="224">
                  <c:v>5.5394443289113499E-2</c:v>
                </c:pt>
                <c:pt idx="225">
                  <c:v>5.5125171796595922E-2</c:v>
                </c:pt>
                <c:pt idx="226">
                  <c:v>5.4728383020134233E-2</c:v>
                </c:pt>
                <c:pt idx="227">
                  <c:v>5.4307860238593533E-2</c:v>
                </c:pt>
                <c:pt idx="228">
                  <c:v>5.3890138748694381E-2</c:v>
                </c:pt>
                <c:pt idx="229">
                  <c:v>5.3451003868415572E-2</c:v>
                </c:pt>
                <c:pt idx="230">
                  <c:v>5.2877644543753863E-2</c:v>
                </c:pt>
                <c:pt idx="231">
                  <c:v>5.2158611124481329E-2</c:v>
                </c:pt>
                <c:pt idx="232">
                  <c:v>5.1141539227903106E-2</c:v>
                </c:pt>
                <c:pt idx="233">
                  <c:v>4.9366753049586841E-2</c:v>
                </c:pt>
                <c:pt idx="234">
                  <c:v>4.5782883764948393E-2</c:v>
                </c:pt>
                <c:pt idx="235">
                  <c:v>3.7532726551440278E-2</c:v>
                </c:pt>
                <c:pt idx="236">
                  <c:v>2.5084923408624022E-2</c:v>
                </c:pt>
                <c:pt idx="237">
                  <c:v>3.0327029159664325E-2</c:v>
                </c:pt>
                <c:pt idx="238">
                  <c:v>4.1398235616690746E-2</c:v>
                </c:pt>
                <c:pt idx="239">
                  <c:v>4.6298366384976447E-2</c:v>
                </c:pt>
                <c:pt idx="240">
                  <c:v>4.8244765865933147E-2</c:v>
                </c:pt>
                <c:pt idx="241">
                  <c:v>4.8857526619231553E-2</c:v>
                </c:pt>
                <c:pt idx="242">
                  <c:v>4.8552349673361701E-2</c:v>
                </c:pt>
                <c:pt idx="243">
                  <c:v>4.8697365198460928E-2</c:v>
                </c:pt>
                <c:pt idx="244">
                  <c:v>4.8865113441794658E-2</c:v>
                </c:pt>
                <c:pt idx="245">
                  <c:v>4.863998773295683E-2</c:v>
                </c:pt>
                <c:pt idx="246">
                  <c:v>4.8229737451690832E-2</c:v>
                </c:pt>
                <c:pt idx="247">
                  <c:v>4.8204355391723581E-2</c:v>
                </c:pt>
                <c:pt idx="248">
                  <c:v>4.7865500064153958E-2</c:v>
                </c:pt>
                <c:pt idx="249">
                  <c:v>4.7551950430172067E-2</c:v>
                </c:pt>
                <c:pt idx="250">
                  <c:v>4.7189067396685935E-2</c:v>
                </c:pt>
                <c:pt idx="251">
                  <c:v>4.6883182797927449E-2</c:v>
                </c:pt>
                <c:pt idx="252">
                  <c:v>4.6187844647971342E-2</c:v>
                </c:pt>
                <c:pt idx="253">
                  <c:v>4.6437051730845572E-2</c:v>
                </c:pt>
                <c:pt idx="254">
                  <c:v>4.6045736488413536E-2</c:v>
                </c:pt>
                <c:pt idx="255">
                  <c:v>4.588603733544179E-2</c:v>
                </c:pt>
                <c:pt idx="256">
                  <c:v>4.5561434969421971E-2</c:v>
                </c:pt>
                <c:pt idx="257">
                  <c:v>4.5467509862150465E-2</c:v>
                </c:pt>
                <c:pt idx="258">
                  <c:v>4.5217863202357572E-2</c:v>
                </c:pt>
                <c:pt idx="259">
                  <c:v>4.4981175228476167E-2</c:v>
                </c:pt>
                <c:pt idx="260">
                  <c:v>4.4613651060665352E-2</c:v>
                </c:pt>
                <c:pt idx="261">
                  <c:v>4.4466169374999996E-2</c:v>
                </c:pt>
                <c:pt idx="262">
                  <c:v>4.4216482947368421E-2</c:v>
                </c:pt>
                <c:pt idx="263">
                  <c:v>4.3884738957198445E-2</c:v>
                </c:pt>
                <c:pt idx="264">
                  <c:v>4.3565730908561445E-2</c:v>
                </c:pt>
                <c:pt idx="265">
                  <c:v>4.3323692199186206E-2</c:v>
                </c:pt>
                <c:pt idx="266">
                  <c:v>4.3034633064578505E-2</c:v>
                </c:pt>
                <c:pt idx="267">
                  <c:v>4.2018923593207254E-2</c:v>
                </c:pt>
                <c:pt idx="268">
                  <c:v>4.2247430791754949E-2</c:v>
                </c:pt>
                <c:pt idx="269">
                  <c:v>4.2027645203767769E-2</c:v>
                </c:pt>
                <c:pt idx="270">
                  <c:v>4.1874821237528774E-2</c:v>
                </c:pt>
                <c:pt idx="271">
                  <c:v>4.1869169743245831E-2</c:v>
                </c:pt>
                <c:pt idx="272">
                  <c:v>4.160389224942615E-2</c:v>
                </c:pt>
                <c:pt idx="273">
                  <c:v>4.106393625501048E-2</c:v>
                </c:pt>
                <c:pt idx="274">
                  <c:v>4.0958996618403493E-2</c:v>
                </c:pt>
                <c:pt idx="275">
                  <c:v>4.0961240935361215E-2</c:v>
                </c:pt>
                <c:pt idx="276">
                  <c:v>4.0576217080250415E-2</c:v>
                </c:pt>
                <c:pt idx="277">
                  <c:v>4.0147918632834706E-2</c:v>
                </c:pt>
                <c:pt idx="278">
                  <c:v>3.9962134984882838E-2</c:v>
                </c:pt>
                <c:pt idx="279">
                  <c:v>4.0062310550631711E-2</c:v>
                </c:pt>
                <c:pt idx="280">
                  <c:v>3.9883734133258048E-2</c:v>
                </c:pt>
                <c:pt idx="281">
                  <c:v>3.9521235667544174E-2</c:v>
                </c:pt>
                <c:pt idx="282">
                  <c:v>3.9041583454681922E-2</c:v>
                </c:pt>
                <c:pt idx="283">
                  <c:v>3.8944777797752808E-2</c:v>
                </c:pt>
                <c:pt idx="284">
                  <c:v>3.8835638185385907E-2</c:v>
                </c:pt>
                <c:pt idx="285">
                  <c:v>3.878868714605483E-2</c:v>
                </c:pt>
                <c:pt idx="286">
                  <c:v>3.85083126880119E-2</c:v>
                </c:pt>
                <c:pt idx="287">
                  <c:v>3.8191423654096231E-2</c:v>
                </c:pt>
                <c:pt idx="288">
                  <c:v>3.808610250185597E-2</c:v>
                </c:pt>
                <c:pt idx="289">
                  <c:v>3.7878834265604733E-2</c:v>
                </c:pt>
                <c:pt idx="290">
                  <c:v>3.7569150327232383E-2</c:v>
                </c:pt>
                <c:pt idx="291">
                  <c:v>3.7335784857037452E-2</c:v>
                </c:pt>
                <c:pt idx="292">
                  <c:v>3.7201697210458476E-2</c:v>
                </c:pt>
                <c:pt idx="293">
                  <c:v>3.6977676015065221E-2</c:v>
                </c:pt>
                <c:pt idx="294">
                  <c:v>3.6869088415841564E-2</c:v>
                </c:pt>
                <c:pt idx="295">
                  <c:v>3.6666646622091952E-2</c:v>
                </c:pt>
                <c:pt idx="296">
                  <c:v>3.645288875319927E-2</c:v>
                </c:pt>
                <c:pt idx="297">
                  <c:v>3.6269321817518241E-2</c:v>
                </c:pt>
                <c:pt idx="298">
                  <c:v>3.606178494537509E-2</c:v>
                </c:pt>
                <c:pt idx="299">
                  <c:v>3.5874649712883871E-2</c:v>
                </c:pt>
                <c:pt idx="300">
                  <c:v>3.5687854749455336E-2</c:v>
                </c:pt>
                <c:pt idx="301">
                  <c:v>3.5476165009965574E-2</c:v>
                </c:pt>
                <c:pt idx="302">
                  <c:v>3.5329234772151899E-2</c:v>
                </c:pt>
                <c:pt idx="303">
                  <c:v>3.502903713228659E-2</c:v>
                </c:pt>
                <c:pt idx="304">
                  <c:v>3.4891634278768222E-2</c:v>
                </c:pt>
                <c:pt idx="305">
                  <c:v>3.4743139385334285E-2</c:v>
                </c:pt>
                <c:pt idx="306">
                  <c:v>3.4558390078994604E-2</c:v>
                </c:pt>
                <c:pt idx="307">
                  <c:v>3.4348341910051969E-2</c:v>
                </c:pt>
                <c:pt idx="308">
                  <c:v>3.4166102763369691E-2</c:v>
                </c:pt>
                <c:pt idx="309">
                  <c:v>3.397113357130109E-2</c:v>
                </c:pt>
                <c:pt idx="310">
                  <c:v>3.3830010476105565E-2</c:v>
                </c:pt>
                <c:pt idx="311">
                  <c:v>3.3649295758007111E-2</c:v>
                </c:pt>
                <c:pt idx="312">
                  <c:v>3.3449365051509763E-2</c:v>
                </c:pt>
                <c:pt idx="313">
                  <c:v>3.3294956143211624E-2</c:v>
                </c:pt>
                <c:pt idx="314">
                  <c:v>3.3123042037495574E-2</c:v>
                </c:pt>
                <c:pt idx="315">
                  <c:v>3.2933963877010072E-2</c:v>
                </c:pt>
                <c:pt idx="316">
                  <c:v>3.2723873576719575E-2</c:v>
                </c:pt>
                <c:pt idx="317">
                  <c:v>3.2580221040126714E-2</c:v>
                </c:pt>
                <c:pt idx="318">
                  <c:v>3.2422061078517472E-2</c:v>
                </c:pt>
                <c:pt idx="319">
                  <c:v>3.2241497203018069E-2</c:v>
                </c:pt>
                <c:pt idx="320">
                  <c:v>3.2082199641043599E-2</c:v>
                </c:pt>
                <c:pt idx="321">
                  <c:v>3.1908217990564383E-2</c:v>
                </c:pt>
                <c:pt idx="322">
                  <c:v>3.1750335160446466E-2</c:v>
                </c:pt>
                <c:pt idx="323">
                  <c:v>3.1584843035372019E-2</c:v>
                </c:pt>
                <c:pt idx="324">
                  <c:v>3.141965254042775E-2</c:v>
                </c:pt>
                <c:pt idx="325">
                  <c:v>3.1243965411315508E-2</c:v>
                </c:pt>
                <c:pt idx="326">
                  <c:v>3.1082169009352258E-2</c:v>
                </c:pt>
                <c:pt idx="327">
                  <c:v>3.0924357778546706E-2</c:v>
                </c:pt>
                <c:pt idx="328">
                  <c:v>3.0749393702296658E-2</c:v>
                </c:pt>
                <c:pt idx="329">
                  <c:v>3.0592204171980011E-2</c:v>
                </c:pt>
                <c:pt idx="330">
                  <c:v>3.0434420061919491E-2</c:v>
                </c:pt>
                <c:pt idx="331">
                  <c:v>3.0279109546391743E-2</c:v>
                </c:pt>
                <c:pt idx="332">
                  <c:v>3.011963264529401E-2</c:v>
                </c:pt>
                <c:pt idx="333">
                  <c:v>2.9969345222450372E-2</c:v>
                </c:pt>
                <c:pt idx="334">
                  <c:v>2.9813766042058466E-2</c:v>
                </c:pt>
                <c:pt idx="335">
                  <c:v>2.9660711231661543E-2</c:v>
                </c:pt>
                <c:pt idx="336">
                  <c:v>2.9493116950451211E-2</c:v>
                </c:pt>
                <c:pt idx="337">
                  <c:v>2.9329626632080285E-2</c:v>
                </c:pt>
                <c:pt idx="338">
                  <c:v>2.9139107929044304E-2</c:v>
                </c:pt>
                <c:pt idx="339">
                  <c:v>2.8848592084039303E-2</c:v>
                </c:pt>
                <c:pt idx="340">
                  <c:v>2.873594082008793E-2</c:v>
                </c:pt>
                <c:pt idx="341">
                  <c:v>2.873150822635135E-2</c:v>
                </c:pt>
                <c:pt idx="342">
                  <c:v>2.860048840863115E-2</c:v>
                </c:pt>
                <c:pt idx="343">
                  <c:v>2.8453900874831763E-2</c:v>
                </c:pt>
                <c:pt idx="344">
                  <c:v>2.8313933589312723E-2</c:v>
                </c:pt>
                <c:pt idx="345">
                  <c:v>2.8150023498825893E-2</c:v>
                </c:pt>
                <c:pt idx="346">
                  <c:v>2.7978581439571472E-2</c:v>
                </c:pt>
                <c:pt idx="347">
                  <c:v>2.785945779264214E-2</c:v>
                </c:pt>
                <c:pt idx="348">
                  <c:v>2.7696979866488652E-2</c:v>
                </c:pt>
                <c:pt idx="349">
                  <c:v>2.7572996612258489E-2</c:v>
                </c:pt>
                <c:pt idx="350">
                  <c:v>2.7447899534109817E-2</c:v>
                </c:pt>
                <c:pt idx="351">
                  <c:v>2.7298042779807366E-2</c:v>
                </c:pt>
                <c:pt idx="352">
                  <c:v>2.7156051786542922E-2</c:v>
                </c:pt>
                <c:pt idx="353">
                  <c:v>2.7038111258278142E-2</c:v>
                </c:pt>
                <c:pt idx="354">
                  <c:v>2.6905095152015855E-2</c:v>
                </c:pt>
                <c:pt idx="355">
                  <c:v>2.6762335422163584E-2</c:v>
                </c:pt>
                <c:pt idx="356">
                  <c:v>2.6631937985504853E-2</c:v>
                </c:pt>
                <c:pt idx="357">
                  <c:v>2.6501759279960544E-2</c:v>
                </c:pt>
                <c:pt idx="358">
                  <c:v>2.6363874644790813E-2</c:v>
                </c:pt>
                <c:pt idx="359">
                  <c:v>2.6234133712506144E-2</c:v>
                </c:pt>
                <c:pt idx="360">
                  <c:v>2.6101977281203989E-2</c:v>
                </c:pt>
                <c:pt idx="361">
                  <c:v>2.5967350411764702E-2</c:v>
                </c:pt>
                <c:pt idx="362">
                  <c:v>2.5838242999021523E-2</c:v>
                </c:pt>
                <c:pt idx="363">
                  <c:v>2.570141088867187E-2</c:v>
                </c:pt>
                <c:pt idx="364">
                  <c:v>2.5559212195121944E-2</c:v>
                </c:pt>
                <c:pt idx="365">
                  <c:v>2.5339036465433291E-2</c:v>
                </c:pt>
                <c:pt idx="366">
                  <c:v>2.5152112244897953E-2</c:v>
                </c:pt>
                <c:pt idx="367">
                  <c:v>2.5167811484956323E-2</c:v>
                </c:pt>
                <c:pt idx="368">
                  <c:v>2.5073235641853701E-2</c:v>
                </c:pt>
                <c:pt idx="369">
                  <c:v>2.4963599888691724E-2</c:v>
                </c:pt>
                <c:pt idx="370">
                  <c:v>2.4836578242394981E-2</c:v>
                </c:pt>
                <c:pt idx="371">
                  <c:v>2.4717243228915661E-2</c:v>
                </c:pt>
                <c:pt idx="372">
                  <c:v>2.4596321428571422E-2</c:v>
                </c:pt>
                <c:pt idx="373">
                  <c:v>2.4451479698910948E-2</c:v>
                </c:pt>
                <c:pt idx="374">
                  <c:v>2.4266453584573539E-2</c:v>
                </c:pt>
                <c:pt idx="375">
                  <c:v>2.4138119792365433E-2</c:v>
                </c:pt>
                <c:pt idx="376">
                  <c:v>2.4096045542629473E-2</c:v>
                </c:pt>
                <c:pt idx="377">
                  <c:v>2.3995747643312096E-2</c:v>
                </c:pt>
                <c:pt idx="378">
                  <c:v>2.388250737210041E-2</c:v>
                </c:pt>
                <c:pt idx="379">
                  <c:v>2.3761989053968258E-2</c:v>
                </c:pt>
                <c:pt idx="380">
                  <c:v>2.363657181083649E-2</c:v>
                </c:pt>
                <c:pt idx="381">
                  <c:v>2.3511343672727274E-2</c:v>
                </c:pt>
                <c:pt idx="382">
                  <c:v>2.3386311486337064E-2</c:v>
                </c:pt>
                <c:pt idx="383">
                  <c:v>2.3285219319148932E-2</c:v>
                </c:pt>
                <c:pt idx="384">
                  <c:v>2.3113871270866143E-2</c:v>
                </c:pt>
                <c:pt idx="385">
                  <c:v>2.2904291441144115E-2</c:v>
                </c:pt>
                <c:pt idx="386">
                  <c:v>2.2926287736263741E-2</c:v>
                </c:pt>
                <c:pt idx="387">
                  <c:v>2.2736940535882169E-2</c:v>
                </c:pt>
                <c:pt idx="388">
                  <c:v>2.2655812992495306E-2</c:v>
                </c:pt>
                <c:pt idx="389">
                  <c:v>2.2604048492423055E-2</c:v>
                </c:pt>
                <c:pt idx="390">
                  <c:v>2.2496017357343308E-2</c:v>
                </c:pt>
                <c:pt idx="391">
                  <c:v>2.2372747048746301E-2</c:v>
                </c:pt>
                <c:pt idx="392">
                  <c:v>2.2247415839291261E-2</c:v>
                </c:pt>
                <c:pt idx="393">
                  <c:v>2.2149101582298131E-2</c:v>
                </c:pt>
                <c:pt idx="394">
                  <c:v>2.202782242677824E-2</c:v>
                </c:pt>
                <c:pt idx="395">
                  <c:v>2.1880900185614841E-2</c:v>
                </c:pt>
                <c:pt idx="396">
                  <c:v>2.1717999576703222E-2</c:v>
                </c:pt>
                <c:pt idx="397">
                  <c:v>2.167748267653407E-2</c:v>
                </c:pt>
                <c:pt idx="398">
                  <c:v>2.1552512811585267E-2</c:v>
                </c:pt>
                <c:pt idx="399">
                  <c:v>2.1387728170637964E-2</c:v>
                </c:pt>
                <c:pt idx="400">
                  <c:v>2.1223226604729729E-2</c:v>
                </c:pt>
                <c:pt idx="401">
                  <c:v>2.1021801091355007E-2</c:v>
                </c:pt>
                <c:pt idx="402">
                  <c:v>2.0712084790263312E-2</c:v>
                </c:pt>
                <c:pt idx="403">
                  <c:v>2.022780096256686E-2</c:v>
                </c:pt>
                <c:pt idx="404">
                  <c:v>1.9287750465648817E-2</c:v>
                </c:pt>
                <c:pt idx="405">
                  <c:v>1.7201544023461204E-2</c:v>
                </c:pt>
                <c:pt idx="406">
                  <c:v>1.3791112702784887E-2</c:v>
                </c:pt>
                <c:pt idx="407">
                  <c:v>1.4093738046483412E-2</c:v>
                </c:pt>
                <c:pt idx="408">
                  <c:v>1.7290999411318474E-2</c:v>
                </c:pt>
                <c:pt idx="409">
                  <c:v>1.8947776138703798E-2</c:v>
                </c:pt>
                <c:pt idx="410">
                  <c:v>1.9666485610346406E-2</c:v>
                </c:pt>
                <c:pt idx="411">
                  <c:v>1.9917143472222218E-2</c:v>
                </c:pt>
                <c:pt idx="412">
                  <c:v>2.000644952028963E-2</c:v>
                </c:pt>
                <c:pt idx="413">
                  <c:v>2.0007780779768176E-2</c:v>
                </c:pt>
                <c:pt idx="414">
                  <c:v>1.9976184132330821E-2</c:v>
                </c:pt>
                <c:pt idx="415">
                  <c:v>1.9913176101440569E-2</c:v>
                </c:pt>
                <c:pt idx="416">
                  <c:v>1.9841984758620684E-2</c:v>
                </c:pt>
                <c:pt idx="417">
                  <c:v>1.9767085680083795E-2</c:v>
                </c:pt>
                <c:pt idx="418">
                  <c:v>1.9684285267563526E-2</c:v>
                </c:pt>
                <c:pt idx="419">
                  <c:v>1.9613257441825772E-2</c:v>
                </c:pt>
                <c:pt idx="420">
                  <c:v>1.9534878098360652E-2</c:v>
                </c:pt>
                <c:pt idx="421">
                  <c:v>1.94488954610351E-2</c:v>
                </c:pt>
                <c:pt idx="422">
                  <c:v>1.9354817364041606E-2</c:v>
                </c:pt>
                <c:pt idx="423">
                  <c:v>1.9259657953736652E-2</c:v>
                </c:pt>
                <c:pt idx="424">
                  <c:v>1.9189313380740737E-2</c:v>
                </c:pt>
                <c:pt idx="425">
                  <c:v>1.9100237220579533E-2</c:v>
                </c:pt>
                <c:pt idx="426">
                  <c:v>1.9011610508049025E-2</c:v>
                </c:pt>
                <c:pt idx="427">
                  <c:v>1.8934074266764921E-2</c:v>
                </c:pt>
                <c:pt idx="428">
                  <c:v>1.8847233930201733E-2</c:v>
                </c:pt>
                <c:pt idx="429">
                  <c:v>1.8763570918307368E-2</c:v>
                </c:pt>
                <c:pt idx="430">
                  <c:v>1.8676528997210392E-2</c:v>
                </c:pt>
                <c:pt idx="431">
                  <c:v>1.8595308799999998E-2</c:v>
                </c:pt>
                <c:pt idx="432">
                  <c:v>1.8508840974681688E-2</c:v>
                </c:pt>
                <c:pt idx="433">
                  <c:v>1.8417406785453477E-2</c:v>
                </c:pt>
                <c:pt idx="434">
                  <c:v>1.8341314136874363E-2</c:v>
                </c:pt>
                <c:pt idx="435">
                  <c:v>1.8255815272356538E-2</c:v>
                </c:pt>
                <c:pt idx="436">
                  <c:v>1.8171116662787312E-2</c:v>
                </c:pt>
                <c:pt idx="437">
                  <c:v>1.8094426537790698E-2</c:v>
                </c:pt>
                <c:pt idx="438">
                  <c:v>1.8014290156657963E-2</c:v>
                </c:pt>
                <c:pt idx="439">
                  <c:v>1.7934017056948269E-2</c:v>
                </c:pt>
                <c:pt idx="440">
                  <c:v>1.7853863496240598E-2</c:v>
                </c:pt>
                <c:pt idx="441">
                  <c:v>1.7773824949436579E-2</c:v>
                </c:pt>
                <c:pt idx="442">
                  <c:v>1.7692260581026523E-2</c:v>
                </c:pt>
                <c:pt idx="443">
                  <c:v>1.7611290900187239E-2</c:v>
                </c:pt>
                <c:pt idx="444">
                  <c:v>1.753438584303579E-2</c:v>
                </c:pt>
                <c:pt idx="445">
                  <c:v>1.7454811723147612E-2</c:v>
                </c:pt>
                <c:pt idx="446">
                  <c:v>1.7375341803184619E-2</c:v>
                </c:pt>
                <c:pt idx="447">
                  <c:v>1.7299091400343643E-2</c:v>
                </c:pt>
                <c:pt idx="448">
                  <c:v>1.7224670998283748E-2</c:v>
                </c:pt>
                <c:pt idx="449">
                  <c:v>1.714554350649351E-2</c:v>
                </c:pt>
                <c:pt idx="450">
                  <c:v>1.7055818397033653E-2</c:v>
                </c:pt>
                <c:pt idx="451">
                  <c:v>1.6980529642806316E-2</c:v>
                </c:pt>
                <c:pt idx="452">
                  <c:v>1.690885531276656E-2</c:v>
                </c:pt>
                <c:pt idx="453">
                  <c:v>1.6837652529829543E-2</c:v>
                </c:pt>
                <c:pt idx="454">
                  <c:v>1.6767441836995037E-2</c:v>
                </c:pt>
                <c:pt idx="455">
                  <c:v>1.6695156962186656E-2</c:v>
                </c:pt>
                <c:pt idx="456">
                  <c:v>1.6620108725268513E-2</c:v>
                </c:pt>
                <c:pt idx="457">
                  <c:v>1.6548247340485604E-2</c:v>
                </c:pt>
                <c:pt idx="458">
                  <c:v>1.6478177272086798E-2</c:v>
                </c:pt>
                <c:pt idx="459">
                  <c:v>1.640794365939479E-2</c:v>
                </c:pt>
                <c:pt idx="460">
                  <c:v>1.6330044043869511E-2</c:v>
                </c:pt>
                <c:pt idx="461">
                  <c:v>1.6211184150996354E-2</c:v>
                </c:pt>
                <c:pt idx="462">
                  <c:v>1.6123668717409584E-2</c:v>
                </c:pt>
                <c:pt idx="463">
                  <c:v>1.6105579675433683E-2</c:v>
                </c:pt>
                <c:pt idx="464">
                  <c:v>1.6043283387840668E-2</c:v>
                </c:pt>
                <c:pt idx="465">
                  <c:v>1.5972551662943313E-2</c:v>
                </c:pt>
                <c:pt idx="466">
                  <c:v>1.58984392335563E-2</c:v>
                </c:pt>
                <c:pt idx="467">
                  <c:v>1.5832317119587914E-2</c:v>
                </c:pt>
                <c:pt idx="468">
                  <c:v>1.5766157679911085E-2</c:v>
                </c:pt>
                <c:pt idx="469">
                  <c:v>1.5692454814712004E-2</c:v>
                </c:pt>
                <c:pt idx="470">
                  <c:v>1.5632872468108704E-2</c:v>
                </c:pt>
                <c:pt idx="471">
                  <c:v>1.5560856457237751E-2</c:v>
                </c:pt>
                <c:pt idx="472">
                  <c:v>1.5490766884158139E-2</c:v>
                </c:pt>
                <c:pt idx="473">
                  <c:v>1.5421713404225932E-2</c:v>
                </c:pt>
                <c:pt idx="474">
                  <c:v>1.5361612311190737E-2</c:v>
                </c:pt>
                <c:pt idx="475">
                  <c:v>1.5290860476387167E-2</c:v>
                </c:pt>
                <c:pt idx="476">
                  <c:v>1.5225554861225607E-2</c:v>
                </c:pt>
                <c:pt idx="477">
                  <c:v>1.5163899862731638E-2</c:v>
                </c:pt>
                <c:pt idx="478">
                  <c:v>1.5096661741634668E-2</c:v>
                </c:pt>
                <c:pt idx="479">
                  <c:v>1.503020934035856E-2</c:v>
                </c:pt>
                <c:pt idx="480">
                  <c:v>1.4965271564337482E-2</c:v>
                </c:pt>
                <c:pt idx="481">
                  <c:v>1.4893114735764025E-2</c:v>
                </c:pt>
                <c:pt idx="482">
                  <c:v>1.4835660610687021E-2</c:v>
                </c:pt>
                <c:pt idx="483">
                  <c:v>1.477613801852104E-2</c:v>
                </c:pt>
                <c:pt idx="484">
                  <c:v>1.4722221739603152E-2</c:v>
                </c:pt>
                <c:pt idx="485">
                  <c:v>1.4657735917730109E-2</c:v>
                </c:pt>
                <c:pt idx="486">
                  <c:v>1.4593323972602738E-2</c:v>
                </c:pt>
                <c:pt idx="487">
                  <c:v>1.4529645208446127E-2</c:v>
                </c:pt>
                <c:pt idx="488">
                  <c:v>1.4469235922920889E-2</c:v>
                </c:pt>
                <c:pt idx="489">
                  <c:v>1.4400618554640011E-2</c:v>
                </c:pt>
                <c:pt idx="490">
                  <c:v>1.4344473036268032E-2</c:v>
                </c:pt>
                <c:pt idx="491">
                  <c:v>1.4280496208754205E-2</c:v>
                </c:pt>
                <c:pt idx="492">
                  <c:v>1.4210040055159421E-2</c:v>
                </c:pt>
                <c:pt idx="493">
                  <c:v>1.4154185682062299E-2</c:v>
                </c:pt>
                <c:pt idx="494">
                  <c:v>1.4092916163133885E-2</c:v>
                </c:pt>
                <c:pt idx="495">
                  <c:v>1.4032244542409219E-2</c:v>
                </c:pt>
                <c:pt idx="496">
                  <c:v>1.3968278020861192E-2</c:v>
                </c:pt>
                <c:pt idx="497">
                  <c:v>1.3894248392785569E-2</c:v>
                </c:pt>
                <c:pt idx="498">
                  <c:v>1.3834041453550451E-2</c:v>
                </c:pt>
                <c:pt idx="499">
                  <c:v>1.3790795753296923E-2</c:v>
                </c:pt>
                <c:pt idx="500">
                  <c:v>1.3744447654025282E-2</c:v>
                </c:pt>
                <c:pt idx="501">
                  <c:v>1.3685020832114845E-2</c:v>
                </c:pt>
                <c:pt idx="502">
                  <c:v>1.3623493762271158E-2</c:v>
                </c:pt>
                <c:pt idx="503">
                  <c:v>1.3575116381230112E-2</c:v>
                </c:pt>
                <c:pt idx="504">
                  <c:v>1.3526548359592213E-2</c:v>
                </c:pt>
                <c:pt idx="505">
                  <c:v>1.3466314594344608E-2</c:v>
                </c:pt>
                <c:pt idx="506">
                  <c:v>1.3414067969636963E-2</c:v>
                </c:pt>
                <c:pt idx="507">
                  <c:v>1.3355516182249765E-2</c:v>
                </c:pt>
                <c:pt idx="508">
                  <c:v>1.3300890880494864E-2</c:v>
                </c:pt>
                <c:pt idx="509">
                  <c:v>1.3241893475345167E-2</c:v>
                </c:pt>
                <c:pt idx="510">
                  <c:v>1.3189917764644076E-2</c:v>
                </c:pt>
                <c:pt idx="511">
                  <c:v>1.3137499735220864E-2</c:v>
                </c:pt>
                <c:pt idx="512">
                  <c:v>1.3078257236773177E-2</c:v>
                </c:pt>
                <c:pt idx="513">
                  <c:v>1.3026484578754577E-2</c:v>
                </c:pt>
                <c:pt idx="514">
                  <c:v>1.2974767451313554E-2</c:v>
                </c:pt>
                <c:pt idx="515">
                  <c:v>1.2915227628798745E-2</c:v>
                </c:pt>
                <c:pt idx="516">
                  <c:v>1.2858912740065145E-2</c:v>
                </c:pt>
                <c:pt idx="517">
                  <c:v>1.2804242189533974E-2</c:v>
                </c:pt>
                <c:pt idx="518">
                  <c:v>1.2760716017147308E-2</c:v>
                </c:pt>
                <c:pt idx="519">
                  <c:v>1.2705393436729396E-2</c:v>
                </c:pt>
                <c:pt idx="520">
                  <c:v>1.2650131502657848E-2</c:v>
                </c:pt>
                <c:pt idx="521">
                  <c:v>1.2590989642857143E-2</c:v>
                </c:pt>
                <c:pt idx="522">
                  <c:v>1.2542876662789193E-2</c:v>
                </c:pt>
                <c:pt idx="523">
                  <c:v>1.2501994891528924E-2</c:v>
                </c:pt>
                <c:pt idx="524">
                  <c:v>1.2453495180598552E-2</c:v>
                </c:pt>
                <c:pt idx="525">
                  <c:v>1.2394619902162715E-2</c:v>
                </c:pt>
                <c:pt idx="526">
                  <c:v>1.2322194729868792E-2</c:v>
                </c:pt>
                <c:pt idx="527">
                  <c:v>1.2128667424203489E-2</c:v>
                </c:pt>
                <c:pt idx="528">
                  <c:v>1.2046365342992695E-2</c:v>
                </c:pt>
                <c:pt idx="529">
                  <c:v>1.2157875323427691E-2</c:v>
                </c:pt>
                <c:pt idx="530">
                  <c:v>1.2146090772971588E-2</c:v>
                </c:pt>
                <c:pt idx="531">
                  <c:v>1.2098075768345691E-2</c:v>
                </c:pt>
                <c:pt idx="532">
                  <c:v>1.2053644897282121E-2</c:v>
                </c:pt>
                <c:pt idx="533">
                  <c:v>1.1997112939077235E-2</c:v>
                </c:pt>
                <c:pt idx="534">
                  <c:v>1.1946731604278074E-2</c:v>
                </c:pt>
                <c:pt idx="535">
                  <c:v>1.1896403770491802E-2</c:v>
                </c:pt>
                <c:pt idx="536">
                  <c:v>1.1846146752570773E-2</c:v>
                </c:pt>
                <c:pt idx="537">
                  <c:v>1.1791275339251742E-2</c:v>
                </c:pt>
                <c:pt idx="538">
                  <c:v>1.1724319190421894E-2</c:v>
                </c:pt>
                <c:pt idx="539">
                  <c:v>1.1676979755974207E-2</c:v>
                </c:pt>
                <c:pt idx="540">
                  <c:v>1.1615426777412834E-2</c:v>
                </c:pt>
                <c:pt idx="541">
                  <c:v>1.1600598768454257E-2</c:v>
                </c:pt>
                <c:pt idx="542">
                  <c:v>1.156897627836611E-2</c:v>
                </c:pt>
                <c:pt idx="543">
                  <c:v>1.152641212353755E-2</c:v>
                </c:pt>
                <c:pt idx="544">
                  <c:v>1.1466720143288086E-2</c:v>
                </c:pt>
                <c:pt idx="545">
                  <c:v>1.1407087194876948E-2</c:v>
                </c:pt>
                <c:pt idx="546">
                  <c:v>1.137728043020193E-2</c:v>
                </c:pt>
                <c:pt idx="547">
                  <c:v>1.1341917739391662E-2</c:v>
                </c:pt>
                <c:pt idx="548">
                  <c:v>1.1269105182591298E-2</c:v>
                </c:pt>
                <c:pt idx="549">
                  <c:v>1.1195487811094453E-2</c:v>
                </c:pt>
                <c:pt idx="550">
                  <c:v>1.1171095074254334E-2</c:v>
                </c:pt>
                <c:pt idx="551">
                  <c:v>1.1156741416292974E-2</c:v>
                </c:pt>
                <c:pt idx="552">
                  <c:v>1.1117336657956948E-2</c:v>
                </c:pt>
                <c:pt idx="553">
                  <c:v>1.1077983306401491E-2</c:v>
                </c:pt>
                <c:pt idx="554">
                  <c:v>1.1031393621010802E-2</c:v>
                </c:pt>
                <c:pt idx="555">
                  <c:v>1.0990236082538105E-2</c:v>
                </c:pt>
                <c:pt idx="556">
                  <c:v>1.0944388885724896E-2</c:v>
                </c:pt>
                <c:pt idx="557">
                  <c:v>1.0905229517625232E-2</c:v>
                </c:pt>
                <c:pt idx="558">
                  <c:v>1.0859213773631533E-2</c:v>
                </c:pt>
                <c:pt idx="559">
                  <c:v>1.0819145401405845E-2</c:v>
                </c:pt>
                <c:pt idx="560">
                  <c:v>1.0777443654059377E-2</c:v>
                </c:pt>
                <c:pt idx="561">
                  <c:v>1.0733257775043071E-2</c:v>
                </c:pt>
                <c:pt idx="562">
                  <c:v>1.0694337976395376E-2</c:v>
                </c:pt>
                <c:pt idx="563">
                  <c:v>1.0647560208588957E-2</c:v>
                </c:pt>
                <c:pt idx="564">
                  <c:v>1.0608736383917627E-2</c:v>
                </c:pt>
                <c:pt idx="565">
                  <c:v>1.0569962498163112E-2</c:v>
                </c:pt>
                <c:pt idx="566">
                  <c:v>1.0525654874617736E-2</c:v>
                </c:pt>
                <c:pt idx="567">
                  <c:v>1.0484641987046314E-2</c:v>
                </c:pt>
                <c:pt idx="568">
                  <c:v>1.0435752318575433E-2</c:v>
                </c:pt>
                <c:pt idx="569">
                  <c:v>1.0377874186159841E-2</c:v>
                </c:pt>
                <c:pt idx="570">
                  <c:v>1.0329336624467438E-2</c:v>
                </c:pt>
                <c:pt idx="571">
                  <c:v>1.0284496376459144E-2</c:v>
                </c:pt>
                <c:pt idx="572">
                  <c:v>1.0244478653076084E-2</c:v>
                </c:pt>
                <c:pt idx="573">
                  <c:v>1.0207914246575342E-2</c:v>
                </c:pt>
                <c:pt idx="574">
                  <c:v>1.0175653615552322E-2</c:v>
                </c:pt>
                <c:pt idx="575">
                  <c:v>1.0142510181488203E-2</c:v>
                </c:pt>
                <c:pt idx="576">
                  <c:v>1.012745449546828E-2</c:v>
                </c:pt>
                <c:pt idx="577">
                  <c:v>1.0108339244873338E-2</c:v>
                </c:pt>
                <c:pt idx="578">
                  <c:v>1.0070179480660319E-2</c:v>
                </c:pt>
                <c:pt idx="579">
                  <c:v>1.0032059961473631E-2</c:v>
                </c:pt>
                <c:pt idx="580">
                  <c:v>9.9993900918821394E-3</c:v>
                </c:pt>
                <c:pt idx="581">
                  <c:v>9.9708675845248118E-3</c:v>
                </c:pt>
                <c:pt idx="582">
                  <c:v>9.9324523046397245E-3</c:v>
                </c:pt>
                <c:pt idx="583">
                  <c:v>9.8755561911835141E-3</c:v>
                </c:pt>
                <c:pt idx="584">
                  <c:v>9.8339416011726695E-3</c:v>
                </c:pt>
                <c:pt idx="585">
                  <c:v>9.81501870460251E-3</c:v>
                </c:pt>
                <c:pt idx="586">
                  <c:v>9.789221181416459E-3</c:v>
                </c:pt>
                <c:pt idx="587">
                  <c:v>9.7524812474079382E-3</c:v>
                </c:pt>
                <c:pt idx="588">
                  <c:v>9.7127499229670185E-3</c:v>
                </c:pt>
                <c:pt idx="589">
                  <c:v>9.6692022383727833E-3</c:v>
                </c:pt>
                <c:pt idx="590">
                  <c:v>9.631580117647056E-3</c:v>
                </c:pt>
                <c:pt idx="591">
                  <c:v>9.5809846580009479E-3</c:v>
                </c:pt>
                <c:pt idx="592">
                  <c:v>9.5405802230778287E-3</c:v>
                </c:pt>
                <c:pt idx="593">
                  <c:v>9.4830243899408275E-3</c:v>
                </c:pt>
                <c:pt idx="594">
                  <c:v>9.3736827531039277E-3</c:v>
                </c:pt>
                <c:pt idx="595">
                  <c:v>9.3282443182945551E-3</c:v>
                </c:pt>
                <c:pt idx="596">
                  <c:v>9.3001794303244831E-3</c:v>
                </c:pt>
                <c:pt idx="597">
                  <c:v>9.222433969114702E-3</c:v>
                </c:pt>
                <c:pt idx="598">
                  <c:v>9.2885209410588209E-3</c:v>
                </c:pt>
                <c:pt idx="599">
                  <c:v>9.2291288386414563E-3</c:v>
                </c:pt>
                <c:pt idx="600">
                  <c:v>8.9692575224231182E-3</c:v>
                </c:pt>
                <c:pt idx="601">
                  <c:v>8.9811996523574793E-3</c:v>
                </c:pt>
                <c:pt idx="602">
                  <c:v>9.2070059020388922E-3</c:v>
                </c:pt>
                <c:pt idx="603">
                  <c:v>9.1796863506964747E-3</c:v>
                </c:pt>
                <c:pt idx="604">
                  <c:v>8.7071051144725908E-3</c:v>
                </c:pt>
                <c:pt idx="605">
                  <c:v>8.5154787163865663E-3</c:v>
                </c:pt>
                <c:pt idx="606">
                  <c:v>8.9178301012008809E-3</c:v>
                </c:pt>
                <c:pt idx="607">
                  <c:v>9.2173647192267463E-3</c:v>
                </c:pt>
                <c:pt idx="608">
                  <c:v>9.1319224582266691E-3</c:v>
                </c:pt>
                <c:pt idx="609">
                  <c:v>8.590212323259289E-3</c:v>
                </c:pt>
                <c:pt idx="610">
                  <c:v>8.0650501995359475E-3</c:v>
                </c:pt>
                <c:pt idx="611">
                  <c:v>8.4369313089581784E-3</c:v>
                </c:pt>
                <c:pt idx="612">
                  <c:v>9.0319847568600242E-3</c:v>
                </c:pt>
                <c:pt idx="613">
                  <c:v>9.2840922044403335E-3</c:v>
                </c:pt>
                <c:pt idx="614">
                  <c:v>9.2304188562514506E-3</c:v>
                </c:pt>
                <c:pt idx="615">
                  <c:v>8.7857454113573191E-3</c:v>
                </c:pt>
                <c:pt idx="616">
                  <c:v>7.8784659817993444E-3</c:v>
                </c:pt>
                <c:pt idx="617">
                  <c:v>7.5642594063758534E-3</c:v>
                </c:pt>
                <c:pt idx="618">
                  <c:v>8.2872432315209184E-3</c:v>
                </c:pt>
                <c:pt idx="619">
                  <c:v>8.998945459170786E-3</c:v>
                </c:pt>
                <c:pt idx="620">
                  <c:v>9.3360284700011384E-3</c:v>
                </c:pt>
                <c:pt idx="621">
                  <c:v>9.4239382129756941E-3</c:v>
                </c:pt>
                <c:pt idx="622">
                  <c:v>9.3176303943661842E-3</c:v>
                </c:pt>
                <c:pt idx="623">
                  <c:v>8.9244072473719759E-3</c:v>
                </c:pt>
                <c:pt idx="624">
                  <c:v>8.0888960941780559E-3</c:v>
                </c:pt>
                <c:pt idx="625">
                  <c:v>7.2796042884023249E-3</c:v>
                </c:pt>
                <c:pt idx="626">
                  <c:v>7.5012481254414778E-3</c:v>
                </c:pt>
                <c:pt idx="627">
                  <c:v>8.3966655578192346E-3</c:v>
                </c:pt>
                <c:pt idx="628">
                  <c:v>9.0544027414439839E-3</c:v>
                </c:pt>
                <c:pt idx="629">
                  <c:v>9.3808083112221601E-3</c:v>
                </c:pt>
                <c:pt idx="630">
                  <c:v>9.4934589999999975E-3</c:v>
                </c:pt>
                <c:pt idx="631">
                  <c:v>9.4841601765371965E-3</c:v>
                </c:pt>
                <c:pt idx="632">
                  <c:v>9.3992819527042373E-3</c:v>
                </c:pt>
                <c:pt idx="633">
                  <c:v>9.1801347738472046E-3</c:v>
                </c:pt>
                <c:pt idx="634">
                  <c:v>8.7319813439828593E-3</c:v>
                </c:pt>
                <c:pt idx="635">
                  <c:v>7.9311356542583443E-3</c:v>
                </c:pt>
                <c:pt idx="636">
                  <c:v>6.9826707273239639E-3</c:v>
                </c:pt>
                <c:pt idx="637">
                  <c:v>6.9078658939547444E-3</c:v>
                </c:pt>
                <c:pt idx="638">
                  <c:v>7.8266420046062199E-3</c:v>
                </c:pt>
                <c:pt idx="639">
                  <c:v>8.5816559010101056E-3</c:v>
                </c:pt>
                <c:pt idx="640">
                  <c:v>8.9857652542600936E-3</c:v>
                </c:pt>
                <c:pt idx="641">
                  <c:v>9.1616739569892469E-3</c:v>
                </c:pt>
                <c:pt idx="642">
                  <c:v>9.2269978484950214E-3</c:v>
                </c:pt>
                <c:pt idx="643">
                  <c:v>9.2513424426559354E-3</c:v>
                </c:pt>
                <c:pt idx="644">
                  <c:v>9.2690155889447248E-3</c:v>
                </c:pt>
                <c:pt idx="645">
                  <c:v>9.2424967349397577E-3</c:v>
                </c:pt>
                <c:pt idx="646">
                  <c:v>9.1637476877853147E-3</c:v>
                </c:pt>
                <c:pt idx="647">
                  <c:v>9.0216132238905393E-3</c:v>
                </c:pt>
                <c:pt idx="648">
                  <c:v>8.7872128002443872E-3</c:v>
                </c:pt>
                <c:pt idx="649">
                  <c:v>8.3779780476190072E-3</c:v>
                </c:pt>
                <c:pt idx="650">
                  <c:v>7.6818554569242185E-3</c:v>
                </c:pt>
                <c:pt idx="651">
                  <c:v>6.7983491810325227E-3</c:v>
                </c:pt>
                <c:pt idx="652">
                  <c:v>6.5280537144754344E-3</c:v>
                </c:pt>
                <c:pt idx="653">
                  <c:v>7.2092032243228736E-3</c:v>
                </c:pt>
                <c:pt idx="654">
                  <c:v>7.988488338266167E-3</c:v>
                </c:pt>
                <c:pt idx="655">
                  <c:v>8.4284105050148796E-3</c:v>
                </c:pt>
                <c:pt idx="656">
                  <c:v>8.5863557256110942E-3</c:v>
                </c:pt>
                <c:pt idx="657">
                  <c:v>8.6786357760175944E-3</c:v>
                </c:pt>
                <c:pt idx="658">
                  <c:v>8.7314323545054917E-3</c:v>
                </c:pt>
                <c:pt idx="659">
                  <c:v>8.7194113300395233E-3</c:v>
                </c:pt>
                <c:pt idx="660">
                  <c:v>8.722549349161092E-3</c:v>
                </c:pt>
                <c:pt idx="661">
                  <c:v>8.733982999999999E-3</c:v>
                </c:pt>
                <c:pt idx="662">
                  <c:v>8.733982999999999E-3</c:v>
                </c:pt>
                <c:pt idx="663">
                  <c:v>8.7276306728624516E-3</c:v>
                </c:pt>
                <c:pt idx="664">
                  <c:v>8.7048166655014185E-3</c:v>
                </c:pt>
                <c:pt idx="665">
                  <c:v>8.663299974683545E-3</c:v>
                </c:pt>
                <c:pt idx="666">
                  <c:v>8.6013121599695045E-3</c:v>
                </c:pt>
                <c:pt idx="667">
                  <c:v>8.5099258963116133E-3</c:v>
                </c:pt>
                <c:pt idx="668">
                  <c:v>8.3834290902173834E-3</c:v>
                </c:pt>
                <c:pt idx="669">
                  <c:v>8.2103818719869662E-3</c:v>
                </c:pt>
                <c:pt idx="670">
                  <c:v>7.9115524841088924E-3</c:v>
                </c:pt>
                <c:pt idx="671">
                  <c:v>7.3818326306891949E-3</c:v>
                </c:pt>
                <c:pt idx="672">
                  <c:v>6.5971670928772581E-3</c:v>
                </c:pt>
                <c:pt idx="673">
                  <c:v>6.0367122993403351E-3</c:v>
                </c:pt>
                <c:pt idx="674">
                  <c:v>6.3449670423509335E-3</c:v>
                </c:pt>
                <c:pt idx="675">
                  <c:v>7.0693543119265704E-3</c:v>
                </c:pt>
                <c:pt idx="676">
                  <c:v>7.5426522943396069E-3</c:v>
                </c:pt>
                <c:pt idx="677">
                  <c:v>7.8233860440542879E-3</c:v>
                </c:pt>
                <c:pt idx="678">
                  <c:v>8.051479220060203E-3</c:v>
                </c:pt>
                <c:pt idx="679">
                  <c:v>8.1371987687929564E-3</c:v>
                </c:pt>
                <c:pt idx="680">
                  <c:v>8.166075003540392E-3</c:v>
                </c:pt>
                <c:pt idx="681">
                  <c:v>8.1700119054662363E-3</c:v>
                </c:pt>
                <c:pt idx="682">
                  <c:v>8.1586966976445376E-3</c:v>
                </c:pt>
                <c:pt idx="683">
                  <c:v>8.141763494545453E-3</c:v>
                </c:pt>
                <c:pt idx="684">
                  <c:v>8.1248477426800574E-3</c:v>
                </c:pt>
                <c:pt idx="685">
                  <c:v>8.1034702186165656E-3</c:v>
                </c:pt>
                <c:pt idx="686">
                  <c:v>8.0781517044145844E-3</c:v>
                </c:pt>
                <c:pt idx="687">
                  <c:v>8.0528598162352173E-3</c:v>
                </c:pt>
                <c:pt idx="688">
                  <c:v>8.0155211879323184E-3</c:v>
                </c:pt>
                <c:pt idx="689">
                  <c:v>7.960375737267409E-3</c:v>
                </c:pt>
                <c:pt idx="690">
                  <c:v>7.900843337121613E-3</c:v>
                </c:pt>
                <c:pt idx="691">
                  <c:v>7.8465012569761249E-3</c:v>
                </c:pt>
                <c:pt idx="692">
                  <c:v>7.8519061321473942E-3</c:v>
                </c:pt>
                <c:pt idx="693">
                  <c:v>7.8525098842695418E-3</c:v>
                </c:pt>
                <c:pt idx="694">
                  <c:v>7.8248301021874647E-3</c:v>
                </c:pt>
                <c:pt idx="695">
                  <c:v>7.789542686622318E-3</c:v>
                </c:pt>
                <c:pt idx="696">
                  <c:v>7.7477582313857851E-3</c:v>
                </c:pt>
                <c:pt idx="697">
                  <c:v>7.6981255414603333E-3</c:v>
                </c:pt>
                <c:pt idx="698">
                  <c:v>7.6373712867368448E-3</c:v>
                </c:pt>
                <c:pt idx="699">
                  <c:v>7.55580179810726E-3</c:v>
                </c:pt>
                <c:pt idx="700">
                  <c:v>7.4387016646706577E-3</c:v>
                </c:pt>
                <c:pt idx="701">
                  <c:v>7.2538398237145738E-3</c:v>
                </c:pt>
                <c:pt idx="702">
                  <c:v>6.94582589987419E-3</c:v>
                </c:pt>
                <c:pt idx="703">
                  <c:v>6.4284182976227702E-3</c:v>
                </c:pt>
                <c:pt idx="704">
                  <c:v>5.7528899307241286E-3</c:v>
                </c:pt>
                <c:pt idx="705">
                  <c:v>5.4739007801003301E-3</c:v>
                </c:pt>
                <c:pt idx="706">
                  <c:v>5.9107655887020993E-3</c:v>
                </c:pt>
                <c:pt idx="707">
                  <c:v>6.515083754876398E-3</c:v>
                </c:pt>
                <c:pt idx="708">
                  <c:v>6.9077543332986147E-3</c:v>
                </c:pt>
                <c:pt idx="709">
                  <c:v>7.1115519294264731E-3</c:v>
                </c:pt>
                <c:pt idx="710">
                  <c:v>7.2013617300051951E-3</c:v>
                </c:pt>
                <c:pt idx="711">
                  <c:v>7.2384249293506462E-3</c:v>
                </c:pt>
                <c:pt idx="712">
                  <c:v>7.2403449999999996E-3</c:v>
                </c:pt>
                <c:pt idx="713">
                  <c:v>7.235767616364578E-3</c:v>
                </c:pt>
                <c:pt idx="714">
                  <c:v>7.2470300800910586E-3</c:v>
                </c:pt>
                <c:pt idx="715">
                  <c:v>7.2354808191874296E-3</c:v>
                </c:pt>
                <c:pt idx="716">
                  <c:v>7.1995297521173299E-3</c:v>
                </c:pt>
                <c:pt idx="717">
                  <c:v>7.1962810913030004E-3</c:v>
                </c:pt>
                <c:pt idx="718">
                  <c:v>7.1943038502524977E-3</c:v>
                </c:pt>
                <c:pt idx="719">
                  <c:v>7.1752176219110377E-3</c:v>
                </c:pt>
                <c:pt idx="720">
                  <c:v>7.1552409829235674E-3</c:v>
                </c:pt>
                <c:pt idx="721">
                  <c:v>7.1354578233843611E-3</c:v>
                </c:pt>
                <c:pt idx="722">
                  <c:v>7.1119961572895267E-3</c:v>
                </c:pt>
                <c:pt idx="723">
                  <c:v>7.0863140354799001E-3</c:v>
                </c:pt>
                <c:pt idx="724">
                  <c:v>7.0603805401085948E-3</c:v>
                </c:pt>
                <c:pt idx="725">
                  <c:v>7.0369602476970314E-3</c:v>
                </c:pt>
                <c:pt idx="726">
                  <c:v>7.0147932408751636E-3</c:v>
                </c:pt>
                <c:pt idx="727">
                  <c:v>6.9911610704800793E-3</c:v>
                </c:pt>
                <c:pt idx="728">
                  <c:v>6.9661210102040794E-3</c:v>
                </c:pt>
                <c:pt idx="729">
                  <c:v>6.9414716007542548E-3</c:v>
                </c:pt>
                <c:pt idx="730">
                  <c:v>6.9169112630614099E-3</c:v>
                </c:pt>
                <c:pt idx="731">
                  <c:v>6.8911627664292961E-3</c:v>
                </c:pt>
                <c:pt idx="732">
                  <c:v>6.8638048741742029E-3</c:v>
                </c:pt>
                <c:pt idx="733">
                  <c:v>6.8381895250761403E-3</c:v>
                </c:pt>
                <c:pt idx="734">
                  <c:v>6.8140490866213602E-3</c:v>
                </c:pt>
                <c:pt idx="735">
                  <c:v>6.7847783964940728E-3</c:v>
                </c:pt>
                <c:pt idx="736">
                  <c:v>6.7559889568782252E-3</c:v>
                </c:pt>
                <c:pt idx="737">
                  <c:v>6.7349792706037004E-3</c:v>
                </c:pt>
                <c:pt idx="738">
                  <c:v>6.7080162561123455E-3</c:v>
                </c:pt>
                <c:pt idx="739">
                  <c:v>6.6711353228378215E-3</c:v>
                </c:pt>
                <c:pt idx="740">
                  <c:v>6.6489435989515056E-3</c:v>
                </c:pt>
                <c:pt idx="741">
                  <c:v>6.6343616969483307E-3</c:v>
                </c:pt>
                <c:pt idx="742">
                  <c:v>6.6097315727510538E-3</c:v>
                </c:pt>
                <c:pt idx="743">
                  <c:v>6.5778069809045211E-3</c:v>
                </c:pt>
                <c:pt idx="744">
                  <c:v>6.5494508057842944E-3</c:v>
                </c:pt>
                <c:pt idx="745">
                  <c:v>6.5235377345239289E-3</c:v>
                </c:pt>
                <c:pt idx="746">
                  <c:v>6.4928043917835635E-3</c:v>
                </c:pt>
                <c:pt idx="747">
                  <c:v>6.4544466246495777E-3</c:v>
                </c:pt>
                <c:pt idx="748">
                  <c:v>6.4061687060706076E-3</c:v>
                </c:pt>
                <c:pt idx="749">
                  <c:v>6.3412765339728215E-3</c:v>
                </c:pt>
                <c:pt idx="750">
                  <c:v>6.252670149700601E-3</c:v>
                </c:pt>
                <c:pt idx="751">
                  <c:v>6.1255508624127562E-3</c:v>
                </c:pt>
                <c:pt idx="752">
                  <c:v>5.9198484990039772E-3</c:v>
                </c:pt>
                <c:pt idx="753">
                  <c:v>5.5724887410358347E-3</c:v>
                </c:pt>
                <c:pt idx="754">
                  <c:v>5.0675875019880676E-3</c:v>
                </c:pt>
                <c:pt idx="755">
                  <c:v>4.7051563227408196E-3</c:v>
                </c:pt>
                <c:pt idx="756">
                  <c:v>4.8563876666666613E-3</c:v>
                </c:pt>
                <c:pt idx="757">
                  <c:v>5.3106535847373551E-3</c:v>
                </c:pt>
                <c:pt idx="758">
                  <c:v>5.6813892821782046E-3</c:v>
                </c:pt>
                <c:pt idx="759">
                  <c:v>5.8857703432245324E-3</c:v>
                </c:pt>
                <c:pt idx="760">
                  <c:v>5.9915943162055342E-3</c:v>
                </c:pt>
                <c:pt idx="761">
                  <c:v>6.0415377739387963E-3</c:v>
                </c:pt>
                <c:pt idx="762">
                  <c:v>6.060925845167652E-3</c:v>
                </c:pt>
                <c:pt idx="763">
                  <c:v>6.0772438482758605E-3</c:v>
                </c:pt>
                <c:pt idx="764">
                  <c:v>6.0905621259842507E-3</c:v>
                </c:pt>
                <c:pt idx="765">
                  <c:v>6.0892676676499499E-3</c:v>
                </c:pt>
                <c:pt idx="766">
                  <c:v>6.0780297838899803E-3</c:v>
                </c:pt>
                <c:pt idx="767">
                  <c:v>6.0640904376840022E-3</c:v>
                </c:pt>
                <c:pt idx="768">
                  <c:v>6.0482890686274476E-3</c:v>
                </c:pt>
                <c:pt idx="769">
                  <c:v>6.0315692546523006E-3</c:v>
                </c:pt>
                <c:pt idx="770">
                  <c:v>6.0153045273972595E-3</c:v>
                </c:pt>
                <c:pt idx="771">
                  <c:v>5.9981476119257086E-3</c:v>
                </c:pt>
                <c:pt idx="772">
                  <c:v>5.9796002039024382E-3</c:v>
                </c:pt>
                <c:pt idx="773">
                  <c:v>5.9608116058536571E-3</c:v>
                </c:pt>
                <c:pt idx="774">
                  <c:v>5.9415219766081866E-3</c:v>
                </c:pt>
                <c:pt idx="775">
                  <c:v>5.9222506543330075E-3</c:v>
                </c:pt>
                <c:pt idx="776">
                  <c:v>5.9032062478134098E-3</c:v>
                </c:pt>
                <c:pt idx="777">
                  <c:v>5.8845729378036908E-3</c:v>
                </c:pt>
                <c:pt idx="778">
                  <c:v>5.8651972300970863E-3</c:v>
                </c:pt>
                <c:pt idx="779">
                  <c:v>5.8453698430232541E-3</c:v>
                </c:pt>
                <c:pt idx="780">
                  <c:v>5.8262051143410836E-3</c:v>
                </c:pt>
                <c:pt idx="781">
                  <c:v>5.8068716866537719E-3</c:v>
                </c:pt>
                <c:pt idx="782">
                  <c:v>5.7860326673114092E-3</c:v>
                </c:pt>
                <c:pt idx="783">
                  <c:v>5.7632872750965234E-3</c:v>
                </c:pt>
                <c:pt idx="784">
                  <c:v>5.7449806785714276E-3</c:v>
                </c:pt>
                <c:pt idx="785">
                  <c:v>5.7289449642857143E-3</c:v>
                </c:pt>
                <c:pt idx="786">
                  <c:v>5.7092301021194588E-3</c:v>
                </c:pt>
                <c:pt idx="787">
                  <c:v>5.6880082319538039E-3</c:v>
                </c:pt>
                <c:pt idx="788">
                  <c:v>5.670781490856593E-3</c:v>
                </c:pt>
                <c:pt idx="789">
                  <c:v>5.6534070230547543E-3</c:v>
                </c:pt>
                <c:pt idx="790">
                  <c:v>5.6347026621880987E-3</c:v>
                </c:pt>
                <c:pt idx="791">
                  <c:v>5.6163229348034516E-3</c:v>
                </c:pt>
                <c:pt idx="792">
                  <c:v>5.5981314626436761E-3</c:v>
                </c:pt>
                <c:pt idx="793">
                  <c:v>5.5794241666666643E-3</c:v>
                </c:pt>
                <c:pt idx="794">
                  <c:v>5.5575849244741873E-3</c:v>
                </c:pt>
                <c:pt idx="795">
                  <c:v>5.5291899455587393E-3</c:v>
                </c:pt>
                <c:pt idx="796">
                  <c:v>5.504529324427479E-3</c:v>
                </c:pt>
                <c:pt idx="797">
                  <c:v>5.4917269619047613E-3</c:v>
                </c:pt>
                <c:pt idx="798">
                  <c:v>5.4818805885714274E-3</c:v>
                </c:pt>
                <c:pt idx="799">
                  <c:v>5.4655999524262592E-3</c:v>
                </c:pt>
                <c:pt idx="800">
                  <c:v>5.4444911463878316E-3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E-4C71-A014-FF2ADB0F709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Spectra!$D$3:$D$803</c:f>
              <c:numCache>
                <c:formatCode>0.00E+00</c:formatCode>
                <c:ptCount val="801"/>
                <c:pt idx="0">
                  <c:v>2.0960129999999997E-2</c:v>
                </c:pt>
                <c:pt idx="1">
                  <c:v>2.0212389999999997E-2</c:v>
                </c:pt>
                <c:pt idx="2">
                  <c:v>1.9465009999999998E-2</c:v>
                </c:pt>
                <c:pt idx="3">
                  <c:v>1.7730629999999997E-2</c:v>
                </c:pt>
                <c:pt idx="4">
                  <c:v>1.599662E-2</c:v>
                </c:pt>
                <c:pt idx="5">
                  <c:v>1.7611189999999999E-2</c:v>
                </c:pt>
                <c:pt idx="6">
                  <c:v>1.9225749999999996E-2</c:v>
                </c:pt>
                <c:pt idx="7">
                  <c:v>2.0571469999999998E-2</c:v>
                </c:pt>
                <c:pt idx="8">
                  <c:v>2.1916819999999997E-2</c:v>
                </c:pt>
                <c:pt idx="9">
                  <c:v>2.1511709999999996E-2</c:v>
                </c:pt>
                <c:pt idx="10">
                  <c:v>2.1106609999999998E-2</c:v>
                </c:pt>
                <c:pt idx="11">
                  <c:v>2.0853829999999993E-2</c:v>
                </c:pt>
                <c:pt idx="12">
                  <c:v>2.0601049999999996E-2</c:v>
                </c:pt>
                <c:pt idx="13">
                  <c:v>2.293195E-2</c:v>
                </c:pt>
                <c:pt idx="14">
                  <c:v>2.5262469999999999E-2</c:v>
                </c:pt>
                <c:pt idx="15">
                  <c:v>2.5159460000000002E-2</c:v>
                </c:pt>
                <c:pt idx="16">
                  <c:v>2.5056449999999997E-2</c:v>
                </c:pt>
                <c:pt idx="17">
                  <c:v>2.4651349999999995E-2</c:v>
                </c:pt>
                <c:pt idx="18">
                  <c:v>2.4245879999999994E-2</c:v>
                </c:pt>
                <c:pt idx="19">
                  <c:v>2.4021599999999994E-2</c:v>
                </c:pt>
                <c:pt idx="20">
                  <c:v>2.3797309999999995E-2</c:v>
                </c:pt>
                <c:pt idx="21">
                  <c:v>2.3977029999999996E-2</c:v>
                </c:pt>
                <c:pt idx="22">
                  <c:v>2.4156389999999993E-2</c:v>
                </c:pt>
                <c:pt idx="23">
                  <c:v>2.2857069999999993E-2</c:v>
                </c:pt>
                <c:pt idx="24">
                  <c:v>2.1558109999999995E-2</c:v>
                </c:pt>
                <c:pt idx="25">
                  <c:v>2.1676089999999995E-2</c:v>
                </c:pt>
                <c:pt idx="26">
                  <c:v>2.1794079999999993E-2</c:v>
                </c:pt>
                <c:pt idx="27">
                  <c:v>2.1287429999999996E-2</c:v>
                </c:pt>
                <c:pt idx="28">
                  <c:v>2.0780409999999996E-2</c:v>
                </c:pt>
                <c:pt idx="29">
                  <c:v>2.0257319999999999E-2</c:v>
                </c:pt>
                <c:pt idx="30">
                  <c:v>1.9734229999999998E-2</c:v>
                </c:pt>
                <c:pt idx="31">
                  <c:v>2.1556639999999998E-2</c:v>
                </c:pt>
                <c:pt idx="32">
                  <c:v>2.3379059999999997E-2</c:v>
                </c:pt>
                <c:pt idx="33">
                  <c:v>2.4217749999999996E-2</c:v>
                </c:pt>
                <c:pt idx="34">
                  <c:v>2.5056449999999997E-2</c:v>
                </c:pt>
                <c:pt idx="35">
                  <c:v>2.4337199999999996E-2</c:v>
                </c:pt>
                <c:pt idx="36">
                  <c:v>2.361795999999999E-2</c:v>
                </c:pt>
                <c:pt idx="37">
                  <c:v>2.3887169999999992E-2</c:v>
                </c:pt>
                <c:pt idx="38">
                  <c:v>2.4156389999999993E-2</c:v>
                </c:pt>
                <c:pt idx="39">
                  <c:v>2.4709429999999991E-2</c:v>
                </c:pt>
                <c:pt idx="40">
                  <c:v>2.5262469999999999E-2</c:v>
                </c:pt>
                <c:pt idx="41">
                  <c:v>2.6026650000000002E-2</c:v>
                </c:pt>
                <c:pt idx="42">
                  <c:v>2.6790469999999997E-2</c:v>
                </c:pt>
                <c:pt idx="43">
                  <c:v>2.6326919999999997E-2</c:v>
                </c:pt>
                <c:pt idx="44">
                  <c:v>2.5863739999999993E-2</c:v>
                </c:pt>
                <c:pt idx="45">
                  <c:v>2.6131119999999994E-2</c:v>
                </c:pt>
                <c:pt idx="46">
                  <c:v>2.6398879999999996E-2</c:v>
                </c:pt>
                <c:pt idx="47">
                  <c:v>2.6475219999999997E-2</c:v>
                </c:pt>
                <c:pt idx="48">
                  <c:v>2.6551209999999999E-2</c:v>
                </c:pt>
                <c:pt idx="49">
                  <c:v>2.7104609999999998E-2</c:v>
                </c:pt>
                <c:pt idx="50">
                  <c:v>2.7657659999999994E-2</c:v>
                </c:pt>
                <c:pt idx="51">
                  <c:v>2.7896919999999995E-2</c:v>
                </c:pt>
                <c:pt idx="52">
                  <c:v>2.8135819999999995E-2</c:v>
                </c:pt>
                <c:pt idx="53">
                  <c:v>2.8074809999999992E-2</c:v>
                </c:pt>
                <c:pt idx="54">
                  <c:v>2.8013440000000001E-2</c:v>
                </c:pt>
                <c:pt idx="55">
                  <c:v>2.7908609999999993E-2</c:v>
                </c:pt>
                <c:pt idx="56">
                  <c:v>2.7804139999999998E-2</c:v>
                </c:pt>
                <c:pt idx="57">
                  <c:v>2.8267679999999996E-2</c:v>
                </c:pt>
                <c:pt idx="58">
                  <c:v>2.8730869999999995E-2</c:v>
                </c:pt>
                <c:pt idx="59">
                  <c:v>2.8462019999999994E-2</c:v>
                </c:pt>
                <c:pt idx="60">
                  <c:v>2.819279999999999E-2</c:v>
                </c:pt>
                <c:pt idx="61">
                  <c:v>2.8254169999999995E-2</c:v>
                </c:pt>
                <c:pt idx="62">
                  <c:v>2.8315539999999997E-2</c:v>
                </c:pt>
                <c:pt idx="63">
                  <c:v>2.8584389999999994E-2</c:v>
                </c:pt>
                <c:pt idx="64">
                  <c:v>2.8853599999999997E-2</c:v>
                </c:pt>
                <c:pt idx="65">
                  <c:v>2.891351E-2</c:v>
                </c:pt>
                <c:pt idx="66">
                  <c:v>2.8973049999999997E-2</c:v>
                </c:pt>
                <c:pt idx="67">
                  <c:v>2.9031499999999991E-2</c:v>
                </c:pt>
                <c:pt idx="68">
                  <c:v>2.9089939999999995E-2</c:v>
                </c:pt>
                <c:pt idx="69">
                  <c:v>2.9089939999999995E-2</c:v>
                </c:pt>
                <c:pt idx="70">
                  <c:v>2.9089939999999995E-2</c:v>
                </c:pt>
                <c:pt idx="71">
                  <c:v>2.8777260000000002E-2</c:v>
                </c:pt>
                <c:pt idx="72">
                  <c:v>2.8464939999999998E-2</c:v>
                </c:pt>
                <c:pt idx="73">
                  <c:v>2.8285579999999998E-2</c:v>
                </c:pt>
                <c:pt idx="74">
                  <c:v>2.8106229999999999E-2</c:v>
                </c:pt>
                <c:pt idx="75">
                  <c:v>2.9203914999999997E-2</c:v>
                </c:pt>
                <c:pt idx="76">
                  <c:v>3.0301599999999995E-2</c:v>
                </c:pt>
                <c:pt idx="77">
                  <c:v>3.1059929999999999E-2</c:v>
                </c:pt>
                <c:pt idx="78">
                  <c:v>2.7017669999999994E-2</c:v>
                </c:pt>
                <c:pt idx="79">
                  <c:v>3.0239129999999993E-2</c:v>
                </c:pt>
                <c:pt idx="80">
                  <c:v>3.1703569999999993E-2</c:v>
                </c:pt>
                <c:pt idx="81">
                  <c:v>3.0223789999999997E-2</c:v>
                </c:pt>
                <c:pt idx="82">
                  <c:v>2.9684999999999996E-2</c:v>
                </c:pt>
                <c:pt idx="83">
                  <c:v>2.9398609999999995E-2</c:v>
                </c:pt>
                <c:pt idx="84">
                  <c:v>3.0222699999999998E-2</c:v>
                </c:pt>
                <c:pt idx="85">
                  <c:v>2.8989849999999998E-2</c:v>
                </c:pt>
                <c:pt idx="86">
                  <c:v>2.9437700000000001E-2</c:v>
                </c:pt>
                <c:pt idx="87">
                  <c:v>2.8887939999999997E-2</c:v>
                </c:pt>
                <c:pt idx="88">
                  <c:v>2.8133259999999993E-2</c:v>
                </c:pt>
                <c:pt idx="89">
                  <c:v>2.9100169999999995E-2</c:v>
                </c:pt>
                <c:pt idx="90">
                  <c:v>2.9336149999999995E-2</c:v>
                </c:pt>
                <c:pt idx="91">
                  <c:v>3.0377939999999996E-2</c:v>
                </c:pt>
                <c:pt idx="92">
                  <c:v>3.0350549999999997E-2</c:v>
                </c:pt>
                <c:pt idx="93">
                  <c:v>2.9355139999999995E-2</c:v>
                </c:pt>
                <c:pt idx="94">
                  <c:v>2.7816919999999995E-2</c:v>
                </c:pt>
                <c:pt idx="95">
                  <c:v>2.9255049999999991E-2</c:v>
                </c:pt>
                <c:pt idx="96">
                  <c:v>2.9068030000000002E-2</c:v>
                </c:pt>
                <c:pt idx="97">
                  <c:v>2.9127199999999995E-2</c:v>
                </c:pt>
                <c:pt idx="98">
                  <c:v>2.8363759999999998E-2</c:v>
                </c:pt>
                <c:pt idx="99">
                  <c:v>2.8345490000000001E-2</c:v>
                </c:pt>
                <c:pt idx="100">
                  <c:v>2.8112069999999999E-2</c:v>
                </c:pt>
                <c:pt idx="101">
                  <c:v>2.7668249999999998E-2</c:v>
                </c:pt>
                <c:pt idx="102">
                  <c:v>2.7546969999999994E-2</c:v>
                </c:pt>
                <c:pt idx="103">
                  <c:v>2.74878E-2</c:v>
                </c:pt>
                <c:pt idx="104">
                  <c:v>2.7471729999999989E-2</c:v>
                </c:pt>
                <c:pt idx="105">
                  <c:v>2.8628219999999996E-2</c:v>
                </c:pt>
                <c:pt idx="106">
                  <c:v>2.798459E-2</c:v>
                </c:pt>
                <c:pt idx="107">
                  <c:v>2.6866449999999997E-2</c:v>
                </c:pt>
                <c:pt idx="108">
                  <c:v>2.6980779999999996E-2</c:v>
                </c:pt>
                <c:pt idx="109">
                  <c:v>2.6601249999999996E-2</c:v>
                </c:pt>
                <c:pt idx="110">
                  <c:v>2.6124919999999996E-2</c:v>
                </c:pt>
                <c:pt idx="111">
                  <c:v>2.5946649999999998E-2</c:v>
                </c:pt>
                <c:pt idx="112">
                  <c:v>2.6446369999999997E-2</c:v>
                </c:pt>
                <c:pt idx="113">
                  <c:v>2.6973109999999995E-2</c:v>
                </c:pt>
                <c:pt idx="114">
                  <c:v>2.6759779999999993E-2</c:v>
                </c:pt>
                <c:pt idx="115">
                  <c:v>2.7466979999999995E-2</c:v>
                </c:pt>
                <c:pt idx="116">
                  <c:v>2.7880849999999999E-2</c:v>
                </c:pt>
                <c:pt idx="117">
                  <c:v>2.7062609999999994E-2</c:v>
                </c:pt>
                <c:pt idx="118">
                  <c:v>2.700489E-2</c:v>
                </c:pt>
                <c:pt idx="119">
                  <c:v>2.6320339999999998E-2</c:v>
                </c:pt>
                <c:pt idx="120">
                  <c:v>2.7024979999999997E-2</c:v>
                </c:pt>
                <c:pt idx="121">
                  <c:v>2.7611269999999993E-2</c:v>
                </c:pt>
                <c:pt idx="122">
                  <c:v>2.9810289999999996E-2</c:v>
                </c:pt>
                <c:pt idx="123">
                  <c:v>3.0680759999999994E-2</c:v>
                </c:pt>
                <c:pt idx="124">
                  <c:v>3.0579579999999995E-2</c:v>
                </c:pt>
                <c:pt idx="125">
                  <c:v>3.3272110000000001E-2</c:v>
                </c:pt>
                <c:pt idx="126">
                  <c:v>3.3620949999999997E-2</c:v>
                </c:pt>
                <c:pt idx="127">
                  <c:v>3.6152029999999995E-2</c:v>
                </c:pt>
                <c:pt idx="128">
                  <c:v>4.1909309999999991E-2</c:v>
                </c:pt>
                <c:pt idx="129">
                  <c:v>4.0758649999999993E-2</c:v>
                </c:pt>
                <c:pt idx="130">
                  <c:v>3.9030849999999992E-2</c:v>
                </c:pt>
                <c:pt idx="131">
                  <c:v>4.7914609999999996E-2</c:v>
                </c:pt>
                <c:pt idx="132">
                  <c:v>4.9967520000000001E-2</c:v>
                </c:pt>
                <c:pt idx="133">
                  <c:v>3.8713049999999999E-2</c:v>
                </c:pt>
                <c:pt idx="134">
                  <c:v>3.9520329999999999E-2</c:v>
                </c:pt>
                <c:pt idx="135">
                  <c:v>5.2155589999999995E-2</c:v>
                </c:pt>
                <c:pt idx="136">
                  <c:v>6.0926109999999992E-2</c:v>
                </c:pt>
                <c:pt idx="137">
                  <c:v>5.7945369999999982E-2</c:v>
                </c:pt>
                <c:pt idx="138">
                  <c:v>4.4101029999999992E-2</c:v>
                </c:pt>
                <c:pt idx="139">
                  <c:v>3.812128E-2</c:v>
                </c:pt>
                <c:pt idx="140">
                  <c:v>4.9251559999999993E-2</c:v>
                </c:pt>
                <c:pt idx="141">
                  <c:v>5.9490539999999995E-2</c:v>
                </c:pt>
                <c:pt idx="142">
                  <c:v>5.8789179999999996E-2</c:v>
                </c:pt>
                <c:pt idx="143">
                  <c:v>5.3667869999999999E-2</c:v>
                </c:pt>
                <c:pt idx="144">
                  <c:v>5.5417590000000003E-2</c:v>
                </c:pt>
                <c:pt idx="145">
                  <c:v>5.7360919999999989E-2</c:v>
                </c:pt>
                <c:pt idx="146">
                  <c:v>4.4017009999999995E-2</c:v>
                </c:pt>
                <c:pt idx="147">
                  <c:v>3.6725889999999997E-2</c:v>
                </c:pt>
                <c:pt idx="148">
                  <c:v>4.9434199999999991E-2</c:v>
                </c:pt>
                <c:pt idx="149">
                  <c:v>6.1415599999999987E-2</c:v>
                </c:pt>
                <c:pt idx="150">
                  <c:v>7.0149589999999984E-2</c:v>
                </c:pt>
                <c:pt idx="151">
                  <c:v>7.1501149999999986E-2</c:v>
                </c:pt>
                <c:pt idx="152">
                  <c:v>7.2633530000000002E-2</c:v>
                </c:pt>
                <c:pt idx="153">
                  <c:v>7.4028929999999993E-2</c:v>
                </c:pt>
                <c:pt idx="154">
                  <c:v>7.4869099999999994E-2</c:v>
                </c:pt>
                <c:pt idx="155">
                  <c:v>7.4233489999999999E-2</c:v>
                </c:pt>
                <c:pt idx="156">
                  <c:v>7.2870980000000002E-2</c:v>
                </c:pt>
                <c:pt idx="157">
                  <c:v>6.6566130000000001E-2</c:v>
                </c:pt>
                <c:pt idx="158">
                  <c:v>5.8803799999999996E-2</c:v>
                </c:pt>
                <c:pt idx="159">
                  <c:v>4.7607769999999994E-2</c:v>
                </c:pt>
                <c:pt idx="160">
                  <c:v>4.0287429999999992E-2</c:v>
                </c:pt>
                <c:pt idx="161">
                  <c:v>4.8689019999999993E-2</c:v>
                </c:pt>
                <c:pt idx="162">
                  <c:v>6.0736159999999997E-2</c:v>
                </c:pt>
                <c:pt idx="163">
                  <c:v>6.7859249999999982E-2</c:v>
                </c:pt>
                <c:pt idx="164">
                  <c:v>7.1358689999999989E-2</c:v>
                </c:pt>
                <c:pt idx="165">
                  <c:v>7.0379719999999993E-2</c:v>
                </c:pt>
                <c:pt idx="166">
                  <c:v>7.1176049999999991E-2</c:v>
                </c:pt>
                <c:pt idx="167">
                  <c:v>6.9645499999999999E-2</c:v>
                </c:pt>
                <c:pt idx="168">
                  <c:v>6.8432749999999987E-2</c:v>
                </c:pt>
                <c:pt idx="169">
                  <c:v>7.0660989999999993E-2</c:v>
                </c:pt>
                <c:pt idx="170">
                  <c:v>7.2374189999999991E-2</c:v>
                </c:pt>
                <c:pt idx="171">
                  <c:v>7.0547750000000006E-2</c:v>
                </c:pt>
                <c:pt idx="172">
                  <c:v>7.0149589999999984E-2</c:v>
                </c:pt>
                <c:pt idx="173">
                  <c:v>6.914505999999998E-2</c:v>
                </c:pt>
                <c:pt idx="174">
                  <c:v>6.6876619999999984E-2</c:v>
                </c:pt>
                <c:pt idx="175">
                  <c:v>6.6865669999999988E-2</c:v>
                </c:pt>
                <c:pt idx="176">
                  <c:v>6.7216339999999986E-2</c:v>
                </c:pt>
                <c:pt idx="177">
                  <c:v>6.7797149999999987E-2</c:v>
                </c:pt>
                <c:pt idx="178">
                  <c:v>6.4852939999999998E-2</c:v>
                </c:pt>
                <c:pt idx="179">
                  <c:v>6.2591819999999992E-2</c:v>
                </c:pt>
                <c:pt idx="180">
                  <c:v>5.8296049999999988E-2</c:v>
                </c:pt>
                <c:pt idx="181">
                  <c:v>5.1735499999999997E-2</c:v>
                </c:pt>
                <c:pt idx="182">
                  <c:v>4.8294509999999999E-2</c:v>
                </c:pt>
                <c:pt idx="183">
                  <c:v>3.9180609999999998E-2</c:v>
                </c:pt>
                <c:pt idx="184">
                  <c:v>3.5817419999999996E-2</c:v>
                </c:pt>
                <c:pt idx="185">
                  <c:v>4.335217999999999E-2</c:v>
                </c:pt>
                <c:pt idx="186">
                  <c:v>5.2685249999999989E-2</c:v>
                </c:pt>
                <c:pt idx="187">
                  <c:v>5.8084189999999994E-2</c:v>
                </c:pt>
                <c:pt idx="188">
                  <c:v>5.970604999999999E-2</c:v>
                </c:pt>
                <c:pt idx="189">
                  <c:v>5.874900999999999E-2</c:v>
                </c:pt>
                <c:pt idx="190">
                  <c:v>5.6363679999999985E-2</c:v>
                </c:pt>
                <c:pt idx="191">
                  <c:v>5.8613849999999995E-2</c:v>
                </c:pt>
                <c:pt idx="192">
                  <c:v>5.8628459999999993E-2</c:v>
                </c:pt>
                <c:pt idx="193">
                  <c:v>6.0202839999999987E-2</c:v>
                </c:pt>
                <c:pt idx="194">
                  <c:v>5.876726999999999E-2</c:v>
                </c:pt>
                <c:pt idx="195">
                  <c:v>5.8285090000000005E-2</c:v>
                </c:pt>
                <c:pt idx="196">
                  <c:v>5.9172739999999988E-2</c:v>
                </c:pt>
                <c:pt idx="197">
                  <c:v>5.7707939999999985E-2</c:v>
                </c:pt>
                <c:pt idx="198">
                  <c:v>5.859193E-2</c:v>
                </c:pt>
                <c:pt idx="199">
                  <c:v>5.8493299999999998E-2</c:v>
                </c:pt>
                <c:pt idx="200">
                  <c:v>5.9804689999999994E-2</c:v>
                </c:pt>
                <c:pt idx="201">
                  <c:v>6.0611959999999993E-2</c:v>
                </c:pt>
                <c:pt idx="202">
                  <c:v>5.9596469999999992E-2</c:v>
                </c:pt>
                <c:pt idx="203">
                  <c:v>5.9282329999999994E-2</c:v>
                </c:pt>
                <c:pt idx="204">
                  <c:v>5.9391909999999992E-2</c:v>
                </c:pt>
                <c:pt idx="205">
                  <c:v>5.8073219999999988E-2</c:v>
                </c:pt>
                <c:pt idx="206">
                  <c:v>5.8186460000000002E-2</c:v>
                </c:pt>
                <c:pt idx="207">
                  <c:v>5.8924339999999992E-2</c:v>
                </c:pt>
                <c:pt idx="208">
                  <c:v>5.8047660000000001E-2</c:v>
                </c:pt>
                <c:pt idx="209">
                  <c:v>5.9764499999999991E-2</c:v>
                </c:pt>
                <c:pt idx="210">
                  <c:v>5.9815639999999996E-2</c:v>
                </c:pt>
                <c:pt idx="211">
                  <c:v>6.0432969999999989E-2</c:v>
                </c:pt>
                <c:pt idx="212">
                  <c:v>5.8632119999999989E-2</c:v>
                </c:pt>
                <c:pt idx="213">
                  <c:v>5.7561829999999994E-2</c:v>
                </c:pt>
                <c:pt idx="214">
                  <c:v>5.8482349999999989E-2</c:v>
                </c:pt>
                <c:pt idx="215">
                  <c:v>5.6864129999999992E-2</c:v>
                </c:pt>
                <c:pt idx="216">
                  <c:v>5.6875089999999989E-2</c:v>
                </c:pt>
                <c:pt idx="217">
                  <c:v>5.627966999999999E-2</c:v>
                </c:pt>
                <c:pt idx="218">
                  <c:v>5.6736279999999986E-2</c:v>
                </c:pt>
                <c:pt idx="219">
                  <c:v>5.5947259999999992E-2</c:v>
                </c:pt>
                <c:pt idx="220">
                  <c:v>5.56112E-2</c:v>
                </c:pt>
                <c:pt idx="221">
                  <c:v>5.5085179999999984E-2</c:v>
                </c:pt>
                <c:pt idx="222">
                  <c:v>5.332449999999999E-2</c:v>
                </c:pt>
                <c:pt idx="223">
                  <c:v>5.4668749999999995E-2</c:v>
                </c:pt>
                <c:pt idx="224">
                  <c:v>5.4193879999999993E-2</c:v>
                </c:pt>
                <c:pt idx="225">
                  <c:v>5.5077879999999989E-2</c:v>
                </c:pt>
                <c:pt idx="226">
                  <c:v>5.3835899999999985E-2</c:v>
                </c:pt>
                <c:pt idx="227">
                  <c:v>5.3130899999999988E-2</c:v>
                </c:pt>
                <c:pt idx="228">
                  <c:v>5.4533599999999988E-2</c:v>
                </c:pt>
                <c:pt idx="229">
                  <c:v>5.2926339999999988E-2</c:v>
                </c:pt>
                <c:pt idx="230">
                  <c:v>5.2561049999999991E-2</c:v>
                </c:pt>
                <c:pt idx="231">
                  <c:v>5.1205839999999996E-2</c:v>
                </c:pt>
                <c:pt idx="232">
                  <c:v>4.8689019999999993E-2</c:v>
                </c:pt>
                <c:pt idx="233">
                  <c:v>4.7359379999999993E-2</c:v>
                </c:pt>
                <c:pt idx="234">
                  <c:v>4.2870009999999993E-2</c:v>
                </c:pt>
                <c:pt idx="235">
                  <c:v>3.4284679999999991E-2</c:v>
                </c:pt>
                <c:pt idx="236">
                  <c:v>2.9794579999999998E-2</c:v>
                </c:pt>
                <c:pt idx="237">
                  <c:v>3.4704759999999994E-2</c:v>
                </c:pt>
                <c:pt idx="238">
                  <c:v>4.0988780000000002E-2</c:v>
                </c:pt>
                <c:pt idx="239">
                  <c:v>4.5134779999999985E-2</c:v>
                </c:pt>
                <c:pt idx="240">
                  <c:v>4.6610539999999999E-2</c:v>
                </c:pt>
                <c:pt idx="241">
                  <c:v>4.7556629999999989E-2</c:v>
                </c:pt>
                <c:pt idx="242">
                  <c:v>4.7180389999999996E-2</c:v>
                </c:pt>
                <c:pt idx="243">
                  <c:v>4.7801369999999989E-2</c:v>
                </c:pt>
                <c:pt idx="244">
                  <c:v>4.8860699999999993E-2</c:v>
                </c:pt>
                <c:pt idx="245">
                  <c:v>4.7815989999999996E-2</c:v>
                </c:pt>
                <c:pt idx="246">
                  <c:v>4.9313659999999995E-2</c:v>
                </c:pt>
                <c:pt idx="247">
                  <c:v>4.7341109999999999E-2</c:v>
                </c:pt>
                <c:pt idx="248">
                  <c:v>4.6362149999999991E-2</c:v>
                </c:pt>
                <c:pt idx="249">
                  <c:v>4.6873549999999986E-2</c:v>
                </c:pt>
                <c:pt idx="250">
                  <c:v>4.7257099999999989E-2</c:v>
                </c:pt>
                <c:pt idx="251">
                  <c:v>4.5763069999999989E-2</c:v>
                </c:pt>
                <c:pt idx="252">
                  <c:v>4.6102789999999991E-2</c:v>
                </c:pt>
                <c:pt idx="253">
                  <c:v>4.5226099999999991E-2</c:v>
                </c:pt>
                <c:pt idx="254">
                  <c:v>4.4400559999999992E-2</c:v>
                </c:pt>
                <c:pt idx="255">
                  <c:v>4.521513999999998E-2</c:v>
                </c:pt>
                <c:pt idx="256">
                  <c:v>4.5291849999999988E-2</c:v>
                </c:pt>
                <c:pt idx="257">
                  <c:v>4.5156699999999994E-2</c:v>
                </c:pt>
                <c:pt idx="258">
                  <c:v>4.4637989999999995E-2</c:v>
                </c:pt>
                <c:pt idx="259">
                  <c:v>4.3998739999999995E-2</c:v>
                </c:pt>
                <c:pt idx="260">
                  <c:v>4.4203300000000001E-2</c:v>
                </c:pt>
                <c:pt idx="261">
                  <c:v>4.3151269999999999E-2</c:v>
                </c:pt>
                <c:pt idx="262">
                  <c:v>4.3735739999999995E-2</c:v>
                </c:pt>
                <c:pt idx="263">
                  <c:v>4.2522989999999997E-2</c:v>
                </c:pt>
                <c:pt idx="264">
                  <c:v>4.2606999999999999E-2</c:v>
                </c:pt>
                <c:pt idx="265">
                  <c:v>4.335217999999999E-2</c:v>
                </c:pt>
                <c:pt idx="266">
                  <c:v>4.2278239999999995E-2</c:v>
                </c:pt>
                <c:pt idx="267">
                  <c:v>4.1620729999999995E-2</c:v>
                </c:pt>
                <c:pt idx="268">
                  <c:v>4.1828939999999995E-2</c:v>
                </c:pt>
                <c:pt idx="269">
                  <c:v>4.0817099999999995E-2</c:v>
                </c:pt>
                <c:pt idx="270">
                  <c:v>3.9984239999999997E-2</c:v>
                </c:pt>
                <c:pt idx="271">
                  <c:v>4.110566999999999E-2</c:v>
                </c:pt>
                <c:pt idx="272">
                  <c:v>4.0506599999999997E-2</c:v>
                </c:pt>
                <c:pt idx="273">
                  <c:v>4.051391E-2</c:v>
                </c:pt>
                <c:pt idx="274">
                  <c:v>4.0557740000000002E-2</c:v>
                </c:pt>
                <c:pt idx="275">
                  <c:v>4.1080100000000001E-2</c:v>
                </c:pt>
                <c:pt idx="276">
                  <c:v>4.0130359999999997E-2</c:v>
                </c:pt>
                <c:pt idx="277">
                  <c:v>3.9001619999999994E-2</c:v>
                </c:pt>
                <c:pt idx="278">
                  <c:v>3.9786989999999994E-2</c:v>
                </c:pt>
                <c:pt idx="279">
                  <c:v>3.987099999999999E-2</c:v>
                </c:pt>
                <c:pt idx="280">
                  <c:v>3.9761419999999992E-2</c:v>
                </c:pt>
                <c:pt idx="281">
                  <c:v>3.9454579999999996E-2</c:v>
                </c:pt>
                <c:pt idx="282">
                  <c:v>3.9074679999999994E-2</c:v>
                </c:pt>
                <c:pt idx="283">
                  <c:v>3.8661910000000001E-2</c:v>
                </c:pt>
                <c:pt idx="284">
                  <c:v>3.9282889999999994E-2</c:v>
                </c:pt>
                <c:pt idx="285">
                  <c:v>3.8296619999999996E-2</c:v>
                </c:pt>
                <c:pt idx="286">
                  <c:v>3.7149619999999994E-2</c:v>
                </c:pt>
                <c:pt idx="287">
                  <c:v>3.7149619999999994E-2</c:v>
                </c:pt>
                <c:pt idx="288">
                  <c:v>3.6992549999999992E-2</c:v>
                </c:pt>
                <c:pt idx="289">
                  <c:v>3.7562400000000003E-2</c:v>
                </c:pt>
                <c:pt idx="290">
                  <c:v>3.6798949999999997E-2</c:v>
                </c:pt>
                <c:pt idx="291">
                  <c:v>3.6784339999999992E-2</c:v>
                </c:pt>
                <c:pt idx="292">
                  <c:v>3.7113089999999994E-2</c:v>
                </c:pt>
                <c:pt idx="293">
                  <c:v>3.6467629999999994E-2</c:v>
                </c:pt>
                <c:pt idx="294">
                  <c:v>3.7040039999999996E-2</c:v>
                </c:pt>
                <c:pt idx="295">
                  <c:v>3.6417949999999998E-2</c:v>
                </c:pt>
                <c:pt idx="296">
                  <c:v>3.6590729999999995E-2</c:v>
                </c:pt>
                <c:pt idx="297">
                  <c:v>3.6419049999999994E-2</c:v>
                </c:pt>
                <c:pt idx="298">
                  <c:v>3.6901229999999993E-2</c:v>
                </c:pt>
                <c:pt idx="299">
                  <c:v>3.7131359999999995E-2</c:v>
                </c:pt>
                <c:pt idx="300">
                  <c:v>3.6923139999999993E-2</c:v>
                </c:pt>
                <c:pt idx="301">
                  <c:v>3.6142159999999993E-2</c:v>
                </c:pt>
                <c:pt idx="302">
                  <c:v>3.4882659999999989E-2</c:v>
                </c:pt>
                <c:pt idx="303">
                  <c:v>3.6128639999999997E-2</c:v>
                </c:pt>
                <c:pt idx="304">
                  <c:v>3.614106999999999E-2</c:v>
                </c:pt>
                <c:pt idx="305">
                  <c:v>3.6438039999999991E-2</c:v>
                </c:pt>
                <c:pt idx="306">
                  <c:v>3.6058879999999995E-2</c:v>
                </c:pt>
                <c:pt idx="307">
                  <c:v>3.6247369999999994E-2</c:v>
                </c:pt>
                <c:pt idx="308">
                  <c:v>3.5836049999999994E-2</c:v>
                </c:pt>
                <c:pt idx="309">
                  <c:v>3.4847589999999998E-2</c:v>
                </c:pt>
                <c:pt idx="310">
                  <c:v>3.5545649999999998E-2</c:v>
                </c:pt>
                <c:pt idx="311">
                  <c:v>3.4794249999999999E-2</c:v>
                </c:pt>
                <c:pt idx="312">
                  <c:v>3.451481E-2</c:v>
                </c:pt>
                <c:pt idx="313">
                  <c:v>3.4583489999999988E-2</c:v>
                </c:pt>
                <c:pt idx="314">
                  <c:v>3.4260209999999999E-2</c:v>
                </c:pt>
                <c:pt idx="315">
                  <c:v>3.4258749999999991E-2</c:v>
                </c:pt>
                <c:pt idx="316">
                  <c:v>3.3973819999999995E-2</c:v>
                </c:pt>
                <c:pt idx="317">
                  <c:v>3.3531099999999994E-2</c:v>
                </c:pt>
                <c:pt idx="318">
                  <c:v>3.3463519999999997E-2</c:v>
                </c:pt>
                <c:pt idx="319">
                  <c:v>3.3048919999999996E-2</c:v>
                </c:pt>
                <c:pt idx="320">
                  <c:v>3.3660409999999995E-2</c:v>
                </c:pt>
                <c:pt idx="321">
                  <c:v>3.3082519999999997E-2</c:v>
                </c:pt>
                <c:pt idx="322">
                  <c:v>3.3157770000000003E-2</c:v>
                </c:pt>
                <c:pt idx="323">
                  <c:v>3.2948829999999991E-2</c:v>
                </c:pt>
                <c:pt idx="324">
                  <c:v>3.2332959999999994E-2</c:v>
                </c:pt>
                <c:pt idx="325">
                  <c:v>3.2646189999999992E-2</c:v>
                </c:pt>
                <c:pt idx="326">
                  <c:v>3.2959419999999996E-2</c:v>
                </c:pt>
                <c:pt idx="327">
                  <c:v>3.2505004999999997E-2</c:v>
                </c:pt>
                <c:pt idx="328">
                  <c:v>3.2050589999999997E-2</c:v>
                </c:pt>
                <c:pt idx="329">
                  <c:v>3.2164559999999995E-2</c:v>
                </c:pt>
                <c:pt idx="330">
                  <c:v>3.2278529999999993E-2</c:v>
                </c:pt>
                <c:pt idx="331">
                  <c:v>3.2226109999999995E-2</c:v>
                </c:pt>
                <c:pt idx="332">
                  <c:v>3.2173689999999998E-2</c:v>
                </c:pt>
                <c:pt idx="333">
                  <c:v>3.2118164999999997E-2</c:v>
                </c:pt>
                <c:pt idx="334">
                  <c:v>3.2062639999999996E-2</c:v>
                </c:pt>
                <c:pt idx="335">
                  <c:v>3.1515444999999996E-2</c:v>
                </c:pt>
                <c:pt idx="336">
                  <c:v>3.0968249999999996E-2</c:v>
                </c:pt>
                <c:pt idx="337">
                  <c:v>3.0855194999999995E-2</c:v>
                </c:pt>
                <c:pt idx="338">
                  <c:v>3.0742139999999994E-2</c:v>
                </c:pt>
                <c:pt idx="339">
                  <c:v>3.022488999999999E-2</c:v>
                </c:pt>
                <c:pt idx="340">
                  <c:v>2.970763999999999E-2</c:v>
                </c:pt>
                <c:pt idx="341">
                  <c:v>2.9615039999999995E-2</c:v>
                </c:pt>
                <c:pt idx="342">
                  <c:v>2.9522439999999997E-2</c:v>
                </c:pt>
                <c:pt idx="343">
                  <c:v>2.9693029999999995E-2</c:v>
                </c:pt>
                <c:pt idx="344">
                  <c:v>2.9863619999999994E-2</c:v>
                </c:pt>
                <c:pt idx="345">
                  <c:v>2.9935944999999995E-2</c:v>
                </c:pt>
                <c:pt idx="346">
                  <c:v>3.0008269999999997E-2</c:v>
                </c:pt>
                <c:pt idx="347">
                  <c:v>2.987604E-2</c:v>
                </c:pt>
                <c:pt idx="348">
                  <c:v>2.9743809999999999E-2</c:v>
                </c:pt>
                <c:pt idx="349">
                  <c:v>2.9278614999999997E-2</c:v>
                </c:pt>
                <c:pt idx="350">
                  <c:v>2.8813419999999996E-2</c:v>
                </c:pt>
                <c:pt idx="351">
                  <c:v>2.9018344999999994E-2</c:v>
                </c:pt>
                <c:pt idx="352">
                  <c:v>2.9223269999999996E-2</c:v>
                </c:pt>
                <c:pt idx="353">
                  <c:v>2.9138524999999995E-2</c:v>
                </c:pt>
                <c:pt idx="354">
                  <c:v>2.9053779999999994E-2</c:v>
                </c:pt>
                <c:pt idx="355">
                  <c:v>2.9078804999999999E-2</c:v>
                </c:pt>
                <c:pt idx="356">
                  <c:v>2.9103830000000001E-2</c:v>
                </c:pt>
                <c:pt idx="357">
                  <c:v>2.9052689999999999E-2</c:v>
                </c:pt>
                <c:pt idx="358">
                  <c:v>2.9001549999999997E-2</c:v>
                </c:pt>
                <c:pt idx="359">
                  <c:v>2.8490509999999997E-2</c:v>
                </c:pt>
                <c:pt idx="360">
                  <c:v>2.7979469999999996E-2</c:v>
                </c:pt>
                <c:pt idx="361">
                  <c:v>2.8159739999999996E-2</c:v>
                </c:pt>
                <c:pt idx="362">
                  <c:v>2.8340009999999995E-2</c:v>
                </c:pt>
                <c:pt idx="363">
                  <c:v>2.7618204999999993E-2</c:v>
                </c:pt>
                <c:pt idx="364">
                  <c:v>2.6896399999999994E-2</c:v>
                </c:pt>
                <c:pt idx="365">
                  <c:v>2.6887084999999995E-2</c:v>
                </c:pt>
                <c:pt idx="366">
                  <c:v>2.6877769999999995E-2</c:v>
                </c:pt>
                <c:pt idx="367">
                  <c:v>2.6808184999999998E-2</c:v>
                </c:pt>
                <c:pt idx="368">
                  <c:v>2.6738600000000001E-2</c:v>
                </c:pt>
                <c:pt idx="369">
                  <c:v>2.6806174999999995E-2</c:v>
                </c:pt>
                <c:pt idx="370">
                  <c:v>2.6873749999999991E-2</c:v>
                </c:pt>
                <c:pt idx="371">
                  <c:v>2.6737864999999993E-2</c:v>
                </c:pt>
                <c:pt idx="372">
                  <c:v>2.6601979999999997E-2</c:v>
                </c:pt>
                <c:pt idx="373">
                  <c:v>2.6192309999999996E-2</c:v>
                </c:pt>
                <c:pt idx="374">
                  <c:v>2.5782639999999999E-2</c:v>
                </c:pt>
                <c:pt idx="375">
                  <c:v>2.5440915000000001E-2</c:v>
                </c:pt>
                <c:pt idx="376">
                  <c:v>2.509919E-2</c:v>
                </c:pt>
                <c:pt idx="377">
                  <c:v>2.4855725000000002E-2</c:v>
                </c:pt>
                <c:pt idx="378">
                  <c:v>2.461226E-2</c:v>
                </c:pt>
                <c:pt idx="379">
                  <c:v>2.4809879999999999E-2</c:v>
                </c:pt>
                <c:pt idx="380">
                  <c:v>2.5007499999999998E-2</c:v>
                </c:pt>
                <c:pt idx="381">
                  <c:v>2.5099554999999999E-2</c:v>
                </c:pt>
                <c:pt idx="382">
                  <c:v>2.519161E-2</c:v>
                </c:pt>
                <c:pt idx="383">
                  <c:v>2.50265E-2</c:v>
                </c:pt>
                <c:pt idx="384">
                  <c:v>2.4861390000000001E-2</c:v>
                </c:pt>
                <c:pt idx="385">
                  <c:v>2.4672534999999999E-2</c:v>
                </c:pt>
                <c:pt idx="386">
                  <c:v>2.4483679999999997E-2</c:v>
                </c:pt>
                <c:pt idx="387">
                  <c:v>2.4416469999999996E-2</c:v>
                </c:pt>
                <c:pt idx="388">
                  <c:v>2.4349259999999998E-2</c:v>
                </c:pt>
                <c:pt idx="389">
                  <c:v>2.4464324999999995E-2</c:v>
                </c:pt>
                <c:pt idx="390">
                  <c:v>2.4579389999999996E-2</c:v>
                </c:pt>
                <c:pt idx="391">
                  <c:v>2.4417929999999997E-2</c:v>
                </c:pt>
                <c:pt idx="392">
                  <c:v>2.4256469999999995E-2</c:v>
                </c:pt>
                <c:pt idx="393">
                  <c:v>2.4313094999999993E-2</c:v>
                </c:pt>
                <c:pt idx="394">
                  <c:v>2.4369719999999994E-2</c:v>
                </c:pt>
                <c:pt idx="395">
                  <c:v>2.384882E-2</c:v>
                </c:pt>
                <c:pt idx="396">
                  <c:v>2.3327920000000002E-2</c:v>
                </c:pt>
                <c:pt idx="397">
                  <c:v>2.3534670000000001E-2</c:v>
                </c:pt>
                <c:pt idx="398">
                  <c:v>2.3741419999999996E-2</c:v>
                </c:pt>
                <c:pt idx="399">
                  <c:v>2.3506724999999999E-2</c:v>
                </c:pt>
                <c:pt idx="400">
                  <c:v>2.3272029999999999E-2</c:v>
                </c:pt>
                <c:pt idx="401">
                  <c:v>2.2580545E-2</c:v>
                </c:pt>
                <c:pt idx="402">
                  <c:v>2.1889059999999998E-2</c:v>
                </c:pt>
                <c:pt idx="403">
                  <c:v>2.0772374999999999E-2</c:v>
                </c:pt>
                <c:pt idx="404">
                  <c:v>1.965569E-2</c:v>
                </c:pt>
                <c:pt idx="405">
                  <c:v>1.951195E-2</c:v>
                </c:pt>
                <c:pt idx="406">
                  <c:v>1.9368209999999997E-2</c:v>
                </c:pt>
                <c:pt idx="407">
                  <c:v>2.0558864999999996E-2</c:v>
                </c:pt>
                <c:pt idx="408">
                  <c:v>2.1749519999999994E-2</c:v>
                </c:pt>
                <c:pt idx="409">
                  <c:v>2.2359364999999996E-2</c:v>
                </c:pt>
                <c:pt idx="410">
                  <c:v>2.2969209999999997E-2</c:v>
                </c:pt>
                <c:pt idx="411">
                  <c:v>2.2857249999999996E-2</c:v>
                </c:pt>
                <c:pt idx="412">
                  <c:v>2.2745289999999998E-2</c:v>
                </c:pt>
                <c:pt idx="413">
                  <c:v>2.2612504999999998E-2</c:v>
                </c:pt>
                <c:pt idx="414">
                  <c:v>2.2479719999999995E-2</c:v>
                </c:pt>
                <c:pt idx="415">
                  <c:v>2.2543099999999996E-2</c:v>
                </c:pt>
                <c:pt idx="416">
                  <c:v>2.2606479999999995E-2</c:v>
                </c:pt>
                <c:pt idx="417">
                  <c:v>2.2908934999999998E-2</c:v>
                </c:pt>
                <c:pt idx="418">
                  <c:v>2.3211389999999998E-2</c:v>
                </c:pt>
                <c:pt idx="419">
                  <c:v>2.2987469999999996E-2</c:v>
                </c:pt>
                <c:pt idx="420">
                  <c:v>2.2763549999999994E-2</c:v>
                </c:pt>
                <c:pt idx="421">
                  <c:v>2.2582184999999998E-2</c:v>
                </c:pt>
                <c:pt idx="422">
                  <c:v>2.2400819999999998E-2</c:v>
                </c:pt>
                <c:pt idx="423">
                  <c:v>2.2333060000000002E-2</c:v>
                </c:pt>
                <c:pt idx="424">
                  <c:v>2.2265300000000002E-2</c:v>
                </c:pt>
                <c:pt idx="425">
                  <c:v>2.2343290000000002E-2</c:v>
                </c:pt>
                <c:pt idx="426">
                  <c:v>2.2421279999999998E-2</c:v>
                </c:pt>
                <c:pt idx="427">
                  <c:v>2.2502734999999996E-2</c:v>
                </c:pt>
                <c:pt idx="428">
                  <c:v>2.2584189999999997E-2</c:v>
                </c:pt>
                <c:pt idx="429">
                  <c:v>2.2409039999999998E-2</c:v>
                </c:pt>
                <c:pt idx="430">
                  <c:v>2.2233889999999996E-2</c:v>
                </c:pt>
                <c:pt idx="431">
                  <c:v>2.1988779999999996E-2</c:v>
                </c:pt>
                <c:pt idx="432">
                  <c:v>2.1743669999999996E-2</c:v>
                </c:pt>
                <c:pt idx="433">
                  <c:v>2.2018184999999996E-2</c:v>
                </c:pt>
                <c:pt idx="434">
                  <c:v>2.2292699999999999E-2</c:v>
                </c:pt>
                <c:pt idx="435">
                  <c:v>2.1559384999999997E-2</c:v>
                </c:pt>
                <c:pt idx="436">
                  <c:v>2.0826069999999995E-2</c:v>
                </c:pt>
                <c:pt idx="437">
                  <c:v>2.0684704999999998E-2</c:v>
                </c:pt>
                <c:pt idx="438">
                  <c:v>2.0543339999999997E-2</c:v>
                </c:pt>
                <c:pt idx="439">
                  <c:v>2.0988260000000002E-2</c:v>
                </c:pt>
                <c:pt idx="440">
                  <c:v>2.1433180000000003E-2</c:v>
                </c:pt>
                <c:pt idx="441">
                  <c:v>2.1506234999999999E-2</c:v>
                </c:pt>
                <c:pt idx="442">
                  <c:v>2.1579289999999998E-2</c:v>
                </c:pt>
                <c:pt idx="443">
                  <c:v>2.1251444999999997E-2</c:v>
                </c:pt>
                <c:pt idx="444">
                  <c:v>2.0923599999999997E-2</c:v>
                </c:pt>
                <c:pt idx="445">
                  <c:v>2.0686164999999996E-2</c:v>
                </c:pt>
                <c:pt idx="446">
                  <c:v>2.0448729999999995E-2</c:v>
                </c:pt>
                <c:pt idx="447">
                  <c:v>2.0187184999999996E-2</c:v>
                </c:pt>
                <c:pt idx="448">
                  <c:v>1.9925639999999994E-2</c:v>
                </c:pt>
                <c:pt idx="449">
                  <c:v>1.9634139999999994E-2</c:v>
                </c:pt>
                <c:pt idx="450">
                  <c:v>1.9342639999999998E-2</c:v>
                </c:pt>
                <c:pt idx="451">
                  <c:v>1.9456429999999997E-2</c:v>
                </c:pt>
                <c:pt idx="452">
                  <c:v>1.9570219999999999E-2</c:v>
                </c:pt>
                <c:pt idx="453">
                  <c:v>1.9542274999999998E-2</c:v>
                </c:pt>
                <c:pt idx="454">
                  <c:v>1.9514329999999996E-2</c:v>
                </c:pt>
                <c:pt idx="455">
                  <c:v>1.9452594999999996E-2</c:v>
                </c:pt>
                <c:pt idx="456">
                  <c:v>1.9390859999999999E-2</c:v>
                </c:pt>
                <c:pt idx="457">
                  <c:v>1.9207304999999997E-2</c:v>
                </c:pt>
                <c:pt idx="458">
                  <c:v>1.9023749999999996E-2</c:v>
                </c:pt>
                <c:pt idx="459">
                  <c:v>1.9051694999999997E-2</c:v>
                </c:pt>
                <c:pt idx="460">
                  <c:v>1.9079639999999998E-2</c:v>
                </c:pt>
                <c:pt idx="461">
                  <c:v>1.9046579999999997E-2</c:v>
                </c:pt>
                <c:pt idx="462">
                  <c:v>1.9013519999999996E-2</c:v>
                </c:pt>
                <c:pt idx="463">
                  <c:v>1.8950689999999996E-2</c:v>
                </c:pt>
                <c:pt idx="464">
                  <c:v>1.8887859999999996E-2</c:v>
                </c:pt>
                <c:pt idx="465">
                  <c:v>1.8845854999999995E-2</c:v>
                </c:pt>
                <c:pt idx="466">
                  <c:v>1.8803849999999997E-2</c:v>
                </c:pt>
                <c:pt idx="467">
                  <c:v>1.8513994999999998E-2</c:v>
                </c:pt>
                <c:pt idx="468">
                  <c:v>1.822414E-2</c:v>
                </c:pt>
                <c:pt idx="469">
                  <c:v>1.8362214999999998E-2</c:v>
                </c:pt>
                <c:pt idx="470">
                  <c:v>1.8500289999999996E-2</c:v>
                </c:pt>
                <c:pt idx="471">
                  <c:v>1.8268699999999999E-2</c:v>
                </c:pt>
                <c:pt idx="472">
                  <c:v>1.8037109999999999E-2</c:v>
                </c:pt>
                <c:pt idx="473">
                  <c:v>1.7888254999999999E-2</c:v>
                </c:pt>
                <c:pt idx="474">
                  <c:v>1.7739399999999995E-2</c:v>
                </c:pt>
                <c:pt idx="475">
                  <c:v>1.7801679999999993E-2</c:v>
                </c:pt>
                <c:pt idx="476">
                  <c:v>1.7863959999999995E-2</c:v>
                </c:pt>
                <c:pt idx="477">
                  <c:v>1.7904689999999994E-2</c:v>
                </c:pt>
                <c:pt idx="478">
                  <c:v>1.7945419999999997E-2</c:v>
                </c:pt>
                <c:pt idx="479">
                  <c:v>1.7922044999999998E-2</c:v>
                </c:pt>
                <c:pt idx="480">
                  <c:v>1.7898669999999998E-2</c:v>
                </c:pt>
                <c:pt idx="481">
                  <c:v>1.7875289999999999E-2</c:v>
                </c:pt>
                <c:pt idx="482">
                  <c:v>1.7851909999999999E-2</c:v>
                </c:pt>
                <c:pt idx="483">
                  <c:v>1.7463244999999995E-2</c:v>
                </c:pt>
                <c:pt idx="484">
                  <c:v>1.7074579999999995E-2</c:v>
                </c:pt>
                <c:pt idx="485">
                  <c:v>1.7040244999999996E-2</c:v>
                </c:pt>
                <c:pt idx="486">
                  <c:v>1.7005909999999996E-2</c:v>
                </c:pt>
                <c:pt idx="487">
                  <c:v>1.6887739999999998E-2</c:v>
                </c:pt>
                <c:pt idx="488">
                  <c:v>1.6769570000000001E-2</c:v>
                </c:pt>
                <c:pt idx="489">
                  <c:v>1.6884999999999997E-2</c:v>
                </c:pt>
                <c:pt idx="490">
                  <c:v>1.7000429999999997E-2</c:v>
                </c:pt>
                <c:pt idx="491">
                  <c:v>1.7063989999999998E-2</c:v>
                </c:pt>
                <c:pt idx="492">
                  <c:v>1.7127549999999998E-2</c:v>
                </c:pt>
                <c:pt idx="493">
                  <c:v>1.6909654999999996E-2</c:v>
                </c:pt>
                <c:pt idx="494">
                  <c:v>1.6691759999999996E-2</c:v>
                </c:pt>
                <c:pt idx="495">
                  <c:v>1.674436E-2</c:v>
                </c:pt>
                <c:pt idx="496">
                  <c:v>1.679696E-2</c:v>
                </c:pt>
                <c:pt idx="497">
                  <c:v>1.680591E-2</c:v>
                </c:pt>
                <c:pt idx="498">
                  <c:v>1.6814859999999997E-2</c:v>
                </c:pt>
                <c:pt idx="499">
                  <c:v>1.6627104999999996E-2</c:v>
                </c:pt>
                <c:pt idx="500">
                  <c:v>1.6439349999999998E-2</c:v>
                </c:pt>
                <c:pt idx="501">
                  <c:v>1.6595875E-2</c:v>
                </c:pt>
                <c:pt idx="502">
                  <c:v>1.6752400000000001E-2</c:v>
                </c:pt>
                <c:pt idx="503">
                  <c:v>1.6801530000000002E-2</c:v>
                </c:pt>
                <c:pt idx="504">
                  <c:v>1.685066E-2</c:v>
                </c:pt>
                <c:pt idx="505">
                  <c:v>1.7003165000000001E-2</c:v>
                </c:pt>
                <c:pt idx="506">
                  <c:v>1.7155669999999998E-2</c:v>
                </c:pt>
                <c:pt idx="507">
                  <c:v>1.5971050000000001E-2</c:v>
                </c:pt>
                <c:pt idx="508">
                  <c:v>1.4786430000000001E-2</c:v>
                </c:pt>
                <c:pt idx="509">
                  <c:v>1.3801435000000001E-2</c:v>
                </c:pt>
                <c:pt idx="510">
                  <c:v>1.2816439999999998E-2</c:v>
                </c:pt>
                <c:pt idx="511">
                  <c:v>1.4466254999999997E-2</c:v>
                </c:pt>
                <c:pt idx="512">
                  <c:v>1.6116069999999996E-2</c:v>
                </c:pt>
                <c:pt idx="513">
                  <c:v>1.5972694999999995E-2</c:v>
                </c:pt>
                <c:pt idx="514">
                  <c:v>1.5829319999999997E-2</c:v>
                </c:pt>
                <c:pt idx="515">
                  <c:v>1.5626769999999998E-2</c:v>
                </c:pt>
                <c:pt idx="516">
                  <c:v>1.5424219999999997E-2</c:v>
                </c:pt>
                <c:pt idx="517">
                  <c:v>1.4884139999999997E-2</c:v>
                </c:pt>
                <c:pt idx="518">
                  <c:v>1.4344059999999999E-2</c:v>
                </c:pt>
                <c:pt idx="519">
                  <c:v>1.4328169999999998E-2</c:v>
                </c:pt>
                <c:pt idx="520">
                  <c:v>1.4312279999999998E-2</c:v>
                </c:pt>
                <c:pt idx="521">
                  <c:v>1.4356844999999998E-2</c:v>
                </c:pt>
                <c:pt idx="522">
                  <c:v>1.4401409999999998E-2</c:v>
                </c:pt>
                <c:pt idx="523">
                  <c:v>1.4526889999999999E-2</c:v>
                </c:pt>
                <c:pt idx="524">
                  <c:v>1.465237E-2</c:v>
                </c:pt>
                <c:pt idx="525">
                  <c:v>1.4674649999999999E-2</c:v>
                </c:pt>
                <c:pt idx="526">
                  <c:v>1.4696929999999999E-2</c:v>
                </c:pt>
                <c:pt idx="527">
                  <c:v>1.4594099999999999E-2</c:v>
                </c:pt>
                <c:pt idx="528">
                  <c:v>1.4491269999999999E-2</c:v>
                </c:pt>
                <c:pt idx="529">
                  <c:v>1.4419129999999999E-2</c:v>
                </c:pt>
                <c:pt idx="530">
                  <c:v>1.4346989999999997E-2</c:v>
                </c:pt>
                <c:pt idx="531">
                  <c:v>1.4414929999999996E-2</c:v>
                </c:pt>
                <c:pt idx="532">
                  <c:v>1.4482869999999997E-2</c:v>
                </c:pt>
                <c:pt idx="533">
                  <c:v>1.4387164999999997E-2</c:v>
                </c:pt>
                <c:pt idx="534">
                  <c:v>1.4291459999999999E-2</c:v>
                </c:pt>
                <c:pt idx="535">
                  <c:v>1.4311919999999999E-2</c:v>
                </c:pt>
                <c:pt idx="536">
                  <c:v>1.433238E-2</c:v>
                </c:pt>
                <c:pt idx="537">
                  <c:v>1.4195579999999999E-2</c:v>
                </c:pt>
                <c:pt idx="538">
                  <c:v>1.405878E-2</c:v>
                </c:pt>
                <c:pt idx="539">
                  <c:v>1.3961794999999999E-2</c:v>
                </c:pt>
                <c:pt idx="540">
                  <c:v>1.3864809999999998E-2</c:v>
                </c:pt>
                <c:pt idx="541">
                  <c:v>1.3849099999999998E-2</c:v>
                </c:pt>
                <c:pt idx="542">
                  <c:v>1.3833389999999997E-2</c:v>
                </c:pt>
                <c:pt idx="543">
                  <c:v>1.3653669999999998E-2</c:v>
                </c:pt>
                <c:pt idx="544">
                  <c:v>1.3473949999999998E-2</c:v>
                </c:pt>
                <c:pt idx="545">
                  <c:v>1.3649104999999998E-2</c:v>
                </c:pt>
                <c:pt idx="546">
                  <c:v>1.3824259999999996E-2</c:v>
                </c:pt>
                <c:pt idx="547">
                  <c:v>1.3763074999999998E-2</c:v>
                </c:pt>
                <c:pt idx="548">
                  <c:v>1.370189E-2</c:v>
                </c:pt>
                <c:pt idx="549">
                  <c:v>1.3763259999999998E-2</c:v>
                </c:pt>
                <c:pt idx="550">
                  <c:v>1.3824629999999996E-2</c:v>
                </c:pt>
                <c:pt idx="551">
                  <c:v>1.3671209999999996E-2</c:v>
                </c:pt>
                <c:pt idx="552">
                  <c:v>1.3517789999999998E-2</c:v>
                </c:pt>
                <c:pt idx="553">
                  <c:v>1.3474864999999999E-2</c:v>
                </c:pt>
                <c:pt idx="554">
                  <c:v>1.3431939999999998E-2</c:v>
                </c:pt>
                <c:pt idx="555">
                  <c:v>1.3380984999999998E-2</c:v>
                </c:pt>
                <c:pt idx="556">
                  <c:v>1.3330029999999998E-2</c:v>
                </c:pt>
                <c:pt idx="557">
                  <c:v>1.3158894999999997E-2</c:v>
                </c:pt>
                <c:pt idx="558">
                  <c:v>1.2987759999999998E-2</c:v>
                </c:pt>
                <c:pt idx="559">
                  <c:v>1.2873239999999998E-2</c:v>
                </c:pt>
                <c:pt idx="560">
                  <c:v>1.2758719999999999E-2</c:v>
                </c:pt>
                <c:pt idx="561">
                  <c:v>1.2824289999999999E-2</c:v>
                </c:pt>
                <c:pt idx="562">
                  <c:v>1.288986E-2</c:v>
                </c:pt>
                <c:pt idx="563">
                  <c:v>1.3072139999999999E-2</c:v>
                </c:pt>
                <c:pt idx="564">
                  <c:v>1.3254419999999998E-2</c:v>
                </c:pt>
                <c:pt idx="565">
                  <c:v>1.2964744999999998E-2</c:v>
                </c:pt>
                <c:pt idx="566">
                  <c:v>1.2675069999999998E-2</c:v>
                </c:pt>
                <c:pt idx="567">
                  <c:v>1.2523109999999997E-2</c:v>
                </c:pt>
                <c:pt idx="568">
                  <c:v>1.2371149999999997E-2</c:v>
                </c:pt>
                <c:pt idx="569">
                  <c:v>1.2525664999999998E-2</c:v>
                </c:pt>
                <c:pt idx="570">
                  <c:v>1.2680179999999997E-2</c:v>
                </c:pt>
                <c:pt idx="571">
                  <c:v>1.2492424999999998E-2</c:v>
                </c:pt>
                <c:pt idx="572">
                  <c:v>1.230467E-2</c:v>
                </c:pt>
                <c:pt idx="573">
                  <c:v>1.2700275E-2</c:v>
                </c:pt>
                <c:pt idx="574">
                  <c:v>1.3095879999999999E-2</c:v>
                </c:pt>
                <c:pt idx="575">
                  <c:v>1.2861185000000001E-2</c:v>
                </c:pt>
                <c:pt idx="576">
                  <c:v>1.2626490000000001E-2</c:v>
                </c:pt>
                <c:pt idx="577">
                  <c:v>1.2463755E-2</c:v>
                </c:pt>
                <c:pt idx="578">
                  <c:v>1.2301019999999999E-2</c:v>
                </c:pt>
                <c:pt idx="579">
                  <c:v>1.1969519999999999E-2</c:v>
                </c:pt>
                <c:pt idx="580">
                  <c:v>1.1638019999999999E-2</c:v>
                </c:pt>
                <c:pt idx="581">
                  <c:v>1.2175904999999999E-2</c:v>
                </c:pt>
                <c:pt idx="582">
                  <c:v>1.2713789999999999E-2</c:v>
                </c:pt>
                <c:pt idx="583">
                  <c:v>1.2333529999999999E-2</c:v>
                </c:pt>
                <c:pt idx="584">
                  <c:v>1.195327E-2</c:v>
                </c:pt>
                <c:pt idx="585">
                  <c:v>1.2095180000000001E-2</c:v>
                </c:pt>
                <c:pt idx="586">
                  <c:v>1.2237089999999999E-2</c:v>
                </c:pt>
                <c:pt idx="587">
                  <c:v>1.1923675E-2</c:v>
                </c:pt>
                <c:pt idx="588">
                  <c:v>1.1610260000000001E-2</c:v>
                </c:pt>
                <c:pt idx="589">
                  <c:v>1.2004404999999999E-2</c:v>
                </c:pt>
                <c:pt idx="590">
                  <c:v>1.2398549999999998E-2</c:v>
                </c:pt>
                <c:pt idx="591">
                  <c:v>1.1885319999999998E-2</c:v>
                </c:pt>
                <c:pt idx="592">
                  <c:v>1.1372089999999998E-2</c:v>
                </c:pt>
                <c:pt idx="593">
                  <c:v>1.1504874999999998E-2</c:v>
                </c:pt>
                <c:pt idx="594">
                  <c:v>1.1637659999999999E-2</c:v>
                </c:pt>
                <c:pt idx="595">
                  <c:v>1.1275475E-2</c:v>
                </c:pt>
                <c:pt idx="596">
                  <c:v>1.0913289999999999E-2</c:v>
                </c:pt>
                <c:pt idx="597">
                  <c:v>1.1278579999999998E-2</c:v>
                </c:pt>
                <c:pt idx="598">
                  <c:v>1.1643869999999997E-2</c:v>
                </c:pt>
                <c:pt idx="599">
                  <c:v>1.1677839999999998E-2</c:v>
                </c:pt>
                <c:pt idx="600">
                  <c:v>1.1711809999999998E-2</c:v>
                </c:pt>
                <c:pt idx="601">
                  <c:v>1.1582679999999998E-2</c:v>
                </c:pt>
                <c:pt idx="602">
                  <c:v>1.1453549999999998E-2</c:v>
                </c:pt>
                <c:pt idx="603">
                  <c:v>1.1411724999999998E-2</c:v>
                </c:pt>
                <c:pt idx="604">
                  <c:v>1.1369899999999997E-2</c:v>
                </c:pt>
                <c:pt idx="605">
                  <c:v>1.1461224999999998E-2</c:v>
                </c:pt>
                <c:pt idx="606">
                  <c:v>1.155255E-2</c:v>
                </c:pt>
                <c:pt idx="607">
                  <c:v>1.1712179999999999E-2</c:v>
                </c:pt>
                <c:pt idx="608">
                  <c:v>1.1871809999999997E-2</c:v>
                </c:pt>
                <c:pt idx="609">
                  <c:v>1.1850074999999998E-2</c:v>
                </c:pt>
                <c:pt idx="610">
                  <c:v>1.182834E-2</c:v>
                </c:pt>
                <c:pt idx="611">
                  <c:v>1.192094E-2</c:v>
                </c:pt>
                <c:pt idx="612">
                  <c:v>1.201354E-2</c:v>
                </c:pt>
                <c:pt idx="613">
                  <c:v>1.1985045E-2</c:v>
                </c:pt>
                <c:pt idx="614">
                  <c:v>1.1956550000000002E-2</c:v>
                </c:pt>
                <c:pt idx="615">
                  <c:v>1.1105614999999999E-2</c:v>
                </c:pt>
                <c:pt idx="616">
                  <c:v>1.0254679999999999E-2</c:v>
                </c:pt>
                <c:pt idx="617">
                  <c:v>1.1012284999999998E-2</c:v>
                </c:pt>
                <c:pt idx="618">
                  <c:v>1.1769889999999998E-2</c:v>
                </c:pt>
                <c:pt idx="619">
                  <c:v>1.1752175E-2</c:v>
                </c:pt>
                <c:pt idx="620">
                  <c:v>1.173446E-2</c:v>
                </c:pt>
                <c:pt idx="621">
                  <c:v>1.139748E-2</c:v>
                </c:pt>
                <c:pt idx="622">
                  <c:v>1.1060499999999999E-2</c:v>
                </c:pt>
                <c:pt idx="623">
                  <c:v>1.1079679999999998E-2</c:v>
                </c:pt>
                <c:pt idx="624">
                  <c:v>1.1098859999999997E-2</c:v>
                </c:pt>
                <c:pt idx="625">
                  <c:v>1.1052834999999999E-2</c:v>
                </c:pt>
                <c:pt idx="626">
                  <c:v>1.1006810000000001E-2</c:v>
                </c:pt>
                <c:pt idx="627">
                  <c:v>1.1385610000000001E-2</c:v>
                </c:pt>
                <c:pt idx="628">
                  <c:v>1.1764409999999999E-2</c:v>
                </c:pt>
                <c:pt idx="629">
                  <c:v>1.1336479999999999E-2</c:v>
                </c:pt>
                <c:pt idx="630">
                  <c:v>1.0908549999999998E-2</c:v>
                </c:pt>
                <c:pt idx="631">
                  <c:v>1.1058134999999998E-2</c:v>
                </c:pt>
                <c:pt idx="632">
                  <c:v>1.1207719999999999E-2</c:v>
                </c:pt>
                <c:pt idx="633">
                  <c:v>1.0604264999999998E-2</c:v>
                </c:pt>
                <c:pt idx="634">
                  <c:v>1.0000809999999999E-2</c:v>
                </c:pt>
                <c:pt idx="635">
                  <c:v>1.0048659999999999E-2</c:v>
                </c:pt>
                <c:pt idx="636">
                  <c:v>1.009651E-2</c:v>
                </c:pt>
                <c:pt idx="637">
                  <c:v>1.0340159999999998E-2</c:v>
                </c:pt>
                <c:pt idx="638">
                  <c:v>1.0583809999999997E-2</c:v>
                </c:pt>
                <c:pt idx="639">
                  <c:v>1.0728459999999999E-2</c:v>
                </c:pt>
                <c:pt idx="640">
                  <c:v>1.0873109999999998E-2</c:v>
                </c:pt>
                <c:pt idx="641">
                  <c:v>1.0966444999999998E-2</c:v>
                </c:pt>
                <c:pt idx="642">
                  <c:v>1.1059779999999996E-2</c:v>
                </c:pt>
                <c:pt idx="643">
                  <c:v>1.1310729999999998E-2</c:v>
                </c:pt>
                <c:pt idx="644">
                  <c:v>1.1561679999999998E-2</c:v>
                </c:pt>
                <c:pt idx="645">
                  <c:v>1.1178309999999999E-2</c:v>
                </c:pt>
                <c:pt idx="646">
                  <c:v>1.0794939999999999E-2</c:v>
                </c:pt>
                <c:pt idx="647">
                  <c:v>1.045687E-2</c:v>
                </c:pt>
                <c:pt idx="648">
                  <c:v>1.0118799999999999E-2</c:v>
                </c:pt>
                <c:pt idx="649">
                  <c:v>9.6094070000000004E-3</c:v>
                </c:pt>
                <c:pt idx="650">
                  <c:v>9.100014E-3</c:v>
                </c:pt>
                <c:pt idx="651">
                  <c:v>9.2647584999999994E-3</c:v>
                </c:pt>
                <c:pt idx="652">
                  <c:v>9.4295029999999988E-3</c:v>
                </c:pt>
                <c:pt idx="653">
                  <c:v>1.0038616499999998E-2</c:v>
                </c:pt>
                <c:pt idx="654">
                  <c:v>1.0647729999999998E-2</c:v>
                </c:pt>
                <c:pt idx="655">
                  <c:v>1.0392944999999997E-2</c:v>
                </c:pt>
                <c:pt idx="656">
                  <c:v>1.0138159999999998E-2</c:v>
                </c:pt>
                <c:pt idx="657">
                  <c:v>1.0348014999999999E-2</c:v>
                </c:pt>
                <c:pt idx="658">
                  <c:v>1.0557869999999999E-2</c:v>
                </c:pt>
                <c:pt idx="659">
                  <c:v>1.064828E-2</c:v>
                </c:pt>
                <c:pt idx="660">
                  <c:v>1.0738689999999999E-2</c:v>
                </c:pt>
                <c:pt idx="661">
                  <c:v>1.0589654999999998E-2</c:v>
                </c:pt>
                <c:pt idx="662">
                  <c:v>1.0440619999999998E-2</c:v>
                </c:pt>
                <c:pt idx="663">
                  <c:v>1.0415779999999998E-2</c:v>
                </c:pt>
                <c:pt idx="664">
                  <c:v>1.0390939999999998E-2</c:v>
                </c:pt>
                <c:pt idx="665">
                  <c:v>1.0160989999999998E-2</c:v>
                </c:pt>
                <c:pt idx="666">
                  <c:v>9.9310399999999986E-3</c:v>
                </c:pt>
                <c:pt idx="667">
                  <c:v>9.8360654999999977E-3</c:v>
                </c:pt>
                <c:pt idx="668">
                  <c:v>9.7410909999999986E-3</c:v>
                </c:pt>
                <c:pt idx="669">
                  <c:v>9.4963489999999977E-3</c:v>
                </c:pt>
                <c:pt idx="670">
                  <c:v>9.2516069999999985E-3</c:v>
                </c:pt>
                <c:pt idx="671">
                  <c:v>8.9476889999999983E-3</c:v>
                </c:pt>
                <c:pt idx="672">
                  <c:v>8.6437709999999997E-3</c:v>
                </c:pt>
                <c:pt idx="673">
                  <c:v>8.7597495000000004E-3</c:v>
                </c:pt>
                <c:pt idx="674">
                  <c:v>8.8757279999999994E-3</c:v>
                </c:pt>
                <c:pt idx="675">
                  <c:v>9.2150784999999978E-3</c:v>
                </c:pt>
                <c:pt idx="676">
                  <c:v>9.554428999999998E-3</c:v>
                </c:pt>
                <c:pt idx="677">
                  <c:v>1.0016514499999999E-2</c:v>
                </c:pt>
                <c:pt idx="678">
                  <c:v>1.0478599999999999E-2</c:v>
                </c:pt>
                <c:pt idx="679">
                  <c:v>1.0464905E-2</c:v>
                </c:pt>
                <c:pt idx="680">
                  <c:v>1.0451209999999999E-2</c:v>
                </c:pt>
                <c:pt idx="681">
                  <c:v>9.9427299999999986E-3</c:v>
                </c:pt>
                <c:pt idx="682">
                  <c:v>9.4342499999999982E-3</c:v>
                </c:pt>
                <c:pt idx="683">
                  <c:v>9.6705904999999995E-3</c:v>
                </c:pt>
                <c:pt idx="684">
                  <c:v>9.906930999999999E-3</c:v>
                </c:pt>
                <c:pt idx="685">
                  <c:v>9.8694889999999987E-3</c:v>
                </c:pt>
                <c:pt idx="686">
                  <c:v>9.8320469999999965E-3</c:v>
                </c:pt>
                <c:pt idx="687">
                  <c:v>9.8800824999999981E-3</c:v>
                </c:pt>
                <c:pt idx="688">
                  <c:v>9.9281179999999979E-3</c:v>
                </c:pt>
                <c:pt idx="689">
                  <c:v>9.8532339999999989E-3</c:v>
                </c:pt>
                <c:pt idx="690">
                  <c:v>9.7783499999999999E-3</c:v>
                </c:pt>
                <c:pt idx="691">
                  <c:v>9.0393759999999983E-3</c:v>
                </c:pt>
                <c:pt idx="692">
                  <c:v>8.3004019999999984E-3</c:v>
                </c:pt>
                <c:pt idx="693">
                  <c:v>8.6234974999999988E-3</c:v>
                </c:pt>
                <c:pt idx="694">
                  <c:v>8.9465929999999992E-3</c:v>
                </c:pt>
                <c:pt idx="695">
                  <c:v>9.1496924999999989E-3</c:v>
                </c:pt>
                <c:pt idx="696">
                  <c:v>9.3527919999999987E-3</c:v>
                </c:pt>
                <c:pt idx="697">
                  <c:v>9.311696999999999E-3</c:v>
                </c:pt>
                <c:pt idx="698">
                  <c:v>9.2706019999999993E-3</c:v>
                </c:pt>
                <c:pt idx="699">
                  <c:v>8.6037719999999991E-3</c:v>
                </c:pt>
                <c:pt idx="700">
                  <c:v>7.9369419999999972E-3</c:v>
                </c:pt>
                <c:pt idx="701">
                  <c:v>7.7634309999999977E-3</c:v>
                </c:pt>
                <c:pt idx="702">
                  <c:v>7.5899199999999991E-3</c:v>
                </c:pt>
                <c:pt idx="703">
                  <c:v>7.5771349999999987E-3</c:v>
                </c:pt>
                <c:pt idx="704">
                  <c:v>7.5643499999999983E-3</c:v>
                </c:pt>
                <c:pt idx="705">
                  <c:v>7.979314999999999E-3</c:v>
                </c:pt>
                <c:pt idx="706">
                  <c:v>8.3942799999999988E-3</c:v>
                </c:pt>
                <c:pt idx="707">
                  <c:v>8.6284289999999982E-3</c:v>
                </c:pt>
                <c:pt idx="708">
                  <c:v>8.8625779999999977E-3</c:v>
                </c:pt>
                <c:pt idx="709">
                  <c:v>8.7792924999999973E-3</c:v>
                </c:pt>
                <c:pt idx="710">
                  <c:v>8.6960069999999987E-3</c:v>
                </c:pt>
                <c:pt idx="711">
                  <c:v>8.589343499999999E-3</c:v>
                </c:pt>
                <c:pt idx="712">
                  <c:v>8.4826799999999994E-3</c:v>
                </c:pt>
                <c:pt idx="713">
                  <c:v>8.4302609999999979E-3</c:v>
                </c:pt>
                <c:pt idx="714">
                  <c:v>8.3778419999999982E-3</c:v>
                </c:pt>
                <c:pt idx="715">
                  <c:v>8.7164624999999992E-3</c:v>
                </c:pt>
                <c:pt idx="716">
                  <c:v>9.0550830000000002E-3</c:v>
                </c:pt>
                <c:pt idx="717">
                  <c:v>9.2068600000000007E-3</c:v>
                </c:pt>
                <c:pt idx="718">
                  <c:v>9.3586369999999995E-3</c:v>
                </c:pt>
                <c:pt idx="719">
                  <c:v>9.0295134999999992E-3</c:v>
                </c:pt>
                <c:pt idx="720">
                  <c:v>8.7003899999999988E-3</c:v>
                </c:pt>
                <c:pt idx="721">
                  <c:v>8.6656879999999978E-3</c:v>
                </c:pt>
                <c:pt idx="722">
                  <c:v>8.6309859999999985E-3</c:v>
                </c:pt>
                <c:pt idx="723">
                  <c:v>8.7995659999999983E-3</c:v>
                </c:pt>
                <c:pt idx="724">
                  <c:v>8.9681459999999998E-3</c:v>
                </c:pt>
                <c:pt idx="725">
                  <c:v>8.7608454999999995E-3</c:v>
                </c:pt>
                <c:pt idx="726">
                  <c:v>8.5535449999999992E-3</c:v>
                </c:pt>
                <c:pt idx="727">
                  <c:v>8.5571979999999985E-3</c:v>
                </c:pt>
                <c:pt idx="728">
                  <c:v>8.5608509999999995E-3</c:v>
                </c:pt>
                <c:pt idx="729">
                  <c:v>8.4830449999999981E-3</c:v>
                </c:pt>
                <c:pt idx="730">
                  <c:v>8.4052389999999984E-3</c:v>
                </c:pt>
                <c:pt idx="731">
                  <c:v>8.5939094999999983E-3</c:v>
                </c:pt>
                <c:pt idx="732">
                  <c:v>8.7825799999999982E-3</c:v>
                </c:pt>
                <c:pt idx="733">
                  <c:v>8.6331774999999986E-3</c:v>
                </c:pt>
                <c:pt idx="734">
                  <c:v>8.483774999999999E-3</c:v>
                </c:pt>
                <c:pt idx="735">
                  <c:v>8.4901679999999993E-3</c:v>
                </c:pt>
                <c:pt idx="736">
                  <c:v>8.4965609999999997E-3</c:v>
                </c:pt>
                <c:pt idx="737">
                  <c:v>8.2951055000000003E-3</c:v>
                </c:pt>
                <c:pt idx="738">
                  <c:v>8.0936499999999991E-3</c:v>
                </c:pt>
                <c:pt idx="739">
                  <c:v>8.0454319999999999E-3</c:v>
                </c:pt>
                <c:pt idx="740">
                  <c:v>7.9972140000000008E-3</c:v>
                </c:pt>
                <c:pt idx="741">
                  <c:v>8.252367E-3</c:v>
                </c:pt>
                <c:pt idx="742">
                  <c:v>8.5075199999999993E-3</c:v>
                </c:pt>
                <c:pt idx="743">
                  <c:v>8.346975999999999E-3</c:v>
                </c:pt>
                <c:pt idx="744">
                  <c:v>8.1864319999999987E-3</c:v>
                </c:pt>
                <c:pt idx="745">
                  <c:v>7.9771229999999992E-3</c:v>
                </c:pt>
                <c:pt idx="746">
                  <c:v>7.7678139999999996E-3</c:v>
                </c:pt>
                <c:pt idx="747">
                  <c:v>7.9367589999999981E-3</c:v>
                </c:pt>
                <c:pt idx="748">
                  <c:v>8.1057039999999983E-3</c:v>
                </c:pt>
                <c:pt idx="749">
                  <c:v>8.1557484999999971E-3</c:v>
                </c:pt>
                <c:pt idx="750">
                  <c:v>8.2057929999999977E-3</c:v>
                </c:pt>
                <c:pt idx="751">
                  <c:v>7.5073654999999982E-3</c:v>
                </c:pt>
                <c:pt idx="752">
                  <c:v>6.8089379999999996E-3</c:v>
                </c:pt>
                <c:pt idx="753">
                  <c:v>6.9292994999999996E-3</c:v>
                </c:pt>
                <c:pt idx="754">
                  <c:v>7.0496609999999996E-3</c:v>
                </c:pt>
                <c:pt idx="755">
                  <c:v>7.2206154999999994E-3</c:v>
                </c:pt>
                <c:pt idx="756">
                  <c:v>7.3915699999999992E-3</c:v>
                </c:pt>
                <c:pt idx="757">
                  <c:v>7.7289114999999995E-3</c:v>
                </c:pt>
                <c:pt idx="758">
                  <c:v>8.0662529999999989E-3</c:v>
                </c:pt>
                <c:pt idx="759">
                  <c:v>7.9323759999999997E-3</c:v>
                </c:pt>
                <c:pt idx="760">
                  <c:v>7.7984989999999995E-3</c:v>
                </c:pt>
                <c:pt idx="761">
                  <c:v>7.8131099999999998E-3</c:v>
                </c:pt>
                <c:pt idx="762">
                  <c:v>7.8277209999999993E-3</c:v>
                </c:pt>
                <c:pt idx="763">
                  <c:v>7.6909214999999987E-3</c:v>
                </c:pt>
                <c:pt idx="764">
                  <c:v>7.5541219999999982E-3</c:v>
                </c:pt>
                <c:pt idx="765">
                  <c:v>7.7860789999999978E-3</c:v>
                </c:pt>
                <c:pt idx="766">
                  <c:v>8.0180359999999975E-3</c:v>
                </c:pt>
                <c:pt idx="767">
                  <c:v>7.7500979999999987E-3</c:v>
                </c:pt>
                <c:pt idx="768">
                  <c:v>7.482159999999999E-3</c:v>
                </c:pt>
                <c:pt idx="769">
                  <c:v>7.7261714999999984E-3</c:v>
                </c:pt>
                <c:pt idx="770">
                  <c:v>7.9701829999999987E-3</c:v>
                </c:pt>
                <c:pt idx="771">
                  <c:v>7.5932074999999991E-3</c:v>
                </c:pt>
                <c:pt idx="772">
                  <c:v>7.2162319999999995E-3</c:v>
                </c:pt>
                <c:pt idx="773">
                  <c:v>7.2695639999999992E-3</c:v>
                </c:pt>
                <c:pt idx="774">
                  <c:v>7.3228959999999997E-3</c:v>
                </c:pt>
                <c:pt idx="775">
                  <c:v>7.1070114999999996E-3</c:v>
                </c:pt>
                <c:pt idx="776">
                  <c:v>6.8911269999999986E-3</c:v>
                </c:pt>
                <c:pt idx="777">
                  <c:v>7.1281979999999988E-3</c:v>
                </c:pt>
                <c:pt idx="778">
                  <c:v>7.3652689999999989E-3</c:v>
                </c:pt>
                <c:pt idx="779">
                  <c:v>7.3488309999999984E-3</c:v>
                </c:pt>
                <c:pt idx="780">
                  <c:v>7.3323929999999987E-3</c:v>
                </c:pt>
                <c:pt idx="781">
                  <c:v>7.176598499999999E-3</c:v>
                </c:pt>
                <c:pt idx="782">
                  <c:v>7.0208039999999994E-3</c:v>
                </c:pt>
                <c:pt idx="783">
                  <c:v>7.1703884999999995E-3</c:v>
                </c:pt>
                <c:pt idx="784">
                  <c:v>7.3199729999999996E-3</c:v>
                </c:pt>
                <c:pt idx="785">
                  <c:v>7.3119369999999993E-3</c:v>
                </c:pt>
                <c:pt idx="786">
                  <c:v>7.3039009999999998E-3</c:v>
                </c:pt>
                <c:pt idx="787">
                  <c:v>7.3081014999999997E-3</c:v>
                </c:pt>
                <c:pt idx="788">
                  <c:v>7.3123019999999997E-3</c:v>
                </c:pt>
                <c:pt idx="789">
                  <c:v>7.279973999999999E-3</c:v>
                </c:pt>
                <c:pt idx="790">
                  <c:v>7.2476459999999982E-3</c:v>
                </c:pt>
                <c:pt idx="791">
                  <c:v>6.9839094999999988E-3</c:v>
                </c:pt>
                <c:pt idx="792">
                  <c:v>6.7201729999999994E-3</c:v>
                </c:pt>
                <c:pt idx="793">
                  <c:v>6.7897599999999989E-3</c:v>
                </c:pt>
                <c:pt idx="794">
                  <c:v>6.8593469999999991E-3</c:v>
                </c:pt>
                <c:pt idx="795">
                  <c:v>6.8882044999999991E-3</c:v>
                </c:pt>
                <c:pt idx="796">
                  <c:v>6.917061999999999E-3</c:v>
                </c:pt>
                <c:pt idx="797">
                  <c:v>6.904824999999999E-3</c:v>
                </c:pt>
                <c:pt idx="798">
                  <c:v>6.892587999999999E-3</c:v>
                </c:pt>
                <c:pt idx="799">
                  <c:v>6.9594354999999979E-3</c:v>
                </c:pt>
                <c:pt idx="800">
                  <c:v>7.0262829999999978E-3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FE-4C71-A014-FF2ADB0F709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Spectra!$E$3:$E$803</c:f>
              <c:numCache>
                <c:formatCode>0.00E+00</c:formatCode>
                <c:ptCount val="801"/>
                <c:pt idx="0">
                  <c:v>6.5076219999999994E-3</c:v>
                </c:pt>
                <c:pt idx="1">
                  <c:v>6.2224979999999999E-3</c:v>
                </c:pt>
                <c:pt idx="2">
                  <c:v>5.9373719999999989E-3</c:v>
                </c:pt>
                <c:pt idx="3">
                  <c:v>5.2513249999999994E-3</c:v>
                </c:pt>
                <c:pt idx="4">
                  <c:v>4.5649129999999994E-3</c:v>
                </c:pt>
                <c:pt idx="5">
                  <c:v>4.9195889999999994E-3</c:v>
                </c:pt>
                <c:pt idx="6">
                  <c:v>5.2742650000000002E-3</c:v>
                </c:pt>
                <c:pt idx="7">
                  <c:v>6.506165999999999E-3</c:v>
                </c:pt>
                <c:pt idx="8">
                  <c:v>7.7380659999999983E-3</c:v>
                </c:pt>
                <c:pt idx="9">
                  <c:v>7.8961039999999993E-3</c:v>
                </c:pt>
                <c:pt idx="10">
                  <c:v>8.0541429999999997E-3</c:v>
                </c:pt>
                <c:pt idx="11">
                  <c:v>7.4460219999999983E-3</c:v>
                </c:pt>
                <c:pt idx="12">
                  <c:v>6.8379009999999987E-3</c:v>
                </c:pt>
                <c:pt idx="13">
                  <c:v>8.0698009999999997E-3</c:v>
                </c:pt>
                <c:pt idx="14">
                  <c:v>9.3020649999999965E-3</c:v>
                </c:pt>
                <c:pt idx="15">
                  <c:v>1.1300129999999999E-2</c:v>
                </c:pt>
                <c:pt idx="16">
                  <c:v>1.3298179999999996E-2</c:v>
                </c:pt>
                <c:pt idx="17">
                  <c:v>1.325849E-2</c:v>
                </c:pt>
                <c:pt idx="18">
                  <c:v>1.3219169999999999E-2</c:v>
                </c:pt>
                <c:pt idx="19">
                  <c:v>1.3211149999999998E-2</c:v>
                </c:pt>
                <c:pt idx="20">
                  <c:v>1.3203509999999998E-2</c:v>
                </c:pt>
                <c:pt idx="21">
                  <c:v>1.2753059999999998E-2</c:v>
                </c:pt>
                <c:pt idx="22">
                  <c:v>1.2302979999999998E-2</c:v>
                </c:pt>
                <c:pt idx="23">
                  <c:v>1.2137289999999997E-2</c:v>
                </c:pt>
                <c:pt idx="24">
                  <c:v>1.1971239999999998E-2</c:v>
                </c:pt>
                <c:pt idx="25">
                  <c:v>1.1040129999999997E-2</c:v>
                </c:pt>
                <c:pt idx="26">
                  <c:v>1.010901E-2</c:v>
                </c:pt>
                <c:pt idx="27">
                  <c:v>1.122985E-2</c:v>
                </c:pt>
                <c:pt idx="28">
                  <c:v>1.235032E-2</c:v>
                </c:pt>
                <c:pt idx="29">
                  <c:v>9.3887319999999986E-3</c:v>
                </c:pt>
                <c:pt idx="30">
                  <c:v>6.427145999999999E-3</c:v>
                </c:pt>
                <c:pt idx="31">
                  <c:v>8.5919839999999987E-3</c:v>
                </c:pt>
                <c:pt idx="32">
                  <c:v>1.0756819999999999E-2</c:v>
                </c:pt>
                <c:pt idx="33">
                  <c:v>1.2991579999999999E-2</c:v>
                </c:pt>
                <c:pt idx="34">
                  <c:v>1.5226689999999998E-2</c:v>
                </c:pt>
                <c:pt idx="35">
                  <c:v>1.4902969999999996E-2</c:v>
                </c:pt>
                <c:pt idx="36">
                  <c:v>1.4579239999999997E-2</c:v>
                </c:pt>
                <c:pt idx="37">
                  <c:v>1.5187359999999999E-2</c:v>
                </c:pt>
                <c:pt idx="38">
                  <c:v>1.5795489999999999E-2</c:v>
                </c:pt>
                <c:pt idx="39">
                  <c:v>1.698005E-2</c:v>
                </c:pt>
                <c:pt idx="40">
                  <c:v>1.8164609999999998E-2</c:v>
                </c:pt>
                <c:pt idx="41">
                  <c:v>1.8638719999999998E-2</c:v>
                </c:pt>
                <c:pt idx="42">
                  <c:v>1.9112480000000001E-2</c:v>
                </c:pt>
                <c:pt idx="43">
                  <c:v>1.8796399999999998E-2</c:v>
                </c:pt>
                <c:pt idx="44">
                  <c:v>1.8480679999999999E-2</c:v>
                </c:pt>
                <c:pt idx="45">
                  <c:v>1.8709729999999997E-2</c:v>
                </c:pt>
                <c:pt idx="46">
                  <c:v>1.8938779999999995E-2</c:v>
                </c:pt>
                <c:pt idx="47">
                  <c:v>1.910446E-2</c:v>
                </c:pt>
                <c:pt idx="48">
                  <c:v>1.9270519999999999E-2</c:v>
                </c:pt>
                <c:pt idx="49">
                  <c:v>1.9578219999999997E-2</c:v>
                </c:pt>
                <c:pt idx="50">
                  <c:v>1.9886279999999999E-2</c:v>
                </c:pt>
                <c:pt idx="51">
                  <c:v>1.9965299999999998E-2</c:v>
                </c:pt>
                <c:pt idx="52">
                  <c:v>2.0044319999999997E-2</c:v>
                </c:pt>
                <c:pt idx="53">
                  <c:v>2.0920819999999996E-2</c:v>
                </c:pt>
                <c:pt idx="54">
                  <c:v>2.1797679999999996E-2</c:v>
                </c:pt>
                <c:pt idx="55">
                  <c:v>2.1947699999999994E-2</c:v>
                </c:pt>
                <c:pt idx="56">
                  <c:v>2.2097729999999999E-2</c:v>
                </c:pt>
                <c:pt idx="57">
                  <c:v>2.234243E-2</c:v>
                </c:pt>
                <c:pt idx="58">
                  <c:v>2.2587509999999998E-2</c:v>
                </c:pt>
                <c:pt idx="59">
                  <c:v>2.2587509999999998E-2</c:v>
                </c:pt>
                <c:pt idx="60">
                  <c:v>2.2587509999999998E-2</c:v>
                </c:pt>
                <c:pt idx="61">
                  <c:v>2.3061259999999997E-2</c:v>
                </c:pt>
                <c:pt idx="62">
                  <c:v>2.3535009999999999E-2</c:v>
                </c:pt>
                <c:pt idx="63">
                  <c:v>2.3685039999999997E-2</c:v>
                </c:pt>
                <c:pt idx="64">
                  <c:v>2.3835429999999998E-2</c:v>
                </c:pt>
                <c:pt idx="65">
                  <c:v>2.3685039999999997E-2</c:v>
                </c:pt>
                <c:pt idx="66">
                  <c:v>2.3535009999999999E-2</c:v>
                </c:pt>
                <c:pt idx="67">
                  <c:v>2.3772069999999999E-2</c:v>
                </c:pt>
                <c:pt idx="68">
                  <c:v>2.4009119999999998E-2</c:v>
                </c:pt>
                <c:pt idx="69">
                  <c:v>2.4403859999999996E-2</c:v>
                </c:pt>
                <c:pt idx="70">
                  <c:v>2.4798949999999997E-2</c:v>
                </c:pt>
                <c:pt idx="71">
                  <c:v>2.4403859999999996E-2</c:v>
                </c:pt>
                <c:pt idx="72">
                  <c:v>2.4009119999999998E-2</c:v>
                </c:pt>
                <c:pt idx="73">
                  <c:v>2.4009119999999998E-2</c:v>
                </c:pt>
                <c:pt idx="74">
                  <c:v>2.4009119999999998E-2</c:v>
                </c:pt>
                <c:pt idx="75">
                  <c:v>2.5520319999999999E-2</c:v>
                </c:pt>
                <c:pt idx="76">
                  <c:v>2.7031519999999996E-2</c:v>
                </c:pt>
                <c:pt idx="77">
                  <c:v>2.8502659999999999E-2</c:v>
                </c:pt>
                <c:pt idx="78">
                  <c:v>2.4231979999999997E-2</c:v>
                </c:pt>
                <c:pt idx="79">
                  <c:v>2.8452049999999996E-2</c:v>
                </c:pt>
                <c:pt idx="80">
                  <c:v>2.8289999999999996E-2</c:v>
                </c:pt>
                <c:pt idx="81">
                  <c:v>2.7948799999999999E-2</c:v>
                </c:pt>
                <c:pt idx="82">
                  <c:v>2.8378129999999991E-2</c:v>
                </c:pt>
                <c:pt idx="83">
                  <c:v>2.7980479999999999E-2</c:v>
                </c:pt>
                <c:pt idx="84">
                  <c:v>2.7024969999999999E-2</c:v>
                </c:pt>
                <c:pt idx="85">
                  <c:v>2.9106419999999997E-2</c:v>
                </c:pt>
                <c:pt idx="86">
                  <c:v>2.8602799999999998E-2</c:v>
                </c:pt>
                <c:pt idx="87">
                  <c:v>2.681704E-2</c:v>
                </c:pt>
                <c:pt idx="88">
                  <c:v>2.7803139999999997E-2</c:v>
                </c:pt>
                <c:pt idx="89">
                  <c:v>2.7945519999999995E-2</c:v>
                </c:pt>
                <c:pt idx="90">
                  <c:v>2.8542359999999992E-2</c:v>
                </c:pt>
                <c:pt idx="91">
                  <c:v>2.8440759999999992E-2</c:v>
                </c:pt>
                <c:pt idx="92">
                  <c:v>2.8359559999999999E-2</c:v>
                </c:pt>
                <c:pt idx="93">
                  <c:v>2.9053619999999995E-2</c:v>
                </c:pt>
                <c:pt idx="94">
                  <c:v>2.7678239999999996E-2</c:v>
                </c:pt>
                <c:pt idx="95">
                  <c:v>2.6298129999999996E-2</c:v>
                </c:pt>
                <c:pt idx="96">
                  <c:v>2.7918579999999995E-2</c:v>
                </c:pt>
                <c:pt idx="97">
                  <c:v>2.7274399999999997E-2</c:v>
                </c:pt>
                <c:pt idx="98">
                  <c:v>2.7934229999999997E-2</c:v>
                </c:pt>
                <c:pt idx="99">
                  <c:v>2.6493679999999999E-2</c:v>
                </c:pt>
                <c:pt idx="100">
                  <c:v>2.7696809999999995E-2</c:v>
                </c:pt>
                <c:pt idx="101">
                  <c:v>2.8315129999999994E-2</c:v>
                </c:pt>
                <c:pt idx="102">
                  <c:v>2.7400759999999993E-2</c:v>
                </c:pt>
                <c:pt idx="103">
                  <c:v>2.8374849999999997E-2</c:v>
                </c:pt>
                <c:pt idx="104">
                  <c:v>3.0355069999999998E-2</c:v>
                </c:pt>
                <c:pt idx="105">
                  <c:v>3.100433E-2</c:v>
                </c:pt>
                <c:pt idx="106">
                  <c:v>2.9780449999999997E-2</c:v>
                </c:pt>
                <c:pt idx="107">
                  <c:v>2.7449559999999998E-2</c:v>
                </c:pt>
                <c:pt idx="108">
                  <c:v>2.6189989999999996E-2</c:v>
                </c:pt>
                <c:pt idx="109">
                  <c:v>2.7220879999999992E-2</c:v>
                </c:pt>
                <c:pt idx="110">
                  <c:v>2.9224399999999998E-2</c:v>
                </c:pt>
                <c:pt idx="111">
                  <c:v>2.7619979999999992E-2</c:v>
                </c:pt>
                <c:pt idx="112">
                  <c:v>2.7786759999999997E-2</c:v>
                </c:pt>
                <c:pt idx="113">
                  <c:v>2.782536E-2</c:v>
                </c:pt>
                <c:pt idx="114">
                  <c:v>2.7697539999999993E-2</c:v>
                </c:pt>
                <c:pt idx="115">
                  <c:v>2.9089299999999998E-2</c:v>
                </c:pt>
                <c:pt idx="116">
                  <c:v>3.0062289999999995E-2</c:v>
                </c:pt>
                <c:pt idx="117">
                  <c:v>3.0323019999999999E-2</c:v>
                </c:pt>
                <c:pt idx="118">
                  <c:v>2.8657059999999995E-2</c:v>
                </c:pt>
                <c:pt idx="119">
                  <c:v>3.0028059999999995E-2</c:v>
                </c:pt>
                <c:pt idx="120">
                  <c:v>2.9712719999999995E-2</c:v>
                </c:pt>
                <c:pt idx="121">
                  <c:v>3.0352149999999994E-2</c:v>
                </c:pt>
                <c:pt idx="122">
                  <c:v>3.0721029999999993E-2</c:v>
                </c:pt>
                <c:pt idx="123">
                  <c:v>2.851832E-2</c:v>
                </c:pt>
                <c:pt idx="124">
                  <c:v>2.9135909999999994E-2</c:v>
                </c:pt>
                <c:pt idx="125">
                  <c:v>3.1396149999999998E-2</c:v>
                </c:pt>
                <c:pt idx="126">
                  <c:v>3.2146659999999994E-2</c:v>
                </c:pt>
                <c:pt idx="127">
                  <c:v>3.2532649999999996E-2</c:v>
                </c:pt>
                <c:pt idx="128">
                  <c:v>3.5807399999999996E-2</c:v>
                </c:pt>
                <c:pt idx="129">
                  <c:v>3.4241220000000003E-2</c:v>
                </c:pt>
                <c:pt idx="130">
                  <c:v>3.3307909999999996E-2</c:v>
                </c:pt>
                <c:pt idx="131">
                  <c:v>3.7616109999999994E-2</c:v>
                </c:pt>
                <c:pt idx="132">
                  <c:v>3.7066249999999995E-2</c:v>
                </c:pt>
                <c:pt idx="133">
                  <c:v>2.9019019999999993E-2</c:v>
                </c:pt>
                <c:pt idx="134">
                  <c:v>2.9815040000000001E-2</c:v>
                </c:pt>
                <c:pt idx="135">
                  <c:v>3.7994819999999992E-2</c:v>
                </c:pt>
                <c:pt idx="136">
                  <c:v>4.1323089999999993E-2</c:v>
                </c:pt>
                <c:pt idx="137">
                  <c:v>4.0165119999999999E-2</c:v>
                </c:pt>
                <c:pt idx="138">
                  <c:v>3.5555049999999998E-2</c:v>
                </c:pt>
                <c:pt idx="139">
                  <c:v>3.1740269999999994E-2</c:v>
                </c:pt>
                <c:pt idx="140">
                  <c:v>3.5501519999999995E-2</c:v>
                </c:pt>
                <c:pt idx="141">
                  <c:v>4.1130099999999989E-2</c:v>
                </c:pt>
                <c:pt idx="142">
                  <c:v>3.9953909999999995E-2</c:v>
                </c:pt>
                <c:pt idx="143">
                  <c:v>2.8856249999999996E-2</c:v>
                </c:pt>
                <c:pt idx="144">
                  <c:v>2.9155939999999995E-2</c:v>
                </c:pt>
                <c:pt idx="145">
                  <c:v>3.9990320000000003E-2</c:v>
                </c:pt>
                <c:pt idx="146">
                  <c:v>3.5667569999999996E-2</c:v>
                </c:pt>
                <c:pt idx="147">
                  <c:v>2.8332969999999996E-2</c:v>
                </c:pt>
                <c:pt idx="148">
                  <c:v>3.7965679999999988E-2</c:v>
                </c:pt>
                <c:pt idx="149">
                  <c:v>4.7229509999999988E-2</c:v>
                </c:pt>
                <c:pt idx="150">
                  <c:v>5.033929999999999E-2</c:v>
                </c:pt>
                <c:pt idx="151">
                  <c:v>5.1439019999999988E-2</c:v>
                </c:pt>
                <c:pt idx="152">
                  <c:v>5.2043499999999993E-2</c:v>
                </c:pt>
                <c:pt idx="153">
                  <c:v>5.1406249999999994E-2</c:v>
                </c:pt>
                <c:pt idx="154">
                  <c:v>4.9447149999999988E-2</c:v>
                </c:pt>
                <c:pt idx="155">
                  <c:v>4.9698409999999991E-2</c:v>
                </c:pt>
                <c:pt idx="156">
                  <c:v>4.8835389999999999E-2</c:v>
                </c:pt>
                <c:pt idx="157">
                  <c:v>4.7983289999999998E-2</c:v>
                </c:pt>
                <c:pt idx="158">
                  <c:v>4.7076569999999984E-2</c:v>
                </c:pt>
                <c:pt idx="159">
                  <c:v>4.4979099999999994E-2</c:v>
                </c:pt>
                <c:pt idx="160">
                  <c:v>3.9516939999999987E-2</c:v>
                </c:pt>
                <c:pt idx="161">
                  <c:v>4.2506559999999999E-2</c:v>
                </c:pt>
                <c:pt idx="162">
                  <c:v>4.9013819999999993E-2</c:v>
                </c:pt>
                <c:pt idx="163">
                  <c:v>4.9661989999999996E-2</c:v>
                </c:pt>
                <c:pt idx="164">
                  <c:v>5.108944E-2</c:v>
                </c:pt>
                <c:pt idx="165">
                  <c:v>5.0474039999999991E-2</c:v>
                </c:pt>
                <c:pt idx="166">
                  <c:v>5.0597849999999993E-2</c:v>
                </c:pt>
                <c:pt idx="167">
                  <c:v>4.8423899999999992E-2</c:v>
                </c:pt>
                <c:pt idx="168">
                  <c:v>4.7127549999999997E-2</c:v>
                </c:pt>
                <c:pt idx="169">
                  <c:v>4.8769839999999995E-2</c:v>
                </c:pt>
                <c:pt idx="170">
                  <c:v>4.9021099999999991E-2</c:v>
                </c:pt>
                <c:pt idx="171">
                  <c:v>4.9731179999999993E-2</c:v>
                </c:pt>
                <c:pt idx="172">
                  <c:v>4.8165359999999997E-2</c:v>
                </c:pt>
                <c:pt idx="173">
                  <c:v>4.7469849999999994E-2</c:v>
                </c:pt>
                <c:pt idx="174">
                  <c:v>4.7935949999999998E-2</c:v>
                </c:pt>
                <c:pt idx="175">
                  <c:v>4.8045190000000002E-2</c:v>
                </c:pt>
                <c:pt idx="176">
                  <c:v>4.9075719999999996E-2</c:v>
                </c:pt>
                <c:pt idx="177">
                  <c:v>4.7746599999999993E-2</c:v>
                </c:pt>
                <c:pt idx="178">
                  <c:v>4.6570409999999993E-2</c:v>
                </c:pt>
                <c:pt idx="179">
                  <c:v>4.4735119999999989E-2</c:v>
                </c:pt>
                <c:pt idx="180">
                  <c:v>4.1170150000000003E-2</c:v>
                </c:pt>
                <c:pt idx="181">
                  <c:v>4.3162020000000002E-2</c:v>
                </c:pt>
                <c:pt idx="182">
                  <c:v>4.5765649999999998E-2</c:v>
                </c:pt>
                <c:pt idx="183">
                  <c:v>4.0995359999999995E-2</c:v>
                </c:pt>
                <c:pt idx="184">
                  <c:v>3.5955969999999997E-2</c:v>
                </c:pt>
                <c:pt idx="185">
                  <c:v>4.0875189999999985E-2</c:v>
                </c:pt>
                <c:pt idx="186">
                  <c:v>4.8769839999999995E-2</c:v>
                </c:pt>
                <c:pt idx="187">
                  <c:v>5.0179079999999987E-2</c:v>
                </c:pt>
                <c:pt idx="188">
                  <c:v>4.6650519999999994E-2</c:v>
                </c:pt>
                <c:pt idx="189">
                  <c:v>4.7477129999999992E-2</c:v>
                </c:pt>
                <c:pt idx="190">
                  <c:v>4.7091139999999997E-2</c:v>
                </c:pt>
                <c:pt idx="191">
                  <c:v>4.7546320000000003E-2</c:v>
                </c:pt>
                <c:pt idx="192">
                  <c:v>4.847851999999999E-2</c:v>
                </c:pt>
                <c:pt idx="193">
                  <c:v>4.8700649999999984E-2</c:v>
                </c:pt>
                <c:pt idx="194">
                  <c:v>4.8595050000000001E-2</c:v>
                </c:pt>
                <c:pt idx="195">
                  <c:v>4.7025589999999999E-2</c:v>
                </c:pt>
                <c:pt idx="196">
                  <c:v>4.6224469999999997E-2</c:v>
                </c:pt>
                <c:pt idx="197">
                  <c:v>4.7324189999999995E-2</c:v>
                </c:pt>
                <c:pt idx="198">
                  <c:v>4.7681049999999989E-2</c:v>
                </c:pt>
                <c:pt idx="199">
                  <c:v>4.7637349999999995E-2</c:v>
                </c:pt>
                <c:pt idx="200">
                  <c:v>4.9210459999999984E-2</c:v>
                </c:pt>
                <c:pt idx="201">
                  <c:v>4.9079359999999995E-2</c:v>
                </c:pt>
                <c:pt idx="202">
                  <c:v>4.7189459999999996E-2</c:v>
                </c:pt>
                <c:pt idx="203">
                  <c:v>4.5765649999999998E-2</c:v>
                </c:pt>
                <c:pt idx="204">
                  <c:v>4.6461169999999989E-2</c:v>
                </c:pt>
                <c:pt idx="205">
                  <c:v>4.5976860000000001E-2</c:v>
                </c:pt>
                <c:pt idx="206">
                  <c:v>4.6508509999999996E-2</c:v>
                </c:pt>
                <c:pt idx="207">
                  <c:v>4.7659199999999992E-2</c:v>
                </c:pt>
                <c:pt idx="208">
                  <c:v>4.6355569999999992E-2</c:v>
                </c:pt>
                <c:pt idx="209">
                  <c:v>4.5751089999999994E-2</c:v>
                </c:pt>
                <c:pt idx="210">
                  <c:v>4.645023999999999E-2</c:v>
                </c:pt>
                <c:pt idx="211">
                  <c:v>4.694911999999999E-2</c:v>
                </c:pt>
                <c:pt idx="212">
                  <c:v>4.7214949999999992E-2</c:v>
                </c:pt>
                <c:pt idx="213">
                  <c:v>4.7251359999999985E-2</c:v>
                </c:pt>
                <c:pt idx="214">
                  <c:v>4.6173499999999992E-2</c:v>
                </c:pt>
                <c:pt idx="215">
                  <c:v>4.6384699999999994E-2</c:v>
                </c:pt>
                <c:pt idx="216">
                  <c:v>4.5641849999999998E-2</c:v>
                </c:pt>
                <c:pt idx="217">
                  <c:v>4.552896E-2</c:v>
                </c:pt>
                <c:pt idx="218">
                  <c:v>4.6752479999999992E-2</c:v>
                </c:pt>
                <c:pt idx="219">
                  <c:v>4.6330079999999996E-2</c:v>
                </c:pt>
                <c:pt idx="220">
                  <c:v>4.5051929999999997E-2</c:v>
                </c:pt>
                <c:pt idx="221">
                  <c:v>4.5070139999999988E-2</c:v>
                </c:pt>
                <c:pt idx="222">
                  <c:v>4.6555840000000001E-2</c:v>
                </c:pt>
                <c:pt idx="223">
                  <c:v>4.6676009999999997E-2</c:v>
                </c:pt>
                <c:pt idx="224">
                  <c:v>4.6512149999999988E-2</c:v>
                </c:pt>
                <c:pt idx="225">
                  <c:v>4.6461169999999989E-2</c:v>
                </c:pt>
                <c:pt idx="226">
                  <c:v>4.5204869999999994E-2</c:v>
                </c:pt>
                <c:pt idx="227">
                  <c:v>4.5685539999999997E-2</c:v>
                </c:pt>
                <c:pt idx="228">
                  <c:v>4.6828949999999994E-2</c:v>
                </c:pt>
                <c:pt idx="229">
                  <c:v>4.6974609999999993E-2</c:v>
                </c:pt>
                <c:pt idx="230">
                  <c:v>4.6563130000000001E-2</c:v>
                </c:pt>
                <c:pt idx="231">
                  <c:v>4.6752479999999992E-2</c:v>
                </c:pt>
                <c:pt idx="232">
                  <c:v>4.6668729999999992E-2</c:v>
                </c:pt>
                <c:pt idx="233">
                  <c:v>4.5048289999999991E-2</c:v>
                </c:pt>
                <c:pt idx="234">
                  <c:v>4.3642689999999998E-2</c:v>
                </c:pt>
                <c:pt idx="235">
                  <c:v>4.0179679999999995E-2</c:v>
                </c:pt>
                <c:pt idx="236">
                  <c:v>3.449975999999999E-2</c:v>
                </c:pt>
                <c:pt idx="237">
                  <c:v>3.659649999999999E-2</c:v>
                </c:pt>
                <c:pt idx="238">
                  <c:v>4.1949420000000001E-2</c:v>
                </c:pt>
                <c:pt idx="239">
                  <c:v>4.2972669999999998E-2</c:v>
                </c:pt>
                <c:pt idx="240">
                  <c:v>4.3606269999999996E-2</c:v>
                </c:pt>
                <c:pt idx="241">
                  <c:v>4.2768749999999994E-2</c:v>
                </c:pt>
                <c:pt idx="242">
                  <c:v>4.2339059999999991E-2</c:v>
                </c:pt>
                <c:pt idx="243">
                  <c:v>4.1956699999999993E-2</c:v>
                </c:pt>
                <c:pt idx="244">
                  <c:v>4.2262579999999994E-2</c:v>
                </c:pt>
                <c:pt idx="245">
                  <c:v>4.3096469999999998E-2</c:v>
                </c:pt>
                <c:pt idx="246">
                  <c:v>4.2947169999999993E-2</c:v>
                </c:pt>
                <c:pt idx="247">
                  <c:v>4.342784999999999E-2</c:v>
                </c:pt>
                <c:pt idx="248">
                  <c:v>4.1985839999999996E-2</c:v>
                </c:pt>
                <c:pt idx="249">
                  <c:v>4.0955310000000002E-2</c:v>
                </c:pt>
                <c:pt idx="250">
                  <c:v>4.1242979999999999E-2</c:v>
                </c:pt>
                <c:pt idx="251">
                  <c:v>3.9385849999999993E-2</c:v>
                </c:pt>
                <c:pt idx="252">
                  <c:v>3.9287519999999999E-2</c:v>
                </c:pt>
                <c:pt idx="253">
                  <c:v>4.0456419999999993E-2</c:v>
                </c:pt>
                <c:pt idx="254">
                  <c:v>4.0383599999999999E-2</c:v>
                </c:pt>
                <c:pt idx="255">
                  <c:v>4.0296209999999999E-2</c:v>
                </c:pt>
                <c:pt idx="256">
                  <c:v>4.0773229999999994E-2</c:v>
                </c:pt>
                <c:pt idx="257">
                  <c:v>4.0361749999999995E-2</c:v>
                </c:pt>
                <c:pt idx="258">
                  <c:v>4.0339899999999998E-2</c:v>
                </c:pt>
                <c:pt idx="259">
                  <c:v>4.0478279999999998E-2</c:v>
                </c:pt>
                <c:pt idx="260">
                  <c:v>4.0223379999999989E-2</c:v>
                </c:pt>
                <c:pt idx="261">
                  <c:v>4.0842419999999997E-2</c:v>
                </c:pt>
                <c:pt idx="262">
                  <c:v>4.0168749999999996E-2</c:v>
                </c:pt>
                <c:pt idx="263">
                  <c:v>3.9746349999999993E-2</c:v>
                </c:pt>
                <c:pt idx="264">
                  <c:v>3.8905179999999998E-2</c:v>
                </c:pt>
                <c:pt idx="265">
                  <c:v>3.9382199999999999E-2</c:v>
                </c:pt>
                <c:pt idx="266">
                  <c:v>3.8337109999999994E-2</c:v>
                </c:pt>
                <c:pt idx="267">
                  <c:v>3.754326999999999E-2</c:v>
                </c:pt>
                <c:pt idx="268">
                  <c:v>3.7390329999999999E-2</c:v>
                </c:pt>
                <c:pt idx="269">
                  <c:v>3.7015259999999994E-2</c:v>
                </c:pt>
                <c:pt idx="270">
                  <c:v>3.7525069999999994E-2</c:v>
                </c:pt>
                <c:pt idx="271">
                  <c:v>3.8169599999999998E-2</c:v>
                </c:pt>
                <c:pt idx="272">
                  <c:v>3.7987529999999992E-2</c:v>
                </c:pt>
                <c:pt idx="273">
                  <c:v>3.7601539999999989E-2</c:v>
                </c:pt>
                <c:pt idx="274">
                  <c:v>3.7980249999999993E-2</c:v>
                </c:pt>
                <c:pt idx="275">
                  <c:v>3.8235150000000002E-2</c:v>
                </c:pt>
                <c:pt idx="276">
                  <c:v>3.7375759999999994E-2</c:v>
                </c:pt>
                <c:pt idx="277">
                  <c:v>3.5545210000000001E-2</c:v>
                </c:pt>
                <c:pt idx="278">
                  <c:v>3.6782209999999996E-2</c:v>
                </c:pt>
                <c:pt idx="279">
                  <c:v>3.8074929999999993E-2</c:v>
                </c:pt>
                <c:pt idx="280">
                  <c:v>3.7707139999999993E-2</c:v>
                </c:pt>
                <c:pt idx="281">
                  <c:v>3.7936549999999999E-2</c:v>
                </c:pt>
                <c:pt idx="282">
                  <c:v>3.7353919999999999E-2</c:v>
                </c:pt>
                <c:pt idx="283">
                  <c:v>3.6428989999999994E-2</c:v>
                </c:pt>
                <c:pt idx="284">
                  <c:v>3.6851399999999999E-2</c:v>
                </c:pt>
                <c:pt idx="285">
                  <c:v>3.6705739999999994E-2</c:v>
                </c:pt>
                <c:pt idx="286">
                  <c:v>3.6949719999999998E-2</c:v>
                </c:pt>
                <c:pt idx="287">
                  <c:v>3.7350279999999986E-2</c:v>
                </c:pt>
                <c:pt idx="288">
                  <c:v>3.7295659999999994E-2</c:v>
                </c:pt>
                <c:pt idx="289">
                  <c:v>3.7175489999999999E-2</c:v>
                </c:pt>
                <c:pt idx="290">
                  <c:v>3.6327029999999996E-2</c:v>
                </c:pt>
                <c:pt idx="291">
                  <c:v>3.6042999999999992E-2</c:v>
                </c:pt>
                <c:pt idx="292">
                  <c:v>3.7747199999999995E-2</c:v>
                </c:pt>
                <c:pt idx="293">
                  <c:v>3.8322539999999995E-2</c:v>
                </c:pt>
                <c:pt idx="294">
                  <c:v>3.8289769999999994E-2</c:v>
                </c:pt>
                <c:pt idx="295">
                  <c:v>3.8482769999999993E-2</c:v>
                </c:pt>
                <c:pt idx="296">
                  <c:v>3.8085849999999991E-2</c:v>
                </c:pt>
                <c:pt idx="297">
                  <c:v>3.7648880000000003E-2</c:v>
                </c:pt>
                <c:pt idx="298">
                  <c:v>3.7514139999999994E-2</c:v>
                </c:pt>
                <c:pt idx="299">
                  <c:v>3.7193689999999995E-2</c:v>
                </c:pt>
                <c:pt idx="300">
                  <c:v>3.7386689999999993E-2</c:v>
                </c:pt>
                <c:pt idx="301">
                  <c:v>3.6851399999999999E-2</c:v>
                </c:pt>
                <c:pt idx="302">
                  <c:v>3.7477729999999994E-2</c:v>
                </c:pt>
                <c:pt idx="303">
                  <c:v>3.6982489999999993E-2</c:v>
                </c:pt>
                <c:pt idx="304">
                  <c:v>3.6024429999999996E-2</c:v>
                </c:pt>
                <c:pt idx="305">
                  <c:v>3.7073529999999993E-2</c:v>
                </c:pt>
                <c:pt idx="306">
                  <c:v>3.6691179999999997E-2</c:v>
                </c:pt>
                <c:pt idx="307">
                  <c:v>3.6239639999999997E-2</c:v>
                </c:pt>
                <c:pt idx="308">
                  <c:v>3.6323749999999995E-2</c:v>
                </c:pt>
                <c:pt idx="309">
                  <c:v>3.5875859999999996E-2</c:v>
                </c:pt>
                <c:pt idx="310">
                  <c:v>3.5047789999999995E-2</c:v>
                </c:pt>
                <c:pt idx="311">
                  <c:v>3.5828879999999994E-2</c:v>
                </c:pt>
                <c:pt idx="312">
                  <c:v>3.6119829999999999E-2</c:v>
                </c:pt>
                <c:pt idx="313">
                  <c:v>3.5681399999999995E-2</c:v>
                </c:pt>
                <c:pt idx="314">
                  <c:v>3.6039359999999993E-2</c:v>
                </c:pt>
                <c:pt idx="315">
                  <c:v>3.5497879999999996E-2</c:v>
                </c:pt>
                <c:pt idx="316">
                  <c:v>3.5577259999999999E-2</c:v>
                </c:pt>
                <c:pt idx="317">
                  <c:v>3.4598799999999992E-2</c:v>
                </c:pt>
                <c:pt idx="318">
                  <c:v>3.5462549999999995E-2</c:v>
                </c:pt>
                <c:pt idx="319">
                  <c:v>3.4659619999999995E-2</c:v>
                </c:pt>
                <c:pt idx="320">
                  <c:v>3.504597999999999E-2</c:v>
                </c:pt>
                <c:pt idx="321">
                  <c:v>3.4889759999999992E-2</c:v>
                </c:pt>
                <c:pt idx="322">
                  <c:v>3.5001549999999999E-2</c:v>
                </c:pt>
                <c:pt idx="323">
                  <c:v>3.5551769999999996E-2</c:v>
                </c:pt>
                <c:pt idx="324">
                  <c:v>3.4894129999999995E-2</c:v>
                </c:pt>
                <c:pt idx="325">
                  <c:v>3.4689114999999993E-2</c:v>
                </c:pt>
                <c:pt idx="326">
                  <c:v>3.4484099999999997E-2</c:v>
                </c:pt>
                <c:pt idx="327">
                  <c:v>3.4432024999999991E-2</c:v>
                </c:pt>
                <c:pt idx="328">
                  <c:v>3.4379949999999992E-2</c:v>
                </c:pt>
                <c:pt idx="329">
                  <c:v>3.440780999999999E-2</c:v>
                </c:pt>
                <c:pt idx="330">
                  <c:v>3.4435669999999988E-2</c:v>
                </c:pt>
                <c:pt idx="331">
                  <c:v>3.4707864999999991E-2</c:v>
                </c:pt>
                <c:pt idx="332">
                  <c:v>3.4980059999999993E-2</c:v>
                </c:pt>
                <c:pt idx="333">
                  <c:v>3.4778690000000001E-2</c:v>
                </c:pt>
                <c:pt idx="334">
                  <c:v>3.4577320000000002E-2</c:v>
                </c:pt>
                <c:pt idx="335">
                  <c:v>3.3980669999999998E-2</c:v>
                </c:pt>
                <c:pt idx="336">
                  <c:v>3.3384019999999993E-2</c:v>
                </c:pt>
                <c:pt idx="337">
                  <c:v>3.3302269999999995E-2</c:v>
                </c:pt>
                <c:pt idx="338">
                  <c:v>3.3220519999999996E-2</c:v>
                </c:pt>
                <c:pt idx="339">
                  <c:v>3.3123840000000002E-2</c:v>
                </c:pt>
                <c:pt idx="340">
                  <c:v>3.302716E-2</c:v>
                </c:pt>
                <c:pt idx="341">
                  <c:v>3.3479974999999995E-2</c:v>
                </c:pt>
                <c:pt idx="342">
                  <c:v>3.3932789999999997E-2</c:v>
                </c:pt>
                <c:pt idx="343">
                  <c:v>3.3631459999999995E-2</c:v>
                </c:pt>
                <c:pt idx="344">
                  <c:v>3.3330129999999993E-2</c:v>
                </c:pt>
                <c:pt idx="345">
                  <c:v>3.3264579999999988E-2</c:v>
                </c:pt>
                <c:pt idx="346">
                  <c:v>3.319902999999999E-2</c:v>
                </c:pt>
                <c:pt idx="347">
                  <c:v>3.2996569999999989E-2</c:v>
                </c:pt>
                <c:pt idx="348">
                  <c:v>3.2794109999999994E-2</c:v>
                </c:pt>
                <c:pt idx="349">
                  <c:v>3.2806304999999994E-2</c:v>
                </c:pt>
                <c:pt idx="350">
                  <c:v>3.28185E-2</c:v>
                </c:pt>
                <c:pt idx="351">
                  <c:v>3.267958E-2</c:v>
                </c:pt>
                <c:pt idx="352">
                  <c:v>3.2540659999999999E-2</c:v>
                </c:pt>
                <c:pt idx="353">
                  <c:v>3.2720550000000001E-2</c:v>
                </c:pt>
                <c:pt idx="354">
                  <c:v>3.2900439999999996E-2</c:v>
                </c:pt>
                <c:pt idx="355">
                  <c:v>3.2716179999999997E-2</c:v>
                </c:pt>
                <c:pt idx="356">
                  <c:v>3.2531919999999999E-2</c:v>
                </c:pt>
                <c:pt idx="357">
                  <c:v>3.2589090000000001E-2</c:v>
                </c:pt>
                <c:pt idx="358">
                  <c:v>3.2646260000000003E-2</c:v>
                </c:pt>
                <c:pt idx="359">
                  <c:v>3.2391179999999999E-2</c:v>
                </c:pt>
                <c:pt idx="360">
                  <c:v>3.2136099999999994E-2</c:v>
                </c:pt>
                <c:pt idx="361">
                  <c:v>3.210550999999999E-2</c:v>
                </c:pt>
                <c:pt idx="362">
                  <c:v>3.2074919999999993E-2</c:v>
                </c:pt>
                <c:pt idx="363">
                  <c:v>3.166343499999999E-2</c:v>
                </c:pt>
                <c:pt idx="364">
                  <c:v>3.1251949999999994E-2</c:v>
                </c:pt>
                <c:pt idx="365">
                  <c:v>3.0847024999999993E-2</c:v>
                </c:pt>
                <c:pt idx="366">
                  <c:v>3.0442099999999996E-2</c:v>
                </c:pt>
                <c:pt idx="367">
                  <c:v>3.0415154999999996E-2</c:v>
                </c:pt>
                <c:pt idx="368">
                  <c:v>3.0388209999999995E-2</c:v>
                </c:pt>
                <c:pt idx="369">
                  <c:v>3.0634184999999994E-2</c:v>
                </c:pt>
                <c:pt idx="370">
                  <c:v>3.0880159999999997E-2</c:v>
                </c:pt>
                <c:pt idx="371">
                  <c:v>3.0809334999999997E-2</c:v>
                </c:pt>
                <c:pt idx="372">
                  <c:v>3.0738509999999997E-2</c:v>
                </c:pt>
                <c:pt idx="373">
                  <c:v>3.0555895E-2</c:v>
                </c:pt>
                <c:pt idx="374">
                  <c:v>3.0373279999999999E-2</c:v>
                </c:pt>
                <c:pt idx="375">
                  <c:v>3.0332129999999995E-2</c:v>
                </c:pt>
                <c:pt idx="376">
                  <c:v>3.0290979999999992E-2</c:v>
                </c:pt>
                <c:pt idx="377">
                  <c:v>3.0291704999999992E-2</c:v>
                </c:pt>
                <c:pt idx="378">
                  <c:v>3.0292429999999992E-2</c:v>
                </c:pt>
                <c:pt idx="379">
                  <c:v>3.0266579999999994E-2</c:v>
                </c:pt>
                <c:pt idx="380">
                  <c:v>3.0240729999999997E-2</c:v>
                </c:pt>
                <c:pt idx="381">
                  <c:v>2.9938669999999997E-2</c:v>
                </c:pt>
                <c:pt idx="382">
                  <c:v>2.9636609999999997E-2</c:v>
                </c:pt>
                <c:pt idx="383">
                  <c:v>2.9556859999999997E-2</c:v>
                </c:pt>
                <c:pt idx="384">
                  <c:v>2.9477109999999994E-2</c:v>
                </c:pt>
                <c:pt idx="385">
                  <c:v>2.9371144999999994E-2</c:v>
                </c:pt>
                <c:pt idx="386">
                  <c:v>2.9265179999999998E-2</c:v>
                </c:pt>
                <c:pt idx="387">
                  <c:v>2.9227129999999997E-2</c:v>
                </c:pt>
                <c:pt idx="388">
                  <c:v>2.9189079999999996E-2</c:v>
                </c:pt>
                <c:pt idx="389">
                  <c:v>2.8896669999999999E-2</c:v>
                </c:pt>
                <c:pt idx="390">
                  <c:v>2.8604259999999999E-2</c:v>
                </c:pt>
                <c:pt idx="391">
                  <c:v>2.8515409999999998E-2</c:v>
                </c:pt>
                <c:pt idx="392">
                  <c:v>2.8426559999999997E-2</c:v>
                </c:pt>
                <c:pt idx="393">
                  <c:v>2.8484459999999996E-2</c:v>
                </c:pt>
                <c:pt idx="394">
                  <c:v>2.8542359999999992E-2</c:v>
                </c:pt>
                <c:pt idx="395">
                  <c:v>2.8348084999999995E-2</c:v>
                </c:pt>
                <c:pt idx="396">
                  <c:v>2.8153809999999998E-2</c:v>
                </c:pt>
                <c:pt idx="397">
                  <c:v>2.7857765E-2</c:v>
                </c:pt>
                <c:pt idx="398">
                  <c:v>2.7561719999999998E-2</c:v>
                </c:pt>
                <c:pt idx="399">
                  <c:v>2.7607599999999996E-2</c:v>
                </c:pt>
                <c:pt idx="400">
                  <c:v>2.7653479999999998E-2</c:v>
                </c:pt>
                <c:pt idx="401">
                  <c:v>2.7684434999999997E-2</c:v>
                </c:pt>
                <c:pt idx="402">
                  <c:v>2.7715389999999996E-2</c:v>
                </c:pt>
                <c:pt idx="403">
                  <c:v>2.7297349999999998E-2</c:v>
                </c:pt>
                <c:pt idx="404">
                  <c:v>2.687931E-2</c:v>
                </c:pt>
                <c:pt idx="405">
                  <c:v>2.5701484999999996E-2</c:v>
                </c:pt>
                <c:pt idx="406">
                  <c:v>2.4523659999999996E-2</c:v>
                </c:pt>
                <c:pt idx="407">
                  <c:v>2.4576094999999999E-2</c:v>
                </c:pt>
                <c:pt idx="408">
                  <c:v>2.4628529999999999E-2</c:v>
                </c:pt>
                <c:pt idx="409">
                  <c:v>2.5889379999999997E-2</c:v>
                </c:pt>
                <c:pt idx="410">
                  <c:v>2.7150229999999997E-2</c:v>
                </c:pt>
                <c:pt idx="411">
                  <c:v>2.7155694999999997E-2</c:v>
                </c:pt>
                <c:pt idx="412">
                  <c:v>2.7161159999999997E-2</c:v>
                </c:pt>
                <c:pt idx="413">
                  <c:v>2.7079409999999998E-2</c:v>
                </c:pt>
                <c:pt idx="414">
                  <c:v>2.6997659999999996E-2</c:v>
                </c:pt>
                <c:pt idx="415">
                  <c:v>2.6978359999999996E-2</c:v>
                </c:pt>
                <c:pt idx="416">
                  <c:v>2.6959059999999996E-2</c:v>
                </c:pt>
                <c:pt idx="417">
                  <c:v>2.6928654999999996E-2</c:v>
                </c:pt>
                <c:pt idx="418">
                  <c:v>2.6898249999999995E-2</c:v>
                </c:pt>
                <c:pt idx="419">
                  <c:v>2.6719449999999995E-2</c:v>
                </c:pt>
                <c:pt idx="420">
                  <c:v>2.6540649999999995E-2</c:v>
                </c:pt>
                <c:pt idx="421">
                  <c:v>2.6449614999999996E-2</c:v>
                </c:pt>
                <c:pt idx="422">
                  <c:v>2.6358579999999996E-2</c:v>
                </c:pt>
                <c:pt idx="423">
                  <c:v>2.6220389999999996E-2</c:v>
                </c:pt>
                <c:pt idx="424">
                  <c:v>2.60822E-2</c:v>
                </c:pt>
                <c:pt idx="425">
                  <c:v>2.6088754999999998E-2</c:v>
                </c:pt>
                <c:pt idx="426">
                  <c:v>2.6095309999999997E-2</c:v>
                </c:pt>
                <c:pt idx="427">
                  <c:v>2.6054159999999996E-2</c:v>
                </c:pt>
                <c:pt idx="428">
                  <c:v>2.6013009999999996E-2</c:v>
                </c:pt>
                <c:pt idx="429">
                  <c:v>2.5984969999999996E-2</c:v>
                </c:pt>
                <c:pt idx="430">
                  <c:v>2.5956929999999993E-2</c:v>
                </c:pt>
                <c:pt idx="431">
                  <c:v>2.5832754999999995E-2</c:v>
                </c:pt>
                <c:pt idx="432">
                  <c:v>2.5708579999999998E-2</c:v>
                </c:pt>
                <c:pt idx="433">
                  <c:v>2.6092389999999997E-2</c:v>
                </c:pt>
                <c:pt idx="434">
                  <c:v>2.6476199999999995E-2</c:v>
                </c:pt>
                <c:pt idx="435">
                  <c:v>2.5861709999999996E-2</c:v>
                </c:pt>
                <c:pt idx="436">
                  <c:v>2.5247219999999997E-2</c:v>
                </c:pt>
                <c:pt idx="437">
                  <c:v>2.4767819999999996E-2</c:v>
                </c:pt>
                <c:pt idx="438">
                  <c:v>2.4288419999999998E-2</c:v>
                </c:pt>
                <c:pt idx="439">
                  <c:v>2.4494525E-2</c:v>
                </c:pt>
                <c:pt idx="440">
                  <c:v>2.4700630000000001E-2</c:v>
                </c:pt>
                <c:pt idx="441">
                  <c:v>2.4721750000000001E-2</c:v>
                </c:pt>
                <c:pt idx="442">
                  <c:v>2.4742869999999997E-2</c:v>
                </c:pt>
                <c:pt idx="443">
                  <c:v>2.4682969999999999E-2</c:v>
                </c:pt>
                <c:pt idx="444">
                  <c:v>2.4623069999999997E-2</c:v>
                </c:pt>
                <c:pt idx="445">
                  <c:v>2.4654024999999996E-2</c:v>
                </c:pt>
                <c:pt idx="446">
                  <c:v>2.4684979999999999E-2</c:v>
                </c:pt>
                <c:pt idx="447">
                  <c:v>2.459194E-2</c:v>
                </c:pt>
                <c:pt idx="448">
                  <c:v>2.4498899999999997E-2</c:v>
                </c:pt>
                <c:pt idx="449">
                  <c:v>2.4350874999999998E-2</c:v>
                </c:pt>
                <c:pt idx="450">
                  <c:v>2.4202849999999998E-2</c:v>
                </c:pt>
                <c:pt idx="451">
                  <c:v>2.4145129999999997E-2</c:v>
                </c:pt>
                <c:pt idx="452">
                  <c:v>2.4087409999999997E-2</c:v>
                </c:pt>
                <c:pt idx="453">
                  <c:v>2.3940844999999999E-2</c:v>
                </c:pt>
                <c:pt idx="454">
                  <c:v>2.3794280000000001E-2</c:v>
                </c:pt>
                <c:pt idx="455">
                  <c:v>2.3694139999999999E-2</c:v>
                </c:pt>
                <c:pt idx="456">
                  <c:v>2.3593999999999997E-2</c:v>
                </c:pt>
                <c:pt idx="457">
                  <c:v>2.3570874999999998E-2</c:v>
                </c:pt>
                <c:pt idx="458">
                  <c:v>2.3547749999999996E-2</c:v>
                </c:pt>
                <c:pt idx="459">
                  <c:v>2.3427400000000001E-2</c:v>
                </c:pt>
                <c:pt idx="460">
                  <c:v>2.3307050000000003E-2</c:v>
                </c:pt>
                <c:pt idx="461">
                  <c:v>2.3220205000000001E-2</c:v>
                </c:pt>
                <c:pt idx="462">
                  <c:v>2.3133359999999999E-2</c:v>
                </c:pt>
                <c:pt idx="463">
                  <c:v>2.3068539999999995E-2</c:v>
                </c:pt>
                <c:pt idx="464">
                  <c:v>2.3003719999999991E-2</c:v>
                </c:pt>
                <c:pt idx="465">
                  <c:v>2.3422304999999994E-2</c:v>
                </c:pt>
                <c:pt idx="466">
                  <c:v>2.3840889999999997E-2</c:v>
                </c:pt>
                <c:pt idx="467">
                  <c:v>2.3720539999999998E-2</c:v>
                </c:pt>
                <c:pt idx="468">
                  <c:v>2.3600189999999997E-2</c:v>
                </c:pt>
                <c:pt idx="469">
                  <c:v>2.3132264999999999E-2</c:v>
                </c:pt>
                <c:pt idx="470">
                  <c:v>2.2664339999999998E-2</c:v>
                </c:pt>
                <c:pt idx="471">
                  <c:v>2.2653960000000001E-2</c:v>
                </c:pt>
                <c:pt idx="472">
                  <c:v>2.264358E-2</c:v>
                </c:pt>
                <c:pt idx="473">
                  <c:v>2.2560189999999997E-2</c:v>
                </c:pt>
                <c:pt idx="474">
                  <c:v>2.2476799999999995E-2</c:v>
                </c:pt>
                <c:pt idx="475">
                  <c:v>2.2435834999999998E-2</c:v>
                </c:pt>
                <c:pt idx="476">
                  <c:v>2.2394870000000001E-2</c:v>
                </c:pt>
                <c:pt idx="477">
                  <c:v>2.2261229999999996E-2</c:v>
                </c:pt>
                <c:pt idx="478">
                  <c:v>2.2127589999999992E-2</c:v>
                </c:pt>
                <c:pt idx="479">
                  <c:v>2.1912199999999993E-2</c:v>
                </c:pt>
                <c:pt idx="480">
                  <c:v>2.1696809999999993E-2</c:v>
                </c:pt>
                <c:pt idx="481">
                  <c:v>2.1863039999999993E-2</c:v>
                </c:pt>
                <c:pt idx="482">
                  <c:v>2.2029269999999997E-2</c:v>
                </c:pt>
                <c:pt idx="483">
                  <c:v>2.1827354999999996E-2</c:v>
                </c:pt>
                <c:pt idx="484">
                  <c:v>2.1625439999999996E-2</c:v>
                </c:pt>
                <c:pt idx="485">
                  <c:v>2.1697719999999997E-2</c:v>
                </c:pt>
                <c:pt idx="486">
                  <c:v>2.1769999999999998E-2</c:v>
                </c:pt>
                <c:pt idx="487">
                  <c:v>2.1711189999999998E-2</c:v>
                </c:pt>
                <c:pt idx="488">
                  <c:v>2.1652379999999999E-2</c:v>
                </c:pt>
                <c:pt idx="489">
                  <c:v>2.1524019999999998E-2</c:v>
                </c:pt>
                <c:pt idx="490">
                  <c:v>2.1395659999999997E-2</c:v>
                </c:pt>
                <c:pt idx="491">
                  <c:v>2.1328294999999997E-2</c:v>
                </c:pt>
                <c:pt idx="492">
                  <c:v>2.1260930000000001E-2</c:v>
                </c:pt>
                <c:pt idx="493">
                  <c:v>2.1342859999999998E-2</c:v>
                </c:pt>
                <c:pt idx="494">
                  <c:v>2.1424789999999996E-2</c:v>
                </c:pt>
                <c:pt idx="495">
                  <c:v>2.1307534999999996E-2</c:v>
                </c:pt>
                <c:pt idx="496">
                  <c:v>2.1190279999999995E-2</c:v>
                </c:pt>
                <c:pt idx="497">
                  <c:v>2.1222509999999997E-2</c:v>
                </c:pt>
                <c:pt idx="498">
                  <c:v>2.1254739999999998E-2</c:v>
                </c:pt>
                <c:pt idx="499">
                  <c:v>2.1129289999999998E-2</c:v>
                </c:pt>
                <c:pt idx="500">
                  <c:v>2.1003839999999999E-2</c:v>
                </c:pt>
                <c:pt idx="501">
                  <c:v>2.0851445E-2</c:v>
                </c:pt>
                <c:pt idx="502">
                  <c:v>2.069905E-2</c:v>
                </c:pt>
                <c:pt idx="503">
                  <c:v>2.0470370000000002E-2</c:v>
                </c:pt>
                <c:pt idx="504">
                  <c:v>2.024169E-2</c:v>
                </c:pt>
                <c:pt idx="505">
                  <c:v>2.0082009999999997E-2</c:v>
                </c:pt>
                <c:pt idx="506">
                  <c:v>1.9922329999999995E-2</c:v>
                </c:pt>
                <c:pt idx="507">
                  <c:v>2.0281559999999997E-2</c:v>
                </c:pt>
                <c:pt idx="508">
                  <c:v>2.0640789999999996E-2</c:v>
                </c:pt>
                <c:pt idx="509">
                  <c:v>1.9476804999999996E-2</c:v>
                </c:pt>
                <c:pt idx="510">
                  <c:v>1.8312819999999997E-2</c:v>
                </c:pt>
                <c:pt idx="511">
                  <c:v>1.7963054999999999E-2</c:v>
                </c:pt>
                <c:pt idx="512">
                  <c:v>1.7613289999999997E-2</c:v>
                </c:pt>
                <c:pt idx="513">
                  <c:v>1.8447180000000001E-2</c:v>
                </c:pt>
                <c:pt idx="514">
                  <c:v>1.9281070000000001E-2</c:v>
                </c:pt>
                <c:pt idx="515">
                  <c:v>1.9362094999999999E-2</c:v>
                </c:pt>
                <c:pt idx="516">
                  <c:v>1.9443119999999998E-2</c:v>
                </c:pt>
                <c:pt idx="517">
                  <c:v>1.9132319999999994E-2</c:v>
                </c:pt>
                <c:pt idx="518">
                  <c:v>1.8821519999999994E-2</c:v>
                </c:pt>
                <c:pt idx="519">
                  <c:v>1.9318944999999997E-2</c:v>
                </c:pt>
                <c:pt idx="520">
                  <c:v>1.981637E-2</c:v>
                </c:pt>
                <c:pt idx="521">
                  <c:v>1.9857699999999999E-2</c:v>
                </c:pt>
                <c:pt idx="522">
                  <c:v>1.9899029999999998E-2</c:v>
                </c:pt>
                <c:pt idx="523">
                  <c:v>1.9874994999999999E-2</c:v>
                </c:pt>
                <c:pt idx="524">
                  <c:v>1.9850959999999997E-2</c:v>
                </c:pt>
                <c:pt idx="525">
                  <c:v>1.9735524999999997E-2</c:v>
                </c:pt>
                <c:pt idx="526">
                  <c:v>1.9620089999999996E-2</c:v>
                </c:pt>
                <c:pt idx="527">
                  <c:v>1.9769934999999999E-2</c:v>
                </c:pt>
                <c:pt idx="528">
                  <c:v>1.9919780000000002E-2</c:v>
                </c:pt>
                <c:pt idx="529">
                  <c:v>1.9977500000000002E-2</c:v>
                </c:pt>
                <c:pt idx="530">
                  <c:v>2.0035219999999999E-2</c:v>
                </c:pt>
                <c:pt idx="531">
                  <c:v>1.9849139999999998E-2</c:v>
                </c:pt>
                <c:pt idx="532">
                  <c:v>1.9663059999999996E-2</c:v>
                </c:pt>
                <c:pt idx="533">
                  <c:v>1.9791604999999997E-2</c:v>
                </c:pt>
                <c:pt idx="534">
                  <c:v>1.9920149999999998E-2</c:v>
                </c:pt>
                <c:pt idx="535">
                  <c:v>1.9825289999999999E-2</c:v>
                </c:pt>
                <c:pt idx="536">
                  <c:v>1.973043E-2</c:v>
                </c:pt>
                <c:pt idx="537">
                  <c:v>1.9698019999999997E-2</c:v>
                </c:pt>
                <c:pt idx="538">
                  <c:v>1.9665609999999997E-2</c:v>
                </c:pt>
                <c:pt idx="539">
                  <c:v>1.9377754999999997E-2</c:v>
                </c:pt>
                <c:pt idx="540">
                  <c:v>1.90899E-2</c:v>
                </c:pt>
                <c:pt idx="541">
                  <c:v>1.8910375E-2</c:v>
                </c:pt>
                <c:pt idx="542">
                  <c:v>1.8730849999999997E-2</c:v>
                </c:pt>
                <c:pt idx="543">
                  <c:v>1.8623064999999998E-2</c:v>
                </c:pt>
                <c:pt idx="544">
                  <c:v>1.8515279999999999E-2</c:v>
                </c:pt>
                <c:pt idx="545">
                  <c:v>1.8511819999999998E-2</c:v>
                </c:pt>
                <c:pt idx="546">
                  <c:v>1.8508359999999998E-2</c:v>
                </c:pt>
                <c:pt idx="547">
                  <c:v>1.8427704999999996E-2</c:v>
                </c:pt>
                <c:pt idx="548">
                  <c:v>1.8347049999999997E-2</c:v>
                </c:pt>
                <c:pt idx="549">
                  <c:v>1.8198114999999997E-2</c:v>
                </c:pt>
                <c:pt idx="550">
                  <c:v>1.8049179999999998E-2</c:v>
                </c:pt>
                <c:pt idx="551">
                  <c:v>1.7901334999999997E-2</c:v>
                </c:pt>
                <c:pt idx="552">
                  <c:v>1.7753489999999997E-2</c:v>
                </c:pt>
                <c:pt idx="553">
                  <c:v>1.7786264999999996E-2</c:v>
                </c:pt>
                <c:pt idx="554">
                  <c:v>1.7819039999999998E-2</c:v>
                </c:pt>
                <c:pt idx="555">
                  <c:v>1.7842159999999996E-2</c:v>
                </c:pt>
                <c:pt idx="556">
                  <c:v>1.7865279999999997E-2</c:v>
                </c:pt>
                <c:pt idx="557">
                  <c:v>1.7644609999999998E-2</c:v>
                </c:pt>
                <c:pt idx="558">
                  <c:v>1.7423939999999999E-2</c:v>
                </c:pt>
                <c:pt idx="559">
                  <c:v>1.7213645E-2</c:v>
                </c:pt>
                <c:pt idx="560">
                  <c:v>1.7003349999999997E-2</c:v>
                </c:pt>
                <c:pt idx="561">
                  <c:v>1.7319429999999997E-2</c:v>
                </c:pt>
                <c:pt idx="562">
                  <c:v>1.7635509999999997E-2</c:v>
                </c:pt>
                <c:pt idx="563">
                  <c:v>1.7650799999999998E-2</c:v>
                </c:pt>
                <c:pt idx="564">
                  <c:v>1.7666089999999999E-2</c:v>
                </c:pt>
                <c:pt idx="565">
                  <c:v>1.7242954999999997E-2</c:v>
                </c:pt>
                <c:pt idx="566">
                  <c:v>1.6819819999999999E-2</c:v>
                </c:pt>
                <c:pt idx="567">
                  <c:v>1.6746085000000001E-2</c:v>
                </c:pt>
                <c:pt idx="568">
                  <c:v>1.6672349999999999E-2</c:v>
                </c:pt>
                <c:pt idx="569">
                  <c:v>1.6925789999999996E-2</c:v>
                </c:pt>
                <c:pt idx="570">
                  <c:v>1.7179229999999997E-2</c:v>
                </c:pt>
                <c:pt idx="571">
                  <c:v>1.6933799999999999E-2</c:v>
                </c:pt>
                <c:pt idx="572">
                  <c:v>1.6688370000000001E-2</c:v>
                </c:pt>
                <c:pt idx="573">
                  <c:v>1.7239134999999999E-2</c:v>
                </c:pt>
                <c:pt idx="574">
                  <c:v>1.7789899999999997E-2</c:v>
                </c:pt>
                <c:pt idx="575">
                  <c:v>1.7706879999999998E-2</c:v>
                </c:pt>
                <c:pt idx="576">
                  <c:v>1.7623859999999998E-2</c:v>
                </c:pt>
                <c:pt idx="577">
                  <c:v>1.7388619999999997E-2</c:v>
                </c:pt>
                <c:pt idx="578">
                  <c:v>1.7153379999999996E-2</c:v>
                </c:pt>
                <c:pt idx="579">
                  <c:v>1.6928884999999998E-2</c:v>
                </c:pt>
                <c:pt idx="580">
                  <c:v>1.6704389999999996E-2</c:v>
                </c:pt>
                <c:pt idx="581">
                  <c:v>1.6648494999999996E-2</c:v>
                </c:pt>
                <c:pt idx="582">
                  <c:v>1.6592599999999996E-2</c:v>
                </c:pt>
                <c:pt idx="583">
                  <c:v>1.6520679999999996E-2</c:v>
                </c:pt>
                <c:pt idx="584">
                  <c:v>1.644876E-2</c:v>
                </c:pt>
                <c:pt idx="585">
                  <c:v>1.6409435E-2</c:v>
                </c:pt>
                <c:pt idx="586">
                  <c:v>1.6370109999999997E-2</c:v>
                </c:pt>
                <c:pt idx="587">
                  <c:v>1.6722414999999997E-2</c:v>
                </c:pt>
                <c:pt idx="588">
                  <c:v>1.7074719999999998E-2</c:v>
                </c:pt>
                <c:pt idx="589">
                  <c:v>1.6956559999999999E-2</c:v>
                </c:pt>
                <c:pt idx="590">
                  <c:v>1.68384E-2</c:v>
                </c:pt>
                <c:pt idx="591">
                  <c:v>1.6728424999999998E-2</c:v>
                </c:pt>
                <c:pt idx="592">
                  <c:v>1.661845E-2</c:v>
                </c:pt>
                <c:pt idx="593">
                  <c:v>1.6379024999999998E-2</c:v>
                </c:pt>
                <c:pt idx="594">
                  <c:v>1.6139599999999997E-2</c:v>
                </c:pt>
                <c:pt idx="595">
                  <c:v>1.5786199999999997E-2</c:v>
                </c:pt>
                <c:pt idx="596">
                  <c:v>1.5432799999999998E-2</c:v>
                </c:pt>
                <c:pt idx="597">
                  <c:v>1.5985204999999999E-2</c:v>
                </c:pt>
                <c:pt idx="598">
                  <c:v>1.6537609999999998E-2</c:v>
                </c:pt>
                <c:pt idx="599">
                  <c:v>1.6026899999999997E-2</c:v>
                </c:pt>
                <c:pt idx="600">
                  <c:v>1.5516189999999997E-2</c:v>
                </c:pt>
                <c:pt idx="601">
                  <c:v>1.5676959999999997E-2</c:v>
                </c:pt>
                <c:pt idx="602">
                  <c:v>1.5837729999999998E-2</c:v>
                </c:pt>
                <c:pt idx="603">
                  <c:v>1.5358149999999997E-2</c:v>
                </c:pt>
                <c:pt idx="604">
                  <c:v>1.4878569999999997E-2</c:v>
                </c:pt>
                <c:pt idx="605">
                  <c:v>1.4881485E-2</c:v>
                </c:pt>
                <c:pt idx="606">
                  <c:v>1.4884400000000001E-2</c:v>
                </c:pt>
                <c:pt idx="607">
                  <c:v>1.5332294999999999E-2</c:v>
                </c:pt>
                <c:pt idx="608">
                  <c:v>1.5780189999999999E-2</c:v>
                </c:pt>
                <c:pt idx="609">
                  <c:v>1.5483594999999999E-2</c:v>
                </c:pt>
                <c:pt idx="610">
                  <c:v>1.5186999999999997E-2</c:v>
                </c:pt>
                <c:pt idx="611">
                  <c:v>1.5632714999999998E-2</c:v>
                </c:pt>
                <c:pt idx="612">
                  <c:v>1.6078429999999998E-2</c:v>
                </c:pt>
                <c:pt idx="613">
                  <c:v>1.5673134999999998E-2</c:v>
                </c:pt>
                <c:pt idx="614">
                  <c:v>1.5267839999999998E-2</c:v>
                </c:pt>
                <c:pt idx="615">
                  <c:v>1.4873655E-2</c:v>
                </c:pt>
                <c:pt idx="616">
                  <c:v>1.4479469999999999E-2</c:v>
                </c:pt>
                <c:pt idx="617">
                  <c:v>1.4523529999999998E-2</c:v>
                </c:pt>
                <c:pt idx="618">
                  <c:v>1.4567589999999997E-2</c:v>
                </c:pt>
                <c:pt idx="619">
                  <c:v>1.4805559999999997E-2</c:v>
                </c:pt>
                <c:pt idx="620">
                  <c:v>1.5043529999999998E-2</c:v>
                </c:pt>
                <c:pt idx="621">
                  <c:v>1.5167884999999999E-2</c:v>
                </c:pt>
                <c:pt idx="622">
                  <c:v>1.5292239999999999E-2</c:v>
                </c:pt>
                <c:pt idx="623">
                  <c:v>1.4779889999999999E-2</c:v>
                </c:pt>
                <c:pt idx="624">
                  <c:v>1.4267539999999999E-2</c:v>
                </c:pt>
                <c:pt idx="625">
                  <c:v>1.4810479999999997E-2</c:v>
                </c:pt>
                <c:pt idx="626">
                  <c:v>1.5353419999999996E-2</c:v>
                </c:pt>
                <c:pt idx="627">
                  <c:v>1.5297339999999996E-2</c:v>
                </c:pt>
                <c:pt idx="628">
                  <c:v>1.5241259999999998E-2</c:v>
                </c:pt>
                <c:pt idx="629">
                  <c:v>1.5121274999999997E-2</c:v>
                </c:pt>
                <c:pt idx="630">
                  <c:v>1.5001289999999997E-2</c:v>
                </c:pt>
                <c:pt idx="631">
                  <c:v>1.5137114999999998E-2</c:v>
                </c:pt>
                <c:pt idx="632">
                  <c:v>1.5272939999999999E-2</c:v>
                </c:pt>
                <c:pt idx="633">
                  <c:v>1.4809384999999998E-2</c:v>
                </c:pt>
                <c:pt idx="634">
                  <c:v>1.4345829999999995E-2</c:v>
                </c:pt>
                <c:pt idx="635">
                  <c:v>1.4348194999999998E-2</c:v>
                </c:pt>
                <c:pt idx="636">
                  <c:v>1.4350559999999998E-2</c:v>
                </c:pt>
                <c:pt idx="637">
                  <c:v>1.4374409999999997E-2</c:v>
                </c:pt>
                <c:pt idx="638">
                  <c:v>1.4398259999999998E-2</c:v>
                </c:pt>
                <c:pt idx="639">
                  <c:v>1.4490754999999998E-2</c:v>
                </c:pt>
                <c:pt idx="640">
                  <c:v>1.4583249999999997E-2</c:v>
                </c:pt>
                <c:pt idx="641">
                  <c:v>1.4564314999999998E-2</c:v>
                </c:pt>
                <c:pt idx="642">
                  <c:v>1.4545379999999998E-2</c:v>
                </c:pt>
                <c:pt idx="643">
                  <c:v>1.4375504999999998E-2</c:v>
                </c:pt>
                <c:pt idx="644">
                  <c:v>1.4205629999999999E-2</c:v>
                </c:pt>
                <c:pt idx="645">
                  <c:v>1.4482199999999997E-2</c:v>
                </c:pt>
                <c:pt idx="646">
                  <c:v>1.4758769999999997E-2</c:v>
                </c:pt>
                <c:pt idx="647">
                  <c:v>1.4677744999999999E-2</c:v>
                </c:pt>
                <c:pt idx="648">
                  <c:v>1.4596719999999999E-2</c:v>
                </c:pt>
                <c:pt idx="649">
                  <c:v>1.4327074999999998E-2</c:v>
                </c:pt>
                <c:pt idx="650">
                  <c:v>1.4057429999999999E-2</c:v>
                </c:pt>
                <c:pt idx="651">
                  <c:v>1.419544E-2</c:v>
                </c:pt>
                <c:pt idx="652">
                  <c:v>1.4333450000000001E-2</c:v>
                </c:pt>
                <c:pt idx="653">
                  <c:v>1.4462900000000001E-2</c:v>
                </c:pt>
                <c:pt idx="654">
                  <c:v>1.4592349999999999E-2</c:v>
                </c:pt>
                <c:pt idx="655">
                  <c:v>1.4580154999999997E-2</c:v>
                </c:pt>
                <c:pt idx="656">
                  <c:v>1.4567959999999996E-2</c:v>
                </c:pt>
                <c:pt idx="657">
                  <c:v>1.3995884999999996E-2</c:v>
                </c:pt>
                <c:pt idx="658">
                  <c:v>1.3423809999999998E-2</c:v>
                </c:pt>
                <c:pt idx="659">
                  <c:v>1.3819089999999999E-2</c:v>
                </c:pt>
                <c:pt idx="660">
                  <c:v>1.4214369999999999E-2</c:v>
                </c:pt>
                <c:pt idx="661">
                  <c:v>1.3952005E-2</c:v>
                </c:pt>
                <c:pt idx="662">
                  <c:v>1.3689639999999999E-2</c:v>
                </c:pt>
                <c:pt idx="663">
                  <c:v>1.3824554999999999E-2</c:v>
                </c:pt>
                <c:pt idx="664">
                  <c:v>1.3959469999999998E-2</c:v>
                </c:pt>
                <c:pt idx="665">
                  <c:v>1.3908854999999998E-2</c:v>
                </c:pt>
                <c:pt idx="666">
                  <c:v>1.3858239999999997E-2</c:v>
                </c:pt>
                <c:pt idx="667">
                  <c:v>1.3972034999999997E-2</c:v>
                </c:pt>
                <c:pt idx="668">
                  <c:v>1.4085829999999999E-2</c:v>
                </c:pt>
                <c:pt idx="669">
                  <c:v>1.3743534999999998E-2</c:v>
                </c:pt>
                <c:pt idx="670">
                  <c:v>1.3401239999999998E-2</c:v>
                </c:pt>
                <c:pt idx="671">
                  <c:v>1.3041644999999998E-2</c:v>
                </c:pt>
                <c:pt idx="672">
                  <c:v>1.2682049999999999E-2</c:v>
                </c:pt>
                <c:pt idx="673">
                  <c:v>1.2752694999999998E-2</c:v>
                </c:pt>
                <c:pt idx="674">
                  <c:v>1.2823339999999999E-2</c:v>
                </c:pt>
                <c:pt idx="675">
                  <c:v>1.2858844999999999E-2</c:v>
                </c:pt>
                <c:pt idx="676">
                  <c:v>1.2894349999999999E-2</c:v>
                </c:pt>
                <c:pt idx="677">
                  <c:v>1.3351714999999998E-2</c:v>
                </c:pt>
                <c:pt idx="678">
                  <c:v>1.3809079999999998E-2</c:v>
                </c:pt>
                <c:pt idx="679">
                  <c:v>1.4350924999999997E-2</c:v>
                </c:pt>
                <c:pt idx="680">
                  <c:v>1.4892769999999998E-2</c:v>
                </c:pt>
                <c:pt idx="681">
                  <c:v>1.4298124999999998E-2</c:v>
                </c:pt>
                <c:pt idx="682">
                  <c:v>1.3703479999999997E-2</c:v>
                </c:pt>
                <c:pt idx="683">
                  <c:v>1.4644064999999998E-2</c:v>
                </c:pt>
                <c:pt idx="684">
                  <c:v>1.5584649999999999E-2</c:v>
                </c:pt>
                <c:pt idx="685">
                  <c:v>1.4616754999999999E-2</c:v>
                </c:pt>
                <c:pt idx="686">
                  <c:v>1.3648859999999997E-2</c:v>
                </c:pt>
                <c:pt idx="687">
                  <c:v>1.4256794999999999E-2</c:v>
                </c:pt>
                <c:pt idx="688">
                  <c:v>1.486473E-2</c:v>
                </c:pt>
                <c:pt idx="689">
                  <c:v>1.4982714999999999E-2</c:v>
                </c:pt>
                <c:pt idx="690">
                  <c:v>1.5100699999999998E-2</c:v>
                </c:pt>
                <c:pt idx="691">
                  <c:v>1.4176684999999998E-2</c:v>
                </c:pt>
                <c:pt idx="692">
                  <c:v>1.3252669999999998E-2</c:v>
                </c:pt>
                <c:pt idx="693">
                  <c:v>1.3181839999999998E-2</c:v>
                </c:pt>
                <c:pt idx="694">
                  <c:v>1.3111009999999999E-2</c:v>
                </c:pt>
                <c:pt idx="695">
                  <c:v>1.3470239999999998E-2</c:v>
                </c:pt>
                <c:pt idx="696">
                  <c:v>1.3829469999999996E-2</c:v>
                </c:pt>
                <c:pt idx="697">
                  <c:v>1.3518854999999996E-2</c:v>
                </c:pt>
                <c:pt idx="698">
                  <c:v>1.3208239999999998E-2</c:v>
                </c:pt>
                <c:pt idx="699">
                  <c:v>1.3429819999999999E-2</c:v>
                </c:pt>
                <c:pt idx="700">
                  <c:v>1.3651399999999998E-2</c:v>
                </c:pt>
                <c:pt idx="701">
                  <c:v>1.4283919999999999E-2</c:v>
                </c:pt>
                <c:pt idx="702">
                  <c:v>1.4916439999999998E-2</c:v>
                </c:pt>
                <c:pt idx="703">
                  <c:v>1.3701655E-2</c:v>
                </c:pt>
                <c:pt idx="704">
                  <c:v>1.2486870000000001E-2</c:v>
                </c:pt>
                <c:pt idx="705">
                  <c:v>1.2545134999999999E-2</c:v>
                </c:pt>
                <c:pt idx="706">
                  <c:v>1.2603399999999999E-2</c:v>
                </c:pt>
                <c:pt idx="707">
                  <c:v>1.2948425E-2</c:v>
                </c:pt>
                <c:pt idx="708">
                  <c:v>1.3293449999999998E-2</c:v>
                </c:pt>
                <c:pt idx="709">
                  <c:v>1.3098634999999997E-2</c:v>
                </c:pt>
                <c:pt idx="710">
                  <c:v>1.2903819999999998E-2</c:v>
                </c:pt>
                <c:pt idx="711">
                  <c:v>1.2651649999999997E-2</c:v>
                </c:pt>
                <c:pt idx="712">
                  <c:v>1.2399479999999997E-2</c:v>
                </c:pt>
                <c:pt idx="713">
                  <c:v>1.2314269999999999E-2</c:v>
                </c:pt>
                <c:pt idx="714">
                  <c:v>1.222906E-2</c:v>
                </c:pt>
                <c:pt idx="715">
                  <c:v>1.2368889999999999E-2</c:v>
                </c:pt>
                <c:pt idx="716">
                  <c:v>1.2508719999999997E-2</c:v>
                </c:pt>
                <c:pt idx="717">
                  <c:v>1.2025864999999997E-2</c:v>
                </c:pt>
                <c:pt idx="718">
                  <c:v>1.1543009999999998E-2</c:v>
                </c:pt>
                <c:pt idx="719">
                  <c:v>1.1851259999999999E-2</c:v>
                </c:pt>
                <c:pt idx="720">
                  <c:v>1.2159509999999998E-2</c:v>
                </c:pt>
                <c:pt idx="721">
                  <c:v>1.2297699999999998E-2</c:v>
                </c:pt>
                <c:pt idx="722">
                  <c:v>1.2435889999999998E-2</c:v>
                </c:pt>
                <c:pt idx="723">
                  <c:v>1.2260009999999998E-2</c:v>
                </c:pt>
                <c:pt idx="724">
                  <c:v>1.2084129999999998E-2</c:v>
                </c:pt>
                <c:pt idx="725">
                  <c:v>1.2012939999999998E-2</c:v>
                </c:pt>
                <c:pt idx="726">
                  <c:v>1.1941749999999998E-2</c:v>
                </c:pt>
                <c:pt idx="727">
                  <c:v>1.2164604999999998E-2</c:v>
                </c:pt>
                <c:pt idx="728">
                  <c:v>1.2387459999999998E-2</c:v>
                </c:pt>
                <c:pt idx="729">
                  <c:v>1.2259279999999997E-2</c:v>
                </c:pt>
                <c:pt idx="730">
                  <c:v>1.2131099999999999E-2</c:v>
                </c:pt>
                <c:pt idx="731">
                  <c:v>1.2214669999999997E-2</c:v>
                </c:pt>
                <c:pt idx="732">
                  <c:v>1.2298239999999997E-2</c:v>
                </c:pt>
                <c:pt idx="733">
                  <c:v>1.1921169999999998E-2</c:v>
                </c:pt>
                <c:pt idx="734">
                  <c:v>1.1544099999999998E-2</c:v>
                </c:pt>
                <c:pt idx="735">
                  <c:v>1.162239E-2</c:v>
                </c:pt>
                <c:pt idx="736">
                  <c:v>1.1700680000000001E-2</c:v>
                </c:pt>
                <c:pt idx="737">
                  <c:v>1.1761495E-2</c:v>
                </c:pt>
                <c:pt idx="738">
                  <c:v>1.1822310000000001E-2</c:v>
                </c:pt>
                <c:pt idx="739">
                  <c:v>1.178735E-2</c:v>
                </c:pt>
                <c:pt idx="740">
                  <c:v>1.175239E-2</c:v>
                </c:pt>
                <c:pt idx="741">
                  <c:v>1.1678289999999999E-2</c:v>
                </c:pt>
                <c:pt idx="742">
                  <c:v>1.1604189999999999E-2</c:v>
                </c:pt>
                <c:pt idx="743">
                  <c:v>1.1625669999999998E-2</c:v>
                </c:pt>
                <c:pt idx="744">
                  <c:v>1.1647149999999998E-2</c:v>
                </c:pt>
                <c:pt idx="745">
                  <c:v>1.1601634999999997E-2</c:v>
                </c:pt>
                <c:pt idx="746">
                  <c:v>1.1556119999999996E-2</c:v>
                </c:pt>
                <c:pt idx="747">
                  <c:v>1.1681749999999998E-2</c:v>
                </c:pt>
                <c:pt idx="748">
                  <c:v>1.1807379999999999E-2</c:v>
                </c:pt>
                <c:pt idx="749">
                  <c:v>1.1778249999999999E-2</c:v>
                </c:pt>
                <c:pt idx="750">
                  <c:v>1.1749119999999998E-2</c:v>
                </c:pt>
                <c:pt idx="751">
                  <c:v>1.1720169999999999E-2</c:v>
                </c:pt>
                <c:pt idx="752">
                  <c:v>1.1691219999999997E-2</c:v>
                </c:pt>
                <c:pt idx="753">
                  <c:v>1.1006259999999997E-2</c:v>
                </c:pt>
                <c:pt idx="754">
                  <c:v>1.0321299999999999E-2</c:v>
                </c:pt>
                <c:pt idx="755">
                  <c:v>1.0446934999999999E-2</c:v>
                </c:pt>
                <c:pt idx="756">
                  <c:v>1.057257E-2</c:v>
                </c:pt>
                <c:pt idx="757">
                  <c:v>1.0851864999999999E-2</c:v>
                </c:pt>
                <c:pt idx="758">
                  <c:v>1.1131159999999998E-2</c:v>
                </c:pt>
                <c:pt idx="759">
                  <c:v>1.1184689999999997E-2</c:v>
                </c:pt>
                <c:pt idx="760">
                  <c:v>1.1238219999999998E-2</c:v>
                </c:pt>
                <c:pt idx="761">
                  <c:v>1.1188694999999999E-2</c:v>
                </c:pt>
                <c:pt idx="762">
                  <c:v>1.113917E-2</c:v>
                </c:pt>
                <c:pt idx="763">
                  <c:v>1.107472E-2</c:v>
                </c:pt>
                <c:pt idx="764">
                  <c:v>1.1010269999999999E-2</c:v>
                </c:pt>
                <c:pt idx="765">
                  <c:v>1.1137354999999998E-2</c:v>
                </c:pt>
                <c:pt idx="766">
                  <c:v>1.1264439999999999E-2</c:v>
                </c:pt>
                <c:pt idx="767">
                  <c:v>1.1168484999999999E-2</c:v>
                </c:pt>
                <c:pt idx="768">
                  <c:v>1.1072529999999999E-2</c:v>
                </c:pt>
                <c:pt idx="769">
                  <c:v>1.134655E-2</c:v>
                </c:pt>
                <c:pt idx="770">
                  <c:v>1.162057E-2</c:v>
                </c:pt>
                <c:pt idx="771">
                  <c:v>1.117686E-2</c:v>
                </c:pt>
                <c:pt idx="772">
                  <c:v>1.0733149999999999E-2</c:v>
                </c:pt>
                <c:pt idx="773">
                  <c:v>1.0680894999999999E-2</c:v>
                </c:pt>
                <c:pt idx="774">
                  <c:v>1.0628639999999998E-2</c:v>
                </c:pt>
                <c:pt idx="775">
                  <c:v>1.0592409999999997E-2</c:v>
                </c:pt>
                <c:pt idx="776">
                  <c:v>1.0556179999999997E-2</c:v>
                </c:pt>
                <c:pt idx="777">
                  <c:v>1.0493729999999996E-2</c:v>
                </c:pt>
                <c:pt idx="778">
                  <c:v>1.0431279999999998E-2</c:v>
                </c:pt>
                <c:pt idx="779">
                  <c:v>1.0540885E-2</c:v>
                </c:pt>
                <c:pt idx="780">
                  <c:v>1.065049E-2</c:v>
                </c:pt>
                <c:pt idx="781">
                  <c:v>1.0665784999999999E-2</c:v>
                </c:pt>
                <c:pt idx="782">
                  <c:v>1.0681079999999997E-2</c:v>
                </c:pt>
                <c:pt idx="783">
                  <c:v>1.0639929999999999E-2</c:v>
                </c:pt>
                <c:pt idx="784">
                  <c:v>1.0598779999999999E-2</c:v>
                </c:pt>
                <c:pt idx="785">
                  <c:v>1.0716219999999999E-2</c:v>
                </c:pt>
                <c:pt idx="786">
                  <c:v>1.0833659999999997E-2</c:v>
                </c:pt>
                <c:pt idx="787">
                  <c:v>1.0731149999999998E-2</c:v>
                </c:pt>
                <c:pt idx="788">
                  <c:v>1.0628639999999998E-2</c:v>
                </c:pt>
                <c:pt idx="789">
                  <c:v>1.0318934999999998E-2</c:v>
                </c:pt>
                <c:pt idx="790">
                  <c:v>1.0009229999999997E-2</c:v>
                </c:pt>
                <c:pt idx="791">
                  <c:v>1.0131949999999997E-2</c:v>
                </c:pt>
                <c:pt idx="792">
                  <c:v>1.0254669999999999E-2</c:v>
                </c:pt>
                <c:pt idx="793">
                  <c:v>1.0179289999999999E-2</c:v>
                </c:pt>
                <c:pt idx="794">
                  <c:v>1.0103909999999999E-2</c:v>
                </c:pt>
                <c:pt idx="795">
                  <c:v>9.8340794999999988E-3</c:v>
                </c:pt>
                <c:pt idx="796">
                  <c:v>9.5642489999999986E-3</c:v>
                </c:pt>
                <c:pt idx="797">
                  <c:v>9.8358994999999984E-3</c:v>
                </c:pt>
                <c:pt idx="798">
                  <c:v>1.010755E-2</c:v>
                </c:pt>
                <c:pt idx="799">
                  <c:v>1.008297E-2</c:v>
                </c:pt>
                <c:pt idx="800">
                  <c:v>1.0058389999999999E-2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FE-4C71-A014-FF2ADB0F709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Spectra!$F$3:$F$803</c:f>
              <c:numCache>
                <c:formatCode>0.00E+00</c:formatCode>
                <c:ptCount val="801"/>
                <c:pt idx="0">
                  <c:v>5.4341829999999995E-3</c:v>
                </c:pt>
                <c:pt idx="1">
                  <c:v>4.9113989999999986E-3</c:v>
                </c:pt>
                <c:pt idx="2">
                  <c:v>4.388613999999999E-3</c:v>
                </c:pt>
                <c:pt idx="3">
                  <c:v>3.9963439999999998E-3</c:v>
                </c:pt>
                <c:pt idx="4">
                  <c:v>3.6044019999999996E-3</c:v>
                </c:pt>
                <c:pt idx="5">
                  <c:v>4.5716249999999993E-3</c:v>
                </c:pt>
                <c:pt idx="6">
                  <c:v>5.5384479999999988E-3</c:v>
                </c:pt>
                <c:pt idx="7">
                  <c:v>6.5592249999999993E-3</c:v>
                </c:pt>
                <c:pt idx="8">
                  <c:v>7.5800029999999984E-3</c:v>
                </c:pt>
                <c:pt idx="9">
                  <c:v>7.3040279999999997E-3</c:v>
                </c:pt>
                <c:pt idx="10">
                  <c:v>7.0284189999999993E-3</c:v>
                </c:pt>
                <c:pt idx="11">
                  <c:v>6.4925099999999991E-3</c:v>
                </c:pt>
                <c:pt idx="12">
                  <c:v>5.9569669999999996E-3</c:v>
                </c:pt>
                <c:pt idx="13">
                  <c:v>7.7994709999999988E-3</c:v>
                </c:pt>
                <c:pt idx="14">
                  <c:v>9.6423389999999998E-3</c:v>
                </c:pt>
                <c:pt idx="15">
                  <c:v>1.1878209999999998E-2</c:v>
                </c:pt>
                <c:pt idx="16">
                  <c:v>1.4114439999999999E-2</c:v>
                </c:pt>
                <c:pt idx="17">
                  <c:v>1.3434889999999998E-2</c:v>
                </c:pt>
                <c:pt idx="18">
                  <c:v>1.2755349999999997E-2</c:v>
                </c:pt>
                <c:pt idx="19">
                  <c:v>1.2833729999999998E-2</c:v>
                </c:pt>
                <c:pt idx="20">
                  <c:v>1.2912109999999997E-2</c:v>
                </c:pt>
                <c:pt idx="21">
                  <c:v>1.2663839999999997E-2</c:v>
                </c:pt>
                <c:pt idx="22">
                  <c:v>1.2415569999999999E-2</c:v>
                </c:pt>
                <c:pt idx="23">
                  <c:v>1.0990859999999998E-2</c:v>
                </c:pt>
                <c:pt idx="24">
                  <c:v>9.5665099999999986E-3</c:v>
                </c:pt>
                <c:pt idx="25">
                  <c:v>9.3182419999999992E-3</c:v>
                </c:pt>
                <c:pt idx="26">
                  <c:v>9.0696089999999993E-3</c:v>
                </c:pt>
                <c:pt idx="27">
                  <c:v>1.0023669999999997E-2</c:v>
                </c:pt>
                <c:pt idx="28">
                  <c:v>1.0977729999999998E-2</c:v>
                </c:pt>
                <c:pt idx="29">
                  <c:v>7.4363649999999995E-3</c:v>
                </c:pt>
                <c:pt idx="30">
                  <c:v>3.894631E-3</c:v>
                </c:pt>
                <c:pt idx="31">
                  <c:v>7.2781449999999989E-3</c:v>
                </c:pt>
                <c:pt idx="32">
                  <c:v>1.0661659999999998E-2</c:v>
                </c:pt>
                <c:pt idx="33">
                  <c:v>1.2086010000000001E-2</c:v>
                </c:pt>
                <c:pt idx="34">
                  <c:v>1.3510719999999999E-2</c:v>
                </c:pt>
                <c:pt idx="35">
                  <c:v>1.3015279999999999E-2</c:v>
                </c:pt>
                <c:pt idx="36">
                  <c:v>1.2519839999999999E-2</c:v>
                </c:pt>
                <c:pt idx="37">
                  <c:v>1.3160379999999998E-2</c:v>
                </c:pt>
                <c:pt idx="38">
                  <c:v>1.3800549999999998E-2</c:v>
                </c:pt>
                <c:pt idx="39">
                  <c:v>1.5877470000000001E-2</c:v>
                </c:pt>
                <c:pt idx="40">
                  <c:v>1.7954019999999998E-2</c:v>
                </c:pt>
                <c:pt idx="41">
                  <c:v>1.7914650000000001E-2</c:v>
                </c:pt>
                <c:pt idx="42">
                  <c:v>1.7875639999999998E-2</c:v>
                </c:pt>
                <c:pt idx="43">
                  <c:v>1.7811479999999998E-2</c:v>
                </c:pt>
                <c:pt idx="44">
                  <c:v>1.7747309999999999E-2</c:v>
                </c:pt>
                <c:pt idx="45">
                  <c:v>1.748483E-2</c:v>
                </c:pt>
                <c:pt idx="46">
                  <c:v>1.7221979999999998E-2</c:v>
                </c:pt>
                <c:pt idx="47">
                  <c:v>1.7404989999999999E-2</c:v>
                </c:pt>
                <c:pt idx="48">
                  <c:v>1.7587999999999996E-2</c:v>
                </c:pt>
                <c:pt idx="49">
                  <c:v>1.7824599999999999E-2</c:v>
                </c:pt>
                <c:pt idx="50">
                  <c:v>1.8061199999999999E-2</c:v>
                </c:pt>
                <c:pt idx="51">
                  <c:v>1.8164369999999999E-2</c:v>
                </c:pt>
                <c:pt idx="52">
                  <c:v>1.8267549999999997E-2</c:v>
                </c:pt>
                <c:pt idx="53">
                  <c:v>1.9053179999999999E-2</c:v>
                </c:pt>
                <c:pt idx="54">
                  <c:v>1.9838449999999997E-2</c:v>
                </c:pt>
                <c:pt idx="55">
                  <c:v>1.9732719999999995E-2</c:v>
                </c:pt>
                <c:pt idx="56">
                  <c:v>1.9626639999999997E-2</c:v>
                </c:pt>
                <c:pt idx="57">
                  <c:v>1.9745849999999999E-2</c:v>
                </c:pt>
                <c:pt idx="58">
                  <c:v>1.9864699999999999E-2</c:v>
                </c:pt>
                <c:pt idx="59">
                  <c:v>1.9954739999999995E-2</c:v>
                </c:pt>
                <c:pt idx="60">
                  <c:v>2.0045159999999996E-2</c:v>
                </c:pt>
                <c:pt idx="61">
                  <c:v>2.0384929999999999E-2</c:v>
                </c:pt>
                <c:pt idx="62">
                  <c:v>2.0724699999999999E-2</c:v>
                </c:pt>
                <c:pt idx="63">
                  <c:v>2.0791419999999998E-2</c:v>
                </c:pt>
                <c:pt idx="64">
                  <c:v>2.0857769999999998E-2</c:v>
                </c:pt>
                <c:pt idx="65">
                  <c:v>2.1053899999999997E-2</c:v>
                </c:pt>
                <c:pt idx="66">
                  <c:v>2.1250039999999998E-2</c:v>
                </c:pt>
                <c:pt idx="67">
                  <c:v>2.0897139999999995E-2</c:v>
                </c:pt>
                <c:pt idx="68">
                  <c:v>2.0544239999999998E-2</c:v>
                </c:pt>
                <c:pt idx="69">
                  <c:v>2.1313840000000001E-2</c:v>
                </c:pt>
                <c:pt idx="70">
                  <c:v>2.2083789999999996E-2</c:v>
                </c:pt>
                <c:pt idx="71">
                  <c:v>2.1993379999999996E-2</c:v>
                </c:pt>
                <c:pt idx="72">
                  <c:v>2.1903339999999997E-2</c:v>
                </c:pt>
                <c:pt idx="73">
                  <c:v>2.2086349999999998E-2</c:v>
                </c:pt>
                <c:pt idx="74">
                  <c:v>2.2269359999999998E-2</c:v>
                </c:pt>
                <c:pt idx="75">
                  <c:v>2.4048244999999999E-2</c:v>
                </c:pt>
                <c:pt idx="76">
                  <c:v>2.582713E-2</c:v>
                </c:pt>
                <c:pt idx="77">
                  <c:v>2.3481889999999995E-2</c:v>
                </c:pt>
                <c:pt idx="78">
                  <c:v>2.4905519999999997E-2</c:v>
                </c:pt>
                <c:pt idx="79">
                  <c:v>2.6169819999999993E-2</c:v>
                </c:pt>
                <c:pt idx="80">
                  <c:v>2.545528E-2</c:v>
                </c:pt>
                <c:pt idx="81">
                  <c:v>2.5230709999999996E-2</c:v>
                </c:pt>
                <c:pt idx="82">
                  <c:v>2.5128629999999999E-2</c:v>
                </c:pt>
                <c:pt idx="83">
                  <c:v>2.4730159999999998E-2</c:v>
                </c:pt>
                <c:pt idx="84">
                  <c:v>2.4769899999999997E-2</c:v>
                </c:pt>
                <c:pt idx="85">
                  <c:v>2.3983540000000001E-2</c:v>
                </c:pt>
                <c:pt idx="86">
                  <c:v>2.342174E-2</c:v>
                </c:pt>
                <c:pt idx="87">
                  <c:v>2.3758599999999998E-2</c:v>
                </c:pt>
                <c:pt idx="88">
                  <c:v>2.4861770000000002E-2</c:v>
                </c:pt>
                <c:pt idx="89">
                  <c:v>2.5674739999999998E-2</c:v>
                </c:pt>
                <c:pt idx="90">
                  <c:v>2.5275909999999995E-2</c:v>
                </c:pt>
                <c:pt idx="91">
                  <c:v>2.5231430000000003E-2</c:v>
                </c:pt>
                <c:pt idx="92">
                  <c:v>2.5065559999999997E-2</c:v>
                </c:pt>
                <c:pt idx="93">
                  <c:v>2.4067749999999995E-2</c:v>
                </c:pt>
                <c:pt idx="94">
                  <c:v>2.4411530000000001E-2</c:v>
                </c:pt>
                <c:pt idx="95">
                  <c:v>2.5399499999999998E-2</c:v>
                </c:pt>
                <c:pt idx="96">
                  <c:v>2.5354289999999995E-2</c:v>
                </c:pt>
                <c:pt idx="97">
                  <c:v>2.4952179999999997E-2</c:v>
                </c:pt>
                <c:pt idx="98">
                  <c:v>2.4982439999999995E-2</c:v>
                </c:pt>
                <c:pt idx="99">
                  <c:v>2.5688959999999997E-2</c:v>
                </c:pt>
                <c:pt idx="100">
                  <c:v>2.6270809999999995E-2</c:v>
                </c:pt>
                <c:pt idx="101">
                  <c:v>2.5987539999999996E-2</c:v>
                </c:pt>
                <c:pt idx="102">
                  <c:v>2.6382729999999993E-2</c:v>
                </c:pt>
                <c:pt idx="103">
                  <c:v>2.7931029999999996E-2</c:v>
                </c:pt>
                <c:pt idx="104">
                  <c:v>2.8670729999999995E-2</c:v>
                </c:pt>
                <c:pt idx="105">
                  <c:v>2.7119139999999993E-2</c:v>
                </c:pt>
                <c:pt idx="106">
                  <c:v>2.4845729999999996E-2</c:v>
                </c:pt>
                <c:pt idx="107">
                  <c:v>2.4006499999999997E-2</c:v>
                </c:pt>
                <c:pt idx="108">
                  <c:v>2.4963849999999996E-2</c:v>
                </c:pt>
                <c:pt idx="109">
                  <c:v>2.6517979999999997E-2</c:v>
                </c:pt>
                <c:pt idx="110">
                  <c:v>2.6098369999999996E-2</c:v>
                </c:pt>
                <c:pt idx="111">
                  <c:v>2.5438509999999998E-2</c:v>
                </c:pt>
                <c:pt idx="112">
                  <c:v>2.6315649999999993E-2</c:v>
                </c:pt>
                <c:pt idx="113">
                  <c:v>2.6706459999999998E-2</c:v>
                </c:pt>
                <c:pt idx="114">
                  <c:v>2.7266429999999998E-2</c:v>
                </c:pt>
                <c:pt idx="115">
                  <c:v>2.8903319999999996E-2</c:v>
                </c:pt>
                <c:pt idx="116">
                  <c:v>2.9313089999999997E-2</c:v>
                </c:pt>
                <c:pt idx="117">
                  <c:v>2.8629899999999996E-2</c:v>
                </c:pt>
                <c:pt idx="118">
                  <c:v>2.8702079999999998E-2</c:v>
                </c:pt>
                <c:pt idx="119">
                  <c:v>2.9032739999999998E-2</c:v>
                </c:pt>
                <c:pt idx="120">
                  <c:v>2.7974049999999993E-2</c:v>
                </c:pt>
                <c:pt idx="121">
                  <c:v>2.7039309999999993E-2</c:v>
                </c:pt>
                <c:pt idx="122">
                  <c:v>2.6352830000000001E-2</c:v>
                </c:pt>
                <c:pt idx="123">
                  <c:v>2.5237629999999997E-2</c:v>
                </c:pt>
                <c:pt idx="124">
                  <c:v>2.5694069999999999E-2</c:v>
                </c:pt>
                <c:pt idx="125">
                  <c:v>2.7664169999999995E-2</c:v>
                </c:pt>
                <c:pt idx="126">
                  <c:v>2.9722489999999997E-2</c:v>
                </c:pt>
                <c:pt idx="127">
                  <c:v>3.1503379999999997E-2</c:v>
                </c:pt>
                <c:pt idx="128">
                  <c:v>3.0781179999999998E-2</c:v>
                </c:pt>
                <c:pt idx="129">
                  <c:v>3.0121319999999993E-2</c:v>
                </c:pt>
                <c:pt idx="130">
                  <c:v>3.1259489999999994E-2</c:v>
                </c:pt>
                <c:pt idx="131">
                  <c:v>2.8196429999999998E-2</c:v>
                </c:pt>
                <c:pt idx="132">
                  <c:v>2.3820939999999999E-2</c:v>
                </c:pt>
                <c:pt idx="133">
                  <c:v>2.5116599999999996E-2</c:v>
                </c:pt>
                <c:pt idx="134">
                  <c:v>2.9446519999999997E-2</c:v>
                </c:pt>
                <c:pt idx="135">
                  <c:v>3.1709359999999992E-2</c:v>
                </c:pt>
                <c:pt idx="136">
                  <c:v>3.1367769999999989E-2</c:v>
                </c:pt>
                <c:pt idx="137">
                  <c:v>2.9660519999999996E-2</c:v>
                </c:pt>
                <c:pt idx="138">
                  <c:v>2.8571569999999994E-2</c:v>
                </c:pt>
                <c:pt idx="139">
                  <c:v>3.102398E-2</c:v>
                </c:pt>
                <c:pt idx="140">
                  <c:v>3.3103449999999993E-2</c:v>
                </c:pt>
                <c:pt idx="141">
                  <c:v>2.9691499999999992E-2</c:v>
                </c:pt>
                <c:pt idx="142">
                  <c:v>2.4062649999999994E-2</c:v>
                </c:pt>
                <c:pt idx="143">
                  <c:v>2.5680939999999996E-2</c:v>
                </c:pt>
                <c:pt idx="144">
                  <c:v>3.1044039999999998E-2</c:v>
                </c:pt>
                <c:pt idx="145">
                  <c:v>2.9233979999999993E-2</c:v>
                </c:pt>
                <c:pt idx="146">
                  <c:v>2.5960559999999997E-2</c:v>
                </c:pt>
                <c:pt idx="147">
                  <c:v>3.2533279999999998E-2</c:v>
                </c:pt>
                <c:pt idx="148">
                  <c:v>3.8986409999999999E-2</c:v>
                </c:pt>
                <c:pt idx="149">
                  <c:v>4.005094E-2</c:v>
                </c:pt>
                <c:pt idx="150">
                  <c:v>4.1122759999999994E-2</c:v>
                </c:pt>
                <c:pt idx="151">
                  <c:v>4.1768029999999991E-2</c:v>
                </c:pt>
                <c:pt idx="152">
                  <c:v>4.1527419999999989E-2</c:v>
                </c:pt>
                <c:pt idx="153">
                  <c:v>4.1319619999999987E-2</c:v>
                </c:pt>
                <c:pt idx="154">
                  <c:v>4.0907659999999992E-2</c:v>
                </c:pt>
                <c:pt idx="155">
                  <c:v>4.137065999999999E-2</c:v>
                </c:pt>
                <c:pt idx="156">
                  <c:v>4.2504449999999999E-2</c:v>
                </c:pt>
                <c:pt idx="157">
                  <c:v>4.3959059999999994E-2</c:v>
                </c:pt>
                <c:pt idx="158">
                  <c:v>4.2715899999999994E-2</c:v>
                </c:pt>
                <c:pt idx="159">
                  <c:v>3.9788449999999989E-2</c:v>
                </c:pt>
                <c:pt idx="160">
                  <c:v>4.0707149999999991E-2</c:v>
                </c:pt>
                <c:pt idx="161">
                  <c:v>4.2220089999999995E-2</c:v>
                </c:pt>
                <c:pt idx="162">
                  <c:v>4.2077909999999996E-2</c:v>
                </c:pt>
                <c:pt idx="163">
                  <c:v>4.2683089999999986E-2</c:v>
                </c:pt>
                <c:pt idx="164">
                  <c:v>4.3248159999999994E-2</c:v>
                </c:pt>
                <c:pt idx="165">
                  <c:v>4.3160669999999998E-2</c:v>
                </c:pt>
                <c:pt idx="166">
                  <c:v>4.2325809999999998E-2</c:v>
                </c:pt>
                <c:pt idx="167">
                  <c:v>4.1760739999999998E-2</c:v>
                </c:pt>
                <c:pt idx="168">
                  <c:v>4.1775329999999999E-2</c:v>
                </c:pt>
                <c:pt idx="169">
                  <c:v>4.1808129999999992E-2</c:v>
                </c:pt>
                <c:pt idx="170">
                  <c:v>4.2216449999999996E-2</c:v>
                </c:pt>
                <c:pt idx="171">
                  <c:v>4.1953959999999998E-2</c:v>
                </c:pt>
                <c:pt idx="172">
                  <c:v>4.1155569999999995E-2</c:v>
                </c:pt>
                <c:pt idx="173">
                  <c:v>4.1053489999999991E-2</c:v>
                </c:pt>
                <c:pt idx="174">
                  <c:v>4.0907659999999992E-2</c:v>
                </c:pt>
                <c:pt idx="175">
                  <c:v>4.0404559999999992E-2</c:v>
                </c:pt>
                <c:pt idx="176">
                  <c:v>3.9952509999999997E-2</c:v>
                </c:pt>
                <c:pt idx="177">
                  <c:v>3.9471279999999997E-2</c:v>
                </c:pt>
                <c:pt idx="178">
                  <c:v>3.7181829999999992E-2</c:v>
                </c:pt>
                <c:pt idx="179">
                  <c:v>3.3410779999999994E-2</c:v>
                </c:pt>
                <c:pt idx="180">
                  <c:v>3.4816539999999993E-2</c:v>
                </c:pt>
                <c:pt idx="181">
                  <c:v>3.9493159999999999E-2</c:v>
                </c:pt>
                <c:pt idx="182">
                  <c:v>3.958794999999999E-2</c:v>
                </c:pt>
                <c:pt idx="183">
                  <c:v>3.6875589999999993E-2</c:v>
                </c:pt>
                <c:pt idx="184">
                  <c:v>3.8231769999999998E-2</c:v>
                </c:pt>
                <c:pt idx="185">
                  <c:v>4.0991510000000002E-2</c:v>
                </c:pt>
                <c:pt idx="186">
                  <c:v>4.0499349999999996E-2</c:v>
                </c:pt>
                <c:pt idx="187">
                  <c:v>3.940566999999999E-2</c:v>
                </c:pt>
                <c:pt idx="188">
                  <c:v>3.9154119999999987E-2</c:v>
                </c:pt>
                <c:pt idx="189">
                  <c:v>3.967909E-2</c:v>
                </c:pt>
                <c:pt idx="190">
                  <c:v>4.1133689999999994E-2</c:v>
                </c:pt>
                <c:pt idx="191">
                  <c:v>4.2114369999999998E-2</c:v>
                </c:pt>
                <c:pt idx="192">
                  <c:v>4.206697999999999E-2</c:v>
                </c:pt>
                <c:pt idx="193">
                  <c:v>4.2289359999999991E-2</c:v>
                </c:pt>
                <c:pt idx="194">
                  <c:v>4.2012289999999994E-2</c:v>
                </c:pt>
                <c:pt idx="195">
                  <c:v>4.1778969999999985E-2</c:v>
                </c:pt>
                <c:pt idx="196">
                  <c:v>4.2741409999999994E-2</c:v>
                </c:pt>
                <c:pt idx="197">
                  <c:v>4.3113269999999995E-2</c:v>
                </c:pt>
                <c:pt idx="198">
                  <c:v>4.3412219999999994E-2</c:v>
                </c:pt>
                <c:pt idx="199">
                  <c:v>4.4429349999999992E-2</c:v>
                </c:pt>
                <c:pt idx="200">
                  <c:v>4.4772030000000004E-2</c:v>
                </c:pt>
                <c:pt idx="201">
                  <c:v>4.3197119999999992E-2</c:v>
                </c:pt>
                <c:pt idx="202">
                  <c:v>4.1895630000000003E-2</c:v>
                </c:pt>
                <c:pt idx="203">
                  <c:v>4.2249259999999997E-2</c:v>
                </c:pt>
                <c:pt idx="204">
                  <c:v>4.2763289999999995E-2</c:v>
                </c:pt>
                <c:pt idx="205">
                  <c:v>4.3762189999999992E-2</c:v>
                </c:pt>
                <c:pt idx="206">
                  <c:v>4.4126759999999994E-2</c:v>
                </c:pt>
                <c:pt idx="207">
                  <c:v>4.3299199999999989E-2</c:v>
                </c:pt>
                <c:pt idx="208">
                  <c:v>4.3084109999999995E-2</c:v>
                </c:pt>
                <c:pt idx="209">
                  <c:v>4.3404919999999993E-2</c:v>
                </c:pt>
                <c:pt idx="210">
                  <c:v>4.3773129999999993E-2</c:v>
                </c:pt>
                <c:pt idx="211">
                  <c:v>4.3918959999999993E-2</c:v>
                </c:pt>
                <c:pt idx="212">
                  <c:v>4.3948129999999988E-2</c:v>
                </c:pt>
                <c:pt idx="213">
                  <c:v>4.3561679999999998E-2</c:v>
                </c:pt>
                <c:pt idx="214">
                  <c:v>4.3324719999999997E-2</c:v>
                </c:pt>
                <c:pt idx="215">
                  <c:v>4.315336999999999E-2</c:v>
                </c:pt>
                <c:pt idx="216">
                  <c:v>4.2642989999999999E-2</c:v>
                </c:pt>
                <c:pt idx="217">
                  <c:v>4.2996619999999999E-2</c:v>
                </c:pt>
                <c:pt idx="218">
                  <c:v>4.315336999999999E-2</c:v>
                </c:pt>
                <c:pt idx="219">
                  <c:v>4.2606529999999997E-2</c:v>
                </c:pt>
                <c:pt idx="220">
                  <c:v>4.2792449999999996E-2</c:v>
                </c:pt>
                <c:pt idx="221">
                  <c:v>4.3685639999999991E-2</c:v>
                </c:pt>
                <c:pt idx="222">
                  <c:v>4.3835099999999995E-2</c:v>
                </c:pt>
                <c:pt idx="223">
                  <c:v>4.3703859999999997E-2</c:v>
                </c:pt>
                <c:pt idx="224">
                  <c:v>4.3645539999999997E-2</c:v>
                </c:pt>
                <c:pt idx="225">
                  <c:v>4.3539809999999998E-2</c:v>
                </c:pt>
                <c:pt idx="226">
                  <c:v>4.3747609999999999E-2</c:v>
                </c:pt>
                <c:pt idx="227">
                  <c:v>4.3962709999999988E-2</c:v>
                </c:pt>
                <c:pt idx="228">
                  <c:v>4.4039269999999998E-2</c:v>
                </c:pt>
                <c:pt idx="229">
                  <c:v>4.4137689999999993E-2</c:v>
                </c:pt>
                <c:pt idx="230">
                  <c:v>4.4535069999999996E-2</c:v>
                </c:pt>
                <c:pt idx="231">
                  <c:v>4.472828999999999E-2</c:v>
                </c:pt>
                <c:pt idx="232">
                  <c:v>4.4411119999999998E-2</c:v>
                </c:pt>
                <c:pt idx="233">
                  <c:v>4.4181449999999997E-2</c:v>
                </c:pt>
                <c:pt idx="234">
                  <c:v>4.1345139999999996E-2</c:v>
                </c:pt>
                <c:pt idx="235">
                  <c:v>3.7488059999999997E-2</c:v>
                </c:pt>
                <c:pt idx="236">
                  <c:v>3.8198959999999997E-2</c:v>
                </c:pt>
                <c:pt idx="237">
                  <c:v>4.0353529999999999E-2</c:v>
                </c:pt>
                <c:pt idx="238">
                  <c:v>4.1053489999999991E-2</c:v>
                </c:pt>
                <c:pt idx="239">
                  <c:v>4.1680539999999995E-2</c:v>
                </c:pt>
                <c:pt idx="240">
                  <c:v>4.1192019999999996E-2</c:v>
                </c:pt>
                <c:pt idx="241">
                  <c:v>4.0393629999999993E-2</c:v>
                </c:pt>
                <c:pt idx="242">
                  <c:v>4.0739959999999999E-2</c:v>
                </c:pt>
                <c:pt idx="243">
                  <c:v>4.136336999999999E-2</c:v>
                </c:pt>
                <c:pt idx="244">
                  <c:v>4.1418049999999998E-2</c:v>
                </c:pt>
                <c:pt idx="245">
                  <c:v>4.1126399999999994E-2</c:v>
                </c:pt>
                <c:pt idx="246">
                  <c:v>4.0772779999999995E-2</c:v>
                </c:pt>
                <c:pt idx="247">
                  <c:v>4.049570999999999E-2</c:v>
                </c:pt>
                <c:pt idx="248">
                  <c:v>4.034622999999999E-2</c:v>
                </c:pt>
                <c:pt idx="249">
                  <c:v>4.0233219999999993E-2</c:v>
                </c:pt>
                <c:pt idx="250">
                  <c:v>3.9613459999999996E-2</c:v>
                </c:pt>
                <c:pt idx="251">
                  <c:v>3.9890529999999993E-2</c:v>
                </c:pt>
                <c:pt idx="252">
                  <c:v>4.0331650000000004E-2</c:v>
                </c:pt>
                <c:pt idx="253">
                  <c:v>4.0021769999999998E-2</c:v>
                </c:pt>
                <c:pt idx="254">
                  <c:v>3.9908759999999995E-2</c:v>
                </c:pt>
                <c:pt idx="255">
                  <c:v>3.9518679999999987E-2</c:v>
                </c:pt>
                <c:pt idx="256">
                  <c:v>3.8621849999999992E-2</c:v>
                </c:pt>
                <c:pt idx="257">
                  <c:v>3.8691119999999996E-2</c:v>
                </c:pt>
                <c:pt idx="258">
                  <c:v>3.940566999999999E-2</c:v>
                </c:pt>
                <c:pt idx="259">
                  <c:v>3.8760389999999999E-2</c:v>
                </c:pt>
                <c:pt idx="260">
                  <c:v>3.8432279999999992E-2</c:v>
                </c:pt>
                <c:pt idx="261">
                  <c:v>3.8330199999999995E-2</c:v>
                </c:pt>
                <c:pt idx="262">
                  <c:v>3.7597429999999994E-2</c:v>
                </c:pt>
                <c:pt idx="263">
                  <c:v>3.7251089999999994E-2</c:v>
                </c:pt>
                <c:pt idx="264">
                  <c:v>3.7619299999999994E-2</c:v>
                </c:pt>
                <c:pt idx="265">
                  <c:v>3.6758929999999995E-2</c:v>
                </c:pt>
                <c:pt idx="266">
                  <c:v>3.5019599999999998E-2</c:v>
                </c:pt>
                <c:pt idx="267">
                  <c:v>3.5313069999999995E-2</c:v>
                </c:pt>
                <c:pt idx="268">
                  <c:v>3.6474569999999998E-2</c:v>
                </c:pt>
                <c:pt idx="269">
                  <c:v>3.7163599999999998E-2</c:v>
                </c:pt>
                <c:pt idx="270">
                  <c:v>3.7684919999999997E-2</c:v>
                </c:pt>
                <c:pt idx="271">
                  <c:v>3.7608369999999995E-2</c:v>
                </c:pt>
                <c:pt idx="272">
                  <c:v>3.7232870000000001E-2</c:v>
                </c:pt>
                <c:pt idx="273">
                  <c:v>3.7710439999999991E-2</c:v>
                </c:pt>
                <c:pt idx="274">
                  <c:v>3.7921889999999993E-2</c:v>
                </c:pt>
                <c:pt idx="275">
                  <c:v>3.6718829999999994E-2</c:v>
                </c:pt>
                <c:pt idx="276">
                  <c:v>3.6077929999999994E-2</c:v>
                </c:pt>
                <c:pt idx="277">
                  <c:v>3.7076100000000001E-2</c:v>
                </c:pt>
                <c:pt idx="278">
                  <c:v>3.8173439999999996E-2</c:v>
                </c:pt>
                <c:pt idx="279">
                  <c:v>3.8242709999999992E-2</c:v>
                </c:pt>
                <c:pt idx="280">
                  <c:v>3.7943759999999993E-2</c:v>
                </c:pt>
                <c:pt idx="281">
                  <c:v>3.7371399999999999E-2</c:v>
                </c:pt>
                <c:pt idx="282">
                  <c:v>3.6857359999999999E-2</c:v>
                </c:pt>
                <c:pt idx="283">
                  <c:v>3.7210989999999999E-2</c:v>
                </c:pt>
                <c:pt idx="284">
                  <c:v>3.7721379999999992E-2</c:v>
                </c:pt>
                <c:pt idx="285">
                  <c:v>3.7619299999999994E-2</c:v>
                </c:pt>
                <c:pt idx="286">
                  <c:v>3.7302129999999996E-2</c:v>
                </c:pt>
                <c:pt idx="287">
                  <c:v>3.7407849999999999E-2</c:v>
                </c:pt>
                <c:pt idx="288">
                  <c:v>3.7455250000000002E-2</c:v>
                </c:pt>
                <c:pt idx="289">
                  <c:v>3.7035999999999993E-2</c:v>
                </c:pt>
                <c:pt idx="290">
                  <c:v>3.6726120000000001E-2</c:v>
                </c:pt>
                <c:pt idx="291">
                  <c:v>3.7221929999999993E-2</c:v>
                </c:pt>
                <c:pt idx="292">
                  <c:v>3.7765129999999994E-2</c:v>
                </c:pt>
                <c:pt idx="293">
                  <c:v>3.8002089999999995E-2</c:v>
                </c:pt>
                <c:pt idx="294">
                  <c:v>3.7972929999999995E-2</c:v>
                </c:pt>
                <c:pt idx="295">
                  <c:v>3.7870849999999998E-2</c:v>
                </c:pt>
                <c:pt idx="296">
                  <c:v>3.7622949999999995E-2</c:v>
                </c:pt>
                <c:pt idx="297">
                  <c:v>3.7302129999999996E-2</c:v>
                </c:pt>
                <c:pt idx="298">
                  <c:v>3.7385979999999992E-2</c:v>
                </c:pt>
                <c:pt idx="299">
                  <c:v>3.7283899999999988E-2</c:v>
                </c:pt>
                <c:pt idx="300">
                  <c:v>3.7185469999999998E-2</c:v>
                </c:pt>
                <c:pt idx="301">
                  <c:v>3.7305779999999997E-2</c:v>
                </c:pt>
                <c:pt idx="302">
                  <c:v>3.7134429999999996E-2</c:v>
                </c:pt>
                <c:pt idx="303">
                  <c:v>3.7003189999999998E-2</c:v>
                </c:pt>
                <c:pt idx="304">
                  <c:v>3.7116209999999997E-2</c:v>
                </c:pt>
                <c:pt idx="305">
                  <c:v>3.7017769999999992E-2</c:v>
                </c:pt>
                <c:pt idx="306">
                  <c:v>3.6744349999999995E-2</c:v>
                </c:pt>
                <c:pt idx="307">
                  <c:v>3.6576649999999995E-2</c:v>
                </c:pt>
                <c:pt idx="308">
                  <c:v>3.6446499999999986E-2</c:v>
                </c:pt>
                <c:pt idx="309">
                  <c:v>3.6492799999999992E-2</c:v>
                </c:pt>
                <c:pt idx="310">
                  <c:v>3.6886529999999994E-2</c:v>
                </c:pt>
                <c:pt idx="311">
                  <c:v>3.5953609999999997E-2</c:v>
                </c:pt>
                <c:pt idx="312">
                  <c:v>3.6766219999999995E-2</c:v>
                </c:pt>
                <c:pt idx="313">
                  <c:v>3.5556969999999993E-2</c:v>
                </c:pt>
                <c:pt idx="314">
                  <c:v>3.6747999999999996E-2</c:v>
                </c:pt>
                <c:pt idx="315">
                  <c:v>3.4894549999999996E-2</c:v>
                </c:pt>
                <c:pt idx="316">
                  <c:v>3.6386349999999991E-2</c:v>
                </c:pt>
                <c:pt idx="317">
                  <c:v>3.5023239999999997E-2</c:v>
                </c:pt>
                <c:pt idx="318">
                  <c:v>3.6507379999999992E-2</c:v>
                </c:pt>
                <c:pt idx="319">
                  <c:v>3.4915699999999994E-2</c:v>
                </c:pt>
                <c:pt idx="320">
                  <c:v>3.5877419999999993E-2</c:v>
                </c:pt>
                <c:pt idx="321">
                  <c:v>3.5446499999999999E-2</c:v>
                </c:pt>
                <c:pt idx="322">
                  <c:v>3.6634979999999998E-2</c:v>
                </c:pt>
                <c:pt idx="323">
                  <c:v>3.5132979999999994E-2</c:v>
                </c:pt>
                <c:pt idx="324">
                  <c:v>3.5043659999999997E-2</c:v>
                </c:pt>
                <c:pt idx="325">
                  <c:v>3.5072279999999997E-2</c:v>
                </c:pt>
                <c:pt idx="326">
                  <c:v>3.510089999999999E-2</c:v>
                </c:pt>
                <c:pt idx="327">
                  <c:v>3.5128604999999993E-2</c:v>
                </c:pt>
                <c:pt idx="328">
                  <c:v>3.5156309999999996E-2</c:v>
                </c:pt>
                <c:pt idx="329">
                  <c:v>3.5067724999999994E-2</c:v>
                </c:pt>
                <c:pt idx="330">
                  <c:v>3.4979139999999999E-2</c:v>
                </c:pt>
                <c:pt idx="331">
                  <c:v>3.4972209999999997E-2</c:v>
                </c:pt>
                <c:pt idx="332">
                  <c:v>3.4965279999999994E-2</c:v>
                </c:pt>
                <c:pt idx="333">
                  <c:v>3.4829659999999998E-2</c:v>
                </c:pt>
                <c:pt idx="334">
                  <c:v>3.4694040000000002E-2</c:v>
                </c:pt>
                <c:pt idx="335">
                  <c:v>3.4239795000000003E-2</c:v>
                </c:pt>
                <c:pt idx="336">
                  <c:v>3.3785549999999998E-2</c:v>
                </c:pt>
                <c:pt idx="337">
                  <c:v>3.3542749999999996E-2</c:v>
                </c:pt>
                <c:pt idx="338">
                  <c:v>3.3299949999999995E-2</c:v>
                </c:pt>
                <c:pt idx="339">
                  <c:v>3.3504654999999994E-2</c:v>
                </c:pt>
                <c:pt idx="340">
                  <c:v>3.3709359999999994E-2</c:v>
                </c:pt>
                <c:pt idx="341">
                  <c:v>3.3815629999999999E-2</c:v>
                </c:pt>
                <c:pt idx="342">
                  <c:v>3.3921899999999998E-2</c:v>
                </c:pt>
                <c:pt idx="343">
                  <c:v>3.3792295E-2</c:v>
                </c:pt>
                <c:pt idx="344">
                  <c:v>3.3662689999999995E-2</c:v>
                </c:pt>
                <c:pt idx="345">
                  <c:v>3.361165499999999E-2</c:v>
                </c:pt>
                <c:pt idx="346">
                  <c:v>3.3560619999999992E-2</c:v>
                </c:pt>
                <c:pt idx="347">
                  <c:v>3.3494449999999995E-2</c:v>
                </c:pt>
                <c:pt idx="348">
                  <c:v>3.3428279999999991E-2</c:v>
                </c:pt>
                <c:pt idx="349">
                  <c:v>3.3332219999999996E-2</c:v>
                </c:pt>
                <c:pt idx="350">
                  <c:v>3.3236159999999994E-2</c:v>
                </c:pt>
                <c:pt idx="351">
                  <c:v>3.3263134999999999E-2</c:v>
                </c:pt>
                <c:pt idx="352">
                  <c:v>3.3290109999999998E-2</c:v>
                </c:pt>
                <c:pt idx="353">
                  <c:v>3.3315084999999994E-2</c:v>
                </c:pt>
                <c:pt idx="354">
                  <c:v>3.3340059999999998E-2</c:v>
                </c:pt>
                <c:pt idx="355">
                  <c:v>3.3365574999999995E-2</c:v>
                </c:pt>
                <c:pt idx="356">
                  <c:v>3.3391089999999998E-2</c:v>
                </c:pt>
                <c:pt idx="357">
                  <c:v>3.3519599999999997E-2</c:v>
                </c:pt>
                <c:pt idx="358">
                  <c:v>3.3648109999999995E-2</c:v>
                </c:pt>
                <c:pt idx="359">
                  <c:v>3.3552779999999997E-2</c:v>
                </c:pt>
                <c:pt idx="360">
                  <c:v>3.345745E-2</c:v>
                </c:pt>
                <c:pt idx="361">
                  <c:v>3.3025619999999999E-2</c:v>
                </c:pt>
                <c:pt idx="362">
                  <c:v>3.2593789999999997E-2</c:v>
                </c:pt>
                <c:pt idx="363">
                  <c:v>3.2312164999999997E-2</c:v>
                </c:pt>
                <c:pt idx="364">
                  <c:v>3.2030539999999996E-2</c:v>
                </c:pt>
                <c:pt idx="365">
                  <c:v>3.1970024999999999E-2</c:v>
                </c:pt>
                <c:pt idx="366">
                  <c:v>3.1909509999999995E-2</c:v>
                </c:pt>
                <c:pt idx="367">
                  <c:v>3.1965289999999993E-2</c:v>
                </c:pt>
                <c:pt idx="368">
                  <c:v>3.2021069999999999E-2</c:v>
                </c:pt>
                <c:pt idx="369">
                  <c:v>3.2104369999999993E-2</c:v>
                </c:pt>
                <c:pt idx="370">
                  <c:v>3.2187669999999995E-2</c:v>
                </c:pt>
                <c:pt idx="371">
                  <c:v>3.2041844999999999E-2</c:v>
                </c:pt>
                <c:pt idx="372">
                  <c:v>3.1896019999999997E-2</c:v>
                </c:pt>
                <c:pt idx="373">
                  <c:v>3.1694235000000001E-2</c:v>
                </c:pt>
                <c:pt idx="374">
                  <c:v>3.1492449999999998E-2</c:v>
                </c:pt>
                <c:pt idx="375">
                  <c:v>3.1461824999999999E-2</c:v>
                </c:pt>
                <c:pt idx="376">
                  <c:v>3.1431199999999999E-2</c:v>
                </c:pt>
                <c:pt idx="377">
                  <c:v>3.1499009999999994E-2</c:v>
                </c:pt>
                <c:pt idx="378">
                  <c:v>3.1566819999999995E-2</c:v>
                </c:pt>
                <c:pt idx="379">
                  <c:v>3.1537104999999996E-2</c:v>
                </c:pt>
                <c:pt idx="380">
                  <c:v>3.1507389999999996E-2</c:v>
                </c:pt>
                <c:pt idx="381">
                  <c:v>3.1531089999999998E-2</c:v>
                </c:pt>
                <c:pt idx="382">
                  <c:v>3.1554789999999999E-2</c:v>
                </c:pt>
                <c:pt idx="383">
                  <c:v>3.1675639999999998E-2</c:v>
                </c:pt>
                <c:pt idx="384">
                  <c:v>3.1796489999999997E-2</c:v>
                </c:pt>
                <c:pt idx="385">
                  <c:v>3.1723765000000001E-2</c:v>
                </c:pt>
                <c:pt idx="386">
                  <c:v>3.1651039999999998E-2</c:v>
                </c:pt>
                <c:pt idx="387">
                  <c:v>3.1578855000000003E-2</c:v>
                </c:pt>
                <c:pt idx="388">
                  <c:v>3.1506670000000001E-2</c:v>
                </c:pt>
                <c:pt idx="389">
                  <c:v>3.1448519999999994E-2</c:v>
                </c:pt>
                <c:pt idx="390">
                  <c:v>3.1390369999999994E-2</c:v>
                </c:pt>
                <c:pt idx="391">
                  <c:v>3.1332404999999994E-2</c:v>
                </c:pt>
                <c:pt idx="392">
                  <c:v>3.1274439999999994E-2</c:v>
                </c:pt>
                <c:pt idx="393">
                  <c:v>3.1177464999999994E-2</c:v>
                </c:pt>
                <c:pt idx="394">
                  <c:v>3.1080489999999995E-2</c:v>
                </c:pt>
                <c:pt idx="395">
                  <c:v>3.0918989999999997E-2</c:v>
                </c:pt>
                <c:pt idx="396">
                  <c:v>3.0757489999999998E-2</c:v>
                </c:pt>
                <c:pt idx="397">
                  <c:v>3.0714834999999996E-2</c:v>
                </c:pt>
                <c:pt idx="398">
                  <c:v>3.0672179999999993E-2</c:v>
                </c:pt>
                <c:pt idx="399">
                  <c:v>3.0682749999999995E-2</c:v>
                </c:pt>
                <c:pt idx="400">
                  <c:v>3.0693319999999996E-2</c:v>
                </c:pt>
                <c:pt idx="401">
                  <c:v>3.0093799999999997E-2</c:v>
                </c:pt>
                <c:pt idx="402">
                  <c:v>2.9494279999999998E-2</c:v>
                </c:pt>
                <c:pt idx="403">
                  <c:v>2.8631904999999999E-2</c:v>
                </c:pt>
                <c:pt idx="404">
                  <c:v>2.7769529999999997E-2</c:v>
                </c:pt>
                <c:pt idx="405">
                  <c:v>2.7811999999999996E-2</c:v>
                </c:pt>
                <c:pt idx="406">
                  <c:v>2.7854469999999992E-2</c:v>
                </c:pt>
                <c:pt idx="407">
                  <c:v>2.830433999999999E-2</c:v>
                </c:pt>
                <c:pt idx="408">
                  <c:v>2.8754209999999992E-2</c:v>
                </c:pt>
                <c:pt idx="409">
                  <c:v>2.8996099999999993E-2</c:v>
                </c:pt>
                <c:pt idx="410">
                  <c:v>2.9237989999999995E-2</c:v>
                </c:pt>
                <c:pt idx="411">
                  <c:v>2.9325664999999994E-2</c:v>
                </c:pt>
                <c:pt idx="412">
                  <c:v>2.9413339999999996E-2</c:v>
                </c:pt>
                <c:pt idx="413">
                  <c:v>2.9412974999999997E-2</c:v>
                </c:pt>
                <c:pt idx="414">
                  <c:v>2.9412609999999999E-2</c:v>
                </c:pt>
                <c:pt idx="415">
                  <c:v>2.9361389999999998E-2</c:v>
                </c:pt>
                <c:pt idx="416">
                  <c:v>2.9310169999999997E-2</c:v>
                </c:pt>
                <c:pt idx="417">
                  <c:v>2.9346264999999996E-2</c:v>
                </c:pt>
                <c:pt idx="418">
                  <c:v>2.938236E-2</c:v>
                </c:pt>
                <c:pt idx="419">
                  <c:v>2.9404414999999996E-2</c:v>
                </c:pt>
                <c:pt idx="420">
                  <c:v>2.9426469999999996E-2</c:v>
                </c:pt>
                <c:pt idx="421">
                  <c:v>2.9364494999999997E-2</c:v>
                </c:pt>
                <c:pt idx="422">
                  <c:v>2.9302519999999995E-2</c:v>
                </c:pt>
                <c:pt idx="423">
                  <c:v>2.9251844999999995E-2</c:v>
                </c:pt>
                <c:pt idx="424">
                  <c:v>2.9201169999999995E-2</c:v>
                </c:pt>
                <c:pt idx="425">
                  <c:v>2.9150859999999994E-2</c:v>
                </c:pt>
                <c:pt idx="426">
                  <c:v>2.9100549999999996E-2</c:v>
                </c:pt>
                <c:pt idx="427">
                  <c:v>2.9218119999999993E-2</c:v>
                </c:pt>
                <c:pt idx="428">
                  <c:v>2.9335689999999994E-2</c:v>
                </c:pt>
                <c:pt idx="429">
                  <c:v>2.9428104999999996E-2</c:v>
                </c:pt>
                <c:pt idx="430">
                  <c:v>2.9520519999999995E-2</c:v>
                </c:pt>
                <c:pt idx="431">
                  <c:v>2.9648119999999993E-2</c:v>
                </c:pt>
                <c:pt idx="432">
                  <c:v>2.9775719999999995E-2</c:v>
                </c:pt>
                <c:pt idx="433">
                  <c:v>2.9688769999999996E-2</c:v>
                </c:pt>
                <c:pt idx="434">
                  <c:v>2.9601819999999994E-2</c:v>
                </c:pt>
                <c:pt idx="435">
                  <c:v>2.9117134999999995E-2</c:v>
                </c:pt>
                <c:pt idx="436">
                  <c:v>2.8632449999999997E-2</c:v>
                </c:pt>
                <c:pt idx="437">
                  <c:v>2.8689139999999995E-2</c:v>
                </c:pt>
                <c:pt idx="438">
                  <c:v>2.8745829999999997E-2</c:v>
                </c:pt>
                <c:pt idx="439">
                  <c:v>2.8963474999999995E-2</c:v>
                </c:pt>
                <c:pt idx="440">
                  <c:v>2.9181119999999994E-2</c:v>
                </c:pt>
                <c:pt idx="441">
                  <c:v>2.8820564999999992E-2</c:v>
                </c:pt>
                <c:pt idx="442">
                  <c:v>2.8460009999999994E-2</c:v>
                </c:pt>
                <c:pt idx="443">
                  <c:v>2.8287204999999996E-2</c:v>
                </c:pt>
                <c:pt idx="444">
                  <c:v>2.8114399999999994E-2</c:v>
                </c:pt>
                <c:pt idx="445">
                  <c:v>2.807904E-2</c:v>
                </c:pt>
                <c:pt idx="446">
                  <c:v>2.8043680000000001E-2</c:v>
                </c:pt>
                <c:pt idx="447">
                  <c:v>2.7827495000000001E-2</c:v>
                </c:pt>
                <c:pt idx="448">
                  <c:v>2.7611309999999997E-2</c:v>
                </c:pt>
                <c:pt idx="449">
                  <c:v>2.7510324999999995E-2</c:v>
                </c:pt>
                <c:pt idx="450">
                  <c:v>2.7409339999999997E-2</c:v>
                </c:pt>
                <c:pt idx="451">
                  <c:v>2.7397854999999992E-2</c:v>
                </c:pt>
                <c:pt idx="452">
                  <c:v>2.738636999999999E-2</c:v>
                </c:pt>
                <c:pt idx="453">
                  <c:v>2.733186499999999E-2</c:v>
                </c:pt>
                <c:pt idx="454">
                  <c:v>2.7277359999999994E-2</c:v>
                </c:pt>
                <c:pt idx="455">
                  <c:v>2.7233069999999991E-2</c:v>
                </c:pt>
                <c:pt idx="456">
                  <c:v>2.7188779999999992E-2</c:v>
                </c:pt>
                <c:pt idx="457">
                  <c:v>2.7056444999999995E-2</c:v>
                </c:pt>
                <c:pt idx="458">
                  <c:v>2.6924109999999998E-2</c:v>
                </c:pt>
                <c:pt idx="459">
                  <c:v>2.6837519999999997E-2</c:v>
                </c:pt>
                <c:pt idx="460">
                  <c:v>2.6750929999999992E-2</c:v>
                </c:pt>
                <c:pt idx="461">
                  <c:v>2.6643569999999995E-2</c:v>
                </c:pt>
                <c:pt idx="462">
                  <c:v>2.6536209999999998E-2</c:v>
                </c:pt>
                <c:pt idx="463">
                  <c:v>2.595455E-2</c:v>
                </c:pt>
                <c:pt idx="464">
                  <c:v>2.5372889999999999E-2</c:v>
                </c:pt>
                <c:pt idx="465">
                  <c:v>2.4614230000000001E-2</c:v>
                </c:pt>
                <c:pt idx="466">
                  <c:v>2.385557E-2</c:v>
                </c:pt>
                <c:pt idx="467">
                  <c:v>2.4056444999999996E-2</c:v>
                </c:pt>
                <c:pt idx="468">
                  <c:v>2.4257319999999995E-2</c:v>
                </c:pt>
                <c:pt idx="469">
                  <c:v>2.4902049999999995E-2</c:v>
                </c:pt>
                <c:pt idx="470">
                  <c:v>2.5546779999999998E-2</c:v>
                </c:pt>
                <c:pt idx="471">
                  <c:v>2.5380724999999996E-2</c:v>
                </c:pt>
                <c:pt idx="472">
                  <c:v>2.5214669999999995E-2</c:v>
                </c:pt>
                <c:pt idx="473">
                  <c:v>2.4882184999999998E-2</c:v>
                </c:pt>
                <c:pt idx="474">
                  <c:v>2.4549700000000001E-2</c:v>
                </c:pt>
                <c:pt idx="475">
                  <c:v>2.4681309999999998E-2</c:v>
                </c:pt>
                <c:pt idx="476">
                  <c:v>2.4812919999999995E-2</c:v>
                </c:pt>
                <c:pt idx="477">
                  <c:v>2.4931584999999992E-2</c:v>
                </c:pt>
                <c:pt idx="478">
                  <c:v>2.5050249999999993E-2</c:v>
                </c:pt>
                <c:pt idx="479">
                  <c:v>2.5260964999999996E-2</c:v>
                </c:pt>
                <c:pt idx="480">
                  <c:v>2.547168E-2</c:v>
                </c:pt>
                <c:pt idx="481">
                  <c:v>2.5597089999999999E-2</c:v>
                </c:pt>
                <c:pt idx="482">
                  <c:v>2.5722499999999999E-2</c:v>
                </c:pt>
                <c:pt idx="483">
                  <c:v>2.5539854999999997E-2</c:v>
                </c:pt>
                <c:pt idx="484">
                  <c:v>2.5357209999999995E-2</c:v>
                </c:pt>
                <c:pt idx="485">
                  <c:v>2.5125714999999996E-2</c:v>
                </c:pt>
                <c:pt idx="486">
                  <c:v>2.4894219999999998E-2</c:v>
                </c:pt>
                <c:pt idx="487">
                  <c:v>2.4746569999999996E-2</c:v>
                </c:pt>
                <c:pt idx="488">
                  <c:v>2.4598919999999993E-2</c:v>
                </c:pt>
                <c:pt idx="489">
                  <c:v>2.4491554999999995E-2</c:v>
                </c:pt>
                <c:pt idx="490">
                  <c:v>2.4384189999999997E-2</c:v>
                </c:pt>
                <c:pt idx="491">
                  <c:v>2.4419004999999994E-2</c:v>
                </c:pt>
                <c:pt idx="492">
                  <c:v>2.4453819999999994E-2</c:v>
                </c:pt>
                <c:pt idx="493">
                  <c:v>2.4448354999999998E-2</c:v>
                </c:pt>
                <c:pt idx="494">
                  <c:v>2.4442890000000002E-2</c:v>
                </c:pt>
                <c:pt idx="495">
                  <c:v>2.4218314999999997E-2</c:v>
                </c:pt>
                <c:pt idx="496">
                  <c:v>2.3993739999999996E-2</c:v>
                </c:pt>
                <c:pt idx="497">
                  <c:v>2.3831874999999995E-2</c:v>
                </c:pt>
                <c:pt idx="498">
                  <c:v>2.3670009999999998E-2</c:v>
                </c:pt>
                <c:pt idx="499">
                  <c:v>2.3763519999999996E-2</c:v>
                </c:pt>
                <c:pt idx="500">
                  <c:v>2.3857029999999998E-2</c:v>
                </c:pt>
                <c:pt idx="501">
                  <c:v>2.4027644999999997E-2</c:v>
                </c:pt>
                <c:pt idx="502">
                  <c:v>2.4198259999999996E-2</c:v>
                </c:pt>
                <c:pt idx="503">
                  <c:v>2.4230344999999993E-2</c:v>
                </c:pt>
                <c:pt idx="504">
                  <c:v>2.4262429999999991E-2</c:v>
                </c:pt>
                <c:pt idx="505">
                  <c:v>2.2762249999999994E-2</c:v>
                </c:pt>
                <c:pt idx="506">
                  <c:v>2.1262069999999997E-2</c:v>
                </c:pt>
                <c:pt idx="507">
                  <c:v>1.8890949999999997E-2</c:v>
                </c:pt>
                <c:pt idx="508">
                  <c:v>1.6519829999999996E-2</c:v>
                </c:pt>
                <c:pt idx="509">
                  <c:v>1.6711044999999994E-2</c:v>
                </c:pt>
                <c:pt idx="510">
                  <c:v>1.6902259999999995E-2</c:v>
                </c:pt>
                <c:pt idx="511">
                  <c:v>1.9219604999999997E-2</c:v>
                </c:pt>
                <c:pt idx="512">
                  <c:v>2.1536949999999999E-2</c:v>
                </c:pt>
                <c:pt idx="513">
                  <c:v>2.2745294999999999E-2</c:v>
                </c:pt>
                <c:pt idx="514">
                  <c:v>2.3953639999999998E-2</c:v>
                </c:pt>
                <c:pt idx="515">
                  <c:v>2.4022724999999998E-2</c:v>
                </c:pt>
                <c:pt idx="516">
                  <c:v>2.4091809999999998E-2</c:v>
                </c:pt>
                <c:pt idx="517">
                  <c:v>2.3711024999999997E-2</c:v>
                </c:pt>
                <c:pt idx="518">
                  <c:v>2.3330239999999995E-2</c:v>
                </c:pt>
                <c:pt idx="519">
                  <c:v>2.3065929999999998E-2</c:v>
                </c:pt>
                <c:pt idx="520">
                  <c:v>2.2801619999999998E-2</c:v>
                </c:pt>
                <c:pt idx="521">
                  <c:v>2.2779379999999995E-2</c:v>
                </c:pt>
                <c:pt idx="522">
                  <c:v>2.2757139999999995E-2</c:v>
                </c:pt>
                <c:pt idx="523">
                  <c:v>2.2459294999999997E-2</c:v>
                </c:pt>
                <c:pt idx="524">
                  <c:v>2.2161449999999999E-2</c:v>
                </c:pt>
                <c:pt idx="525">
                  <c:v>2.1958204999999998E-2</c:v>
                </c:pt>
                <c:pt idx="526">
                  <c:v>2.1754959999999997E-2</c:v>
                </c:pt>
                <c:pt idx="527">
                  <c:v>2.1789409999999995E-2</c:v>
                </c:pt>
                <c:pt idx="528">
                  <c:v>2.1823859999999997E-2</c:v>
                </c:pt>
                <c:pt idx="529">
                  <c:v>2.1840815E-2</c:v>
                </c:pt>
                <c:pt idx="530">
                  <c:v>2.1857769999999999E-2</c:v>
                </c:pt>
                <c:pt idx="531">
                  <c:v>2.1742930000000001E-2</c:v>
                </c:pt>
                <c:pt idx="532">
                  <c:v>2.1628089999999999E-2</c:v>
                </c:pt>
                <c:pt idx="533">
                  <c:v>2.1618245000000001E-2</c:v>
                </c:pt>
                <c:pt idx="534">
                  <c:v>2.16084E-2</c:v>
                </c:pt>
                <c:pt idx="535">
                  <c:v>2.1625175E-2</c:v>
                </c:pt>
                <c:pt idx="536">
                  <c:v>2.164195E-2</c:v>
                </c:pt>
                <c:pt idx="537">
                  <c:v>2.1480630000000001E-2</c:v>
                </c:pt>
                <c:pt idx="538">
                  <c:v>2.1319309999999998E-2</c:v>
                </c:pt>
                <c:pt idx="539">
                  <c:v>2.1317849999999999E-2</c:v>
                </c:pt>
                <c:pt idx="540">
                  <c:v>2.1316389999999998E-2</c:v>
                </c:pt>
                <c:pt idx="541">
                  <c:v>2.1174575000000001E-2</c:v>
                </c:pt>
                <c:pt idx="542">
                  <c:v>2.1032760000000001E-2</c:v>
                </c:pt>
                <c:pt idx="543">
                  <c:v>2.1067574999999998E-2</c:v>
                </c:pt>
                <c:pt idx="544">
                  <c:v>2.1102389999999999E-2</c:v>
                </c:pt>
                <c:pt idx="545">
                  <c:v>2.1120069999999998E-2</c:v>
                </c:pt>
                <c:pt idx="546">
                  <c:v>2.1137749999999997E-2</c:v>
                </c:pt>
                <c:pt idx="547">
                  <c:v>2.1250584999999995E-2</c:v>
                </c:pt>
                <c:pt idx="548">
                  <c:v>2.1363419999999998E-2</c:v>
                </c:pt>
                <c:pt idx="549">
                  <c:v>2.1258059999999995E-2</c:v>
                </c:pt>
                <c:pt idx="550">
                  <c:v>2.1152699999999997E-2</c:v>
                </c:pt>
                <c:pt idx="551">
                  <c:v>2.1073589999999996E-2</c:v>
                </c:pt>
                <c:pt idx="552">
                  <c:v>2.0994479999999999E-2</c:v>
                </c:pt>
                <c:pt idx="553">
                  <c:v>2.1080334999999999E-2</c:v>
                </c:pt>
                <c:pt idx="554">
                  <c:v>2.1166189999999998E-2</c:v>
                </c:pt>
                <c:pt idx="555">
                  <c:v>2.1147414999999996E-2</c:v>
                </c:pt>
                <c:pt idx="556">
                  <c:v>2.1128639999999997E-2</c:v>
                </c:pt>
                <c:pt idx="557">
                  <c:v>2.1110594999999996E-2</c:v>
                </c:pt>
                <c:pt idx="558">
                  <c:v>2.1092549999999998E-2</c:v>
                </c:pt>
                <c:pt idx="559">
                  <c:v>2.0998124999999999E-2</c:v>
                </c:pt>
                <c:pt idx="560">
                  <c:v>2.0903699999999997E-2</c:v>
                </c:pt>
                <c:pt idx="561">
                  <c:v>2.1046244999999998E-2</c:v>
                </c:pt>
                <c:pt idx="562">
                  <c:v>2.1188790000000002E-2</c:v>
                </c:pt>
                <c:pt idx="563">
                  <c:v>2.1127725E-2</c:v>
                </c:pt>
                <c:pt idx="564">
                  <c:v>2.1066660000000001E-2</c:v>
                </c:pt>
                <c:pt idx="565">
                  <c:v>2.090844E-2</c:v>
                </c:pt>
                <c:pt idx="566">
                  <c:v>2.0750219999999996E-2</c:v>
                </c:pt>
                <c:pt idx="567">
                  <c:v>2.0839174999999998E-2</c:v>
                </c:pt>
                <c:pt idx="568">
                  <c:v>2.092813E-2</c:v>
                </c:pt>
                <c:pt idx="569">
                  <c:v>2.0762619999999996E-2</c:v>
                </c:pt>
                <c:pt idx="570">
                  <c:v>2.0597109999999995E-2</c:v>
                </c:pt>
                <c:pt idx="571">
                  <c:v>2.0669289999999996E-2</c:v>
                </c:pt>
                <c:pt idx="572">
                  <c:v>2.0741469999999998E-2</c:v>
                </c:pt>
                <c:pt idx="573">
                  <c:v>2.090206E-2</c:v>
                </c:pt>
                <c:pt idx="574">
                  <c:v>2.1062649999999999E-2</c:v>
                </c:pt>
                <c:pt idx="575">
                  <c:v>2.0817845000000001E-2</c:v>
                </c:pt>
                <c:pt idx="576">
                  <c:v>2.0573040000000001E-2</c:v>
                </c:pt>
                <c:pt idx="577">
                  <c:v>2.0466769999999999E-2</c:v>
                </c:pt>
                <c:pt idx="578">
                  <c:v>2.0360499999999997E-2</c:v>
                </c:pt>
                <c:pt idx="579">
                  <c:v>2.0295609999999999E-2</c:v>
                </c:pt>
                <c:pt idx="580">
                  <c:v>2.0230719999999997E-2</c:v>
                </c:pt>
                <c:pt idx="581">
                  <c:v>1.9927769999999997E-2</c:v>
                </c:pt>
                <c:pt idx="582">
                  <c:v>1.9624819999999994E-2</c:v>
                </c:pt>
                <c:pt idx="583">
                  <c:v>1.9498314999999995E-2</c:v>
                </c:pt>
                <c:pt idx="584">
                  <c:v>1.9371809999999996E-2</c:v>
                </c:pt>
                <c:pt idx="585">
                  <c:v>1.9396779999999999E-2</c:v>
                </c:pt>
                <c:pt idx="586">
                  <c:v>1.9421750000000002E-2</c:v>
                </c:pt>
                <c:pt idx="587">
                  <c:v>1.9414460000000001E-2</c:v>
                </c:pt>
                <c:pt idx="588">
                  <c:v>1.9407170000000001E-2</c:v>
                </c:pt>
                <c:pt idx="589">
                  <c:v>1.9212855000000001E-2</c:v>
                </c:pt>
                <c:pt idx="590">
                  <c:v>1.9018539999999997E-2</c:v>
                </c:pt>
                <c:pt idx="591">
                  <c:v>1.9011979999999998E-2</c:v>
                </c:pt>
                <c:pt idx="592">
                  <c:v>1.9005419999999999E-2</c:v>
                </c:pt>
                <c:pt idx="593">
                  <c:v>1.9138669999999997E-2</c:v>
                </c:pt>
                <c:pt idx="594">
                  <c:v>1.9271919999999998E-2</c:v>
                </c:pt>
                <c:pt idx="595">
                  <c:v>1.9226344999999999E-2</c:v>
                </c:pt>
                <c:pt idx="596">
                  <c:v>1.9180769999999996E-2</c:v>
                </c:pt>
                <c:pt idx="597">
                  <c:v>1.8981904999999997E-2</c:v>
                </c:pt>
                <c:pt idx="598">
                  <c:v>1.8783039999999997E-2</c:v>
                </c:pt>
                <c:pt idx="599">
                  <c:v>1.8632289999999996E-2</c:v>
                </c:pt>
                <c:pt idx="600">
                  <c:v>1.8481539999999998E-2</c:v>
                </c:pt>
                <c:pt idx="601">
                  <c:v>1.8331889999999997E-2</c:v>
                </c:pt>
                <c:pt idx="602">
                  <c:v>1.8182239999999999E-2</c:v>
                </c:pt>
                <c:pt idx="603">
                  <c:v>1.8155444999999999E-2</c:v>
                </c:pt>
                <c:pt idx="604">
                  <c:v>1.812865E-2</c:v>
                </c:pt>
                <c:pt idx="605">
                  <c:v>1.8176039999999997E-2</c:v>
                </c:pt>
                <c:pt idx="606">
                  <c:v>1.8223429999999999E-2</c:v>
                </c:pt>
                <c:pt idx="607">
                  <c:v>1.8114059999999998E-2</c:v>
                </c:pt>
                <c:pt idx="608">
                  <c:v>1.8004689999999997E-2</c:v>
                </c:pt>
                <c:pt idx="609">
                  <c:v>1.7962949999999998E-2</c:v>
                </c:pt>
                <c:pt idx="610">
                  <c:v>1.7921209999999996E-2</c:v>
                </c:pt>
                <c:pt idx="611">
                  <c:v>1.7872174999999997E-2</c:v>
                </c:pt>
                <c:pt idx="612">
                  <c:v>1.7823139999999998E-2</c:v>
                </c:pt>
                <c:pt idx="613">
                  <c:v>1.7671299999999997E-2</c:v>
                </c:pt>
                <c:pt idx="614">
                  <c:v>1.7519459999999997E-2</c:v>
                </c:pt>
                <c:pt idx="615">
                  <c:v>1.7581984999999998E-2</c:v>
                </c:pt>
                <c:pt idx="616">
                  <c:v>1.7644509999999999E-2</c:v>
                </c:pt>
                <c:pt idx="617">
                  <c:v>1.7771559999999999E-2</c:v>
                </c:pt>
                <c:pt idx="618">
                  <c:v>1.7898609999999999E-2</c:v>
                </c:pt>
                <c:pt idx="619">
                  <c:v>1.7799629999999997E-2</c:v>
                </c:pt>
                <c:pt idx="620">
                  <c:v>1.7700649999999995E-2</c:v>
                </c:pt>
                <c:pt idx="621">
                  <c:v>1.7580344999999997E-2</c:v>
                </c:pt>
                <c:pt idx="622">
                  <c:v>1.746004E-2</c:v>
                </c:pt>
                <c:pt idx="623">
                  <c:v>1.7485194999999999E-2</c:v>
                </c:pt>
                <c:pt idx="624">
                  <c:v>1.7510349999999997E-2</c:v>
                </c:pt>
                <c:pt idx="625">
                  <c:v>1.7455479999999999E-2</c:v>
                </c:pt>
                <c:pt idx="626">
                  <c:v>1.740061E-2</c:v>
                </c:pt>
                <c:pt idx="627">
                  <c:v>1.7368164999999998E-2</c:v>
                </c:pt>
                <c:pt idx="628">
                  <c:v>1.7335719999999999E-2</c:v>
                </c:pt>
                <c:pt idx="629">
                  <c:v>1.7396604999999999E-2</c:v>
                </c:pt>
                <c:pt idx="630">
                  <c:v>1.7457489999999999E-2</c:v>
                </c:pt>
                <c:pt idx="631">
                  <c:v>1.7318225E-2</c:v>
                </c:pt>
                <c:pt idx="632">
                  <c:v>1.7178959999999997E-2</c:v>
                </c:pt>
                <c:pt idx="633">
                  <c:v>1.7056099999999998E-2</c:v>
                </c:pt>
                <c:pt idx="634">
                  <c:v>1.6933239999999999E-2</c:v>
                </c:pt>
                <c:pt idx="635">
                  <c:v>1.7084534999999998E-2</c:v>
                </c:pt>
                <c:pt idx="636">
                  <c:v>1.7235829999999997E-2</c:v>
                </c:pt>
                <c:pt idx="637">
                  <c:v>1.7266454999999997E-2</c:v>
                </c:pt>
                <c:pt idx="638">
                  <c:v>1.7297079999999996E-2</c:v>
                </c:pt>
                <c:pt idx="639">
                  <c:v>1.7279579999999996E-2</c:v>
                </c:pt>
                <c:pt idx="640">
                  <c:v>1.7262079999999999E-2</c:v>
                </c:pt>
                <c:pt idx="641">
                  <c:v>1.7223434999999999E-2</c:v>
                </c:pt>
                <c:pt idx="642">
                  <c:v>1.7184789999999998E-2</c:v>
                </c:pt>
                <c:pt idx="643">
                  <c:v>1.6739295000000001E-2</c:v>
                </c:pt>
                <c:pt idx="644">
                  <c:v>1.6293800000000001E-2</c:v>
                </c:pt>
                <c:pt idx="645">
                  <c:v>1.583919E-2</c:v>
                </c:pt>
                <c:pt idx="646">
                  <c:v>1.5384579999999998E-2</c:v>
                </c:pt>
                <c:pt idx="647">
                  <c:v>1.5220159999999998E-2</c:v>
                </c:pt>
                <c:pt idx="648">
                  <c:v>1.5055739999999998E-2</c:v>
                </c:pt>
                <c:pt idx="649">
                  <c:v>1.5417384999999999E-2</c:v>
                </c:pt>
                <c:pt idx="650">
                  <c:v>1.5779029999999999E-2</c:v>
                </c:pt>
                <c:pt idx="651">
                  <c:v>1.6502144999999999E-2</c:v>
                </c:pt>
                <c:pt idx="652">
                  <c:v>1.7225259999999999E-2</c:v>
                </c:pt>
                <c:pt idx="653">
                  <c:v>1.7126279999999997E-2</c:v>
                </c:pt>
                <c:pt idx="654">
                  <c:v>1.7027299999999995E-2</c:v>
                </c:pt>
                <c:pt idx="655">
                  <c:v>1.6412829999999996E-2</c:v>
                </c:pt>
                <c:pt idx="656">
                  <c:v>1.5798360000000001E-2</c:v>
                </c:pt>
                <c:pt idx="657">
                  <c:v>1.6024205E-2</c:v>
                </c:pt>
                <c:pt idx="658">
                  <c:v>1.6250049999999995E-2</c:v>
                </c:pt>
                <c:pt idx="659">
                  <c:v>1.6526754999999997E-2</c:v>
                </c:pt>
                <c:pt idx="660">
                  <c:v>1.6803459999999999E-2</c:v>
                </c:pt>
                <c:pt idx="661">
                  <c:v>1.6548444999999998E-2</c:v>
                </c:pt>
                <c:pt idx="662">
                  <c:v>1.6293429999999998E-2</c:v>
                </c:pt>
                <c:pt idx="663">
                  <c:v>1.6046439999999995E-2</c:v>
                </c:pt>
                <c:pt idx="664">
                  <c:v>1.5799449999999996E-2</c:v>
                </c:pt>
                <c:pt idx="665">
                  <c:v>1.5975349999999999E-2</c:v>
                </c:pt>
                <c:pt idx="666">
                  <c:v>1.6151249999999999E-2</c:v>
                </c:pt>
                <c:pt idx="667">
                  <c:v>1.6449099999999998E-2</c:v>
                </c:pt>
                <c:pt idx="668">
                  <c:v>1.6746949999999997E-2</c:v>
                </c:pt>
                <c:pt idx="669">
                  <c:v>1.6788689999999995E-2</c:v>
                </c:pt>
                <c:pt idx="670">
                  <c:v>1.6830429999999997E-2</c:v>
                </c:pt>
                <c:pt idx="671">
                  <c:v>1.6995399999999997E-2</c:v>
                </c:pt>
                <c:pt idx="672">
                  <c:v>1.7160369999999998E-2</c:v>
                </c:pt>
                <c:pt idx="673">
                  <c:v>1.7161645E-2</c:v>
                </c:pt>
                <c:pt idx="674">
                  <c:v>1.7162920000000002E-2</c:v>
                </c:pt>
                <c:pt idx="675">
                  <c:v>1.701035E-2</c:v>
                </c:pt>
                <c:pt idx="676">
                  <c:v>1.6857779999999999E-2</c:v>
                </c:pt>
                <c:pt idx="677">
                  <c:v>1.6553004999999999E-2</c:v>
                </c:pt>
                <c:pt idx="678">
                  <c:v>1.6248229999999999E-2</c:v>
                </c:pt>
                <c:pt idx="679">
                  <c:v>1.498356E-2</c:v>
                </c:pt>
                <c:pt idx="680">
                  <c:v>1.3718889999999999E-2</c:v>
                </c:pt>
                <c:pt idx="681">
                  <c:v>1.2772664999999999E-2</c:v>
                </c:pt>
                <c:pt idx="682">
                  <c:v>1.1826439999999999E-2</c:v>
                </c:pt>
                <c:pt idx="683">
                  <c:v>1.2386224999999999E-2</c:v>
                </c:pt>
                <c:pt idx="684">
                  <c:v>1.2946009999999999E-2</c:v>
                </c:pt>
                <c:pt idx="685">
                  <c:v>1.4213599999999998E-2</c:v>
                </c:pt>
                <c:pt idx="686">
                  <c:v>1.5481189999999997E-2</c:v>
                </c:pt>
                <c:pt idx="687">
                  <c:v>1.6211954999999997E-2</c:v>
                </c:pt>
                <c:pt idx="688">
                  <c:v>1.6942719999999998E-2</c:v>
                </c:pt>
                <c:pt idx="689">
                  <c:v>1.6464229999999996E-2</c:v>
                </c:pt>
                <c:pt idx="690">
                  <c:v>1.5985739999999998E-2</c:v>
                </c:pt>
                <c:pt idx="691">
                  <c:v>1.5355229999999997E-2</c:v>
                </c:pt>
                <c:pt idx="692">
                  <c:v>1.4724719999999998E-2</c:v>
                </c:pt>
                <c:pt idx="693">
                  <c:v>1.5009079999999998E-2</c:v>
                </c:pt>
                <c:pt idx="694">
                  <c:v>1.5293439999999998E-2</c:v>
                </c:pt>
                <c:pt idx="695">
                  <c:v>1.5563034999999999E-2</c:v>
                </c:pt>
                <c:pt idx="696">
                  <c:v>1.583263E-2</c:v>
                </c:pt>
                <c:pt idx="697">
                  <c:v>1.5480274999999998E-2</c:v>
                </c:pt>
                <c:pt idx="698">
                  <c:v>1.5127919999999998E-2</c:v>
                </c:pt>
                <c:pt idx="699">
                  <c:v>1.4882389999999997E-2</c:v>
                </c:pt>
                <c:pt idx="700">
                  <c:v>1.4636859999999996E-2</c:v>
                </c:pt>
                <c:pt idx="701">
                  <c:v>1.4569779999999997E-2</c:v>
                </c:pt>
                <c:pt idx="702">
                  <c:v>1.4502699999999999E-2</c:v>
                </c:pt>
                <c:pt idx="703">
                  <c:v>1.4611704999999999E-2</c:v>
                </c:pt>
                <c:pt idx="704">
                  <c:v>1.4720709999999998E-2</c:v>
                </c:pt>
                <c:pt idx="705">
                  <c:v>1.4876739999999999E-2</c:v>
                </c:pt>
                <c:pt idx="706">
                  <c:v>1.5032769999999999E-2</c:v>
                </c:pt>
                <c:pt idx="707">
                  <c:v>1.4917389999999999E-2</c:v>
                </c:pt>
                <c:pt idx="708">
                  <c:v>1.4802009999999997E-2</c:v>
                </c:pt>
                <c:pt idx="709">
                  <c:v>1.4633579999999998E-2</c:v>
                </c:pt>
                <c:pt idx="710">
                  <c:v>1.446515E-2</c:v>
                </c:pt>
                <c:pt idx="711">
                  <c:v>1.4227089999999998E-2</c:v>
                </c:pt>
                <c:pt idx="712">
                  <c:v>1.3989029999999996E-2</c:v>
                </c:pt>
                <c:pt idx="713">
                  <c:v>1.4007074999999997E-2</c:v>
                </c:pt>
                <c:pt idx="714">
                  <c:v>1.4025119999999997E-2</c:v>
                </c:pt>
                <c:pt idx="715">
                  <c:v>1.4633759999999997E-2</c:v>
                </c:pt>
                <c:pt idx="716">
                  <c:v>1.5242399999999998E-2</c:v>
                </c:pt>
                <c:pt idx="717">
                  <c:v>1.5505064999999998E-2</c:v>
                </c:pt>
                <c:pt idx="718">
                  <c:v>1.5767729999999997E-2</c:v>
                </c:pt>
                <c:pt idx="719">
                  <c:v>1.5436524999999998E-2</c:v>
                </c:pt>
                <c:pt idx="720">
                  <c:v>1.5105319999999998E-2</c:v>
                </c:pt>
                <c:pt idx="721">
                  <c:v>1.4800364999999999E-2</c:v>
                </c:pt>
                <c:pt idx="722">
                  <c:v>1.4495409999999999E-2</c:v>
                </c:pt>
                <c:pt idx="723">
                  <c:v>1.4401714999999999E-2</c:v>
                </c:pt>
                <c:pt idx="724">
                  <c:v>1.4308019999999999E-2</c:v>
                </c:pt>
                <c:pt idx="725">
                  <c:v>1.4290339999999999E-2</c:v>
                </c:pt>
                <c:pt idx="726">
                  <c:v>1.4272659999999998E-2</c:v>
                </c:pt>
                <c:pt idx="727">
                  <c:v>1.423201E-2</c:v>
                </c:pt>
                <c:pt idx="728">
                  <c:v>1.419136E-2</c:v>
                </c:pt>
                <c:pt idx="729">
                  <c:v>1.4036054999999999E-2</c:v>
                </c:pt>
                <c:pt idx="730">
                  <c:v>1.3880749999999999E-2</c:v>
                </c:pt>
                <c:pt idx="731">
                  <c:v>1.3829709999999999E-2</c:v>
                </c:pt>
                <c:pt idx="732">
                  <c:v>1.377867E-2</c:v>
                </c:pt>
                <c:pt idx="733">
                  <c:v>1.3756434999999999E-2</c:v>
                </c:pt>
                <c:pt idx="734">
                  <c:v>1.3734199999999998E-2</c:v>
                </c:pt>
                <c:pt idx="735">
                  <c:v>1.3649619999999998E-2</c:v>
                </c:pt>
                <c:pt idx="736">
                  <c:v>1.3565039999999997E-2</c:v>
                </c:pt>
                <c:pt idx="737">
                  <c:v>1.3588554999999999E-2</c:v>
                </c:pt>
                <c:pt idx="738">
                  <c:v>1.3612069999999999E-2</c:v>
                </c:pt>
                <c:pt idx="739">
                  <c:v>1.3595665E-2</c:v>
                </c:pt>
                <c:pt idx="740">
                  <c:v>1.3579259999999999E-2</c:v>
                </c:pt>
                <c:pt idx="741">
                  <c:v>1.3501424999999997E-2</c:v>
                </c:pt>
                <c:pt idx="742">
                  <c:v>1.3423589999999997E-2</c:v>
                </c:pt>
                <c:pt idx="743">
                  <c:v>1.3502884999999999E-2</c:v>
                </c:pt>
                <c:pt idx="744">
                  <c:v>1.3582179999999999E-2</c:v>
                </c:pt>
                <c:pt idx="745">
                  <c:v>1.3676779999999999E-2</c:v>
                </c:pt>
                <c:pt idx="746">
                  <c:v>1.377138E-2</c:v>
                </c:pt>
                <c:pt idx="747">
                  <c:v>1.3721799999999998E-2</c:v>
                </c:pt>
                <c:pt idx="748">
                  <c:v>1.3672219999999995E-2</c:v>
                </c:pt>
                <c:pt idx="749">
                  <c:v>1.3628474999999998E-2</c:v>
                </c:pt>
                <c:pt idx="750">
                  <c:v>1.3584729999999998E-2</c:v>
                </c:pt>
                <c:pt idx="751">
                  <c:v>1.3541344999999998E-2</c:v>
                </c:pt>
                <c:pt idx="752">
                  <c:v>1.3497959999999998E-2</c:v>
                </c:pt>
                <c:pt idx="753">
                  <c:v>1.3410829999999999E-2</c:v>
                </c:pt>
                <c:pt idx="754">
                  <c:v>1.3323699999999999E-2</c:v>
                </c:pt>
                <c:pt idx="755">
                  <c:v>1.3324244999999998E-2</c:v>
                </c:pt>
                <c:pt idx="756">
                  <c:v>1.332479E-2</c:v>
                </c:pt>
                <c:pt idx="757">
                  <c:v>1.3352679999999999E-2</c:v>
                </c:pt>
                <c:pt idx="758">
                  <c:v>1.3380569999999996E-2</c:v>
                </c:pt>
                <c:pt idx="759">
                  <c:v>1.3283959999999997E-2</c:v>
                </c:pt>
                <c:pt idx="760">
                  <c:v>1.3187349999999997E-2</c:v>
                </c:pt>
                <c:pt idx="761">
                  <c:v>1.3042799999999997E-2</c:v>
                </c:pt>
                <c:pt idx="762">
                  <c:v>1.2898249999999998E-2</c:v>
                </c:pt>
                <c:pt idx="763">
                  <c:v>1.2905179999999999E-2</c:v>
                </c:pt>
                <c:pt idx="764">
                  <c:v>1.2912109999999997E-2</c:v>
                </c:pt>
                <c:pt idx="765">
                  <c:v>1.2870914999999997E-2</c:v>
                </c:pt>
                <c:pt idx="766">
                  <c:v>1.2829719999999998E-2</c:v>
                </c:pt>
                <c:pt idx="767">
                  <c:v>1.2713784999999998E-2</c:v>
                </c:pt>
                <c:pt idx="768">
                  <c:v>1.2597849999999997E-2</c:v>
                </c:pt>
                <c:pt idx="769">
                  <c:v>1.2594754999999997E-2</c:v>
                </c:pt>
                <c:pt idx="770">
                  <c:v>1.2591659999999998E-2</c:v>
                </c:pt>
                <c:pt idx="771">
                  <c:v>1.2587829999999998E-2</c:v>
                </c:pt>
                <c:pt idx="772">
                  <c:v>1.2583999999999998E-2</c:v>
                </c:pt>
                <c:pt idx="773">
                  <c:v>1.2522569999999997E-2</c:v>
                </c:pt>
                <c:pt idx="774">
                  <c:v>1.2461139999999997E-2</c:v>
                </c:pt>
                <c:pt idx="775">
                  <c:v>1.2504889999999998E-2</c:v>
                </c:pt>
                <c:pt idx="776">
                  <c:v>1.2548639999999998E-2</c:v>
                </c:pt>
                <c:pt idx="777">
                  <c:v>1.2503614999999999E-2</c:v>
                </c:pt>
                <c:pt idx="778">
                  <c:v>1.2458589999999999E-2</c:v>
                </c:pt>
                <c:pt idx="779">
                  <c:v>1.2325524999999999E-2</c:v>
                </c:pt>
                <c:pt idx="780">
                  <c:v>1.2192459999999999E-2</c:v>
                </c:pt>
                <c:pt idx="781">
                  <c:v>1.2194645E-2</c:v>
                </c:pt>
                <c:pt idx="782">
                  <c:v>1.2196830000000001E-2</c:v>
                </c:pt>
                <c:pt idx="783">
                  <c:v>1.2096029999999999E-2</c:v>
                </c:pt>
                <c:pt idx="784">
                  <c:v>1.1995229999999997E-2</c:v>
                </c:pt>
                <c:pt idx="785">
                  <c:v>1.1853779999999998E-2</c:v>
                </c:pt>
                <c:pt idx="786">
                  <c:v>1.1712329999999996E-2</c:v>
                </c:pt>
                <c:pt idx="787">
                  <c:v>1.1736024999999997E-2</c:v>
                </c:pt>
                <c:pt idx="788">
                  <c:v>1.1759719999999998E-2</c:v>
                </c:pt>
                <c:pt idx="789">
                  <c:v>1.1772479999999998E-2</c:v>
                </c:pt>
                <c:pt idx="790">
                  <c:v>1.1785239999999997E-2</c:v>
                </c:pt>
                <c:pt idx="791">
                  <c:v>1.1762639999999998E-2</c:v>
                </c:pt>
                <c:pt idx="792">
                  <c:v>1.1740039999999998E-2</c:v>
                </c:pt>
                <c:pt idx="793">
                  <c:v>1.1753159999999999E-2</c:v>
                </c:pt>
                <c:pt idx="794">
                  <c:v>1.176628E-2</c:v>
                </c:pt>
                <c:pt idx="795">
                  <c:v>1.1829349999999999E-2</c:v>
                </c:pt>
                <c:pt idx="796">
                  <c:v>1.1892419999999996E-2</c:v>
                </c:pt>
                <c:pt idx="797">
                  <c:v>1.1954944999999998E-2</c:v>
                </c:pt>
                <c:pt idx="798">
                  <c:v>1.2017470000000001E-2</c:v>
                </c:pt>
                <c:pt idx="799">
                  <c:v>1.2059574999999999E-2</c:v>
                </c:pt>
                <c:pt idx="800">
                  <c:v>1.2101679999999998E-2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FE-4C71-A014-FF2ADB0F709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Spectra!$G$3:$G$803</c:f>
              <c:numCache>
                <c:formatCode>0.00E+00</c:formatCode>
                <c:ptCount val="801"/>
                <c:pt idx="0">
                  <c:v>1.8621419999999996E-3</c:v>
                </c:pt>
                <c:pt idx="1">
                  <c:v>1.695446E-3</c:v>
                </c:pt>
                <c:pt idx="2">
                  <c:v>1.3300749999999998E-3</c:v>
                </c:pt>
                <c:pt idx="3">
                  <c:v>1.3734049999999999E-3</c:v>
                </c:pt>
                <c:pt idx="4">
                  <c:v>1.6861689999999997E-3</c:v>
                </c:pt>
                <c:pt idx="5">
                  <c:v>1.9005959999999996E-3</c:v>
                </c:pt>
                <c:pt idx="6">
                  <c:v>2.669355E-3</c:v>
                </c:pt>
                <c:pt idx="7">
                  <c:v>3.8090509999999999E-3</c:v>
                </c:pt>
                <c:pt idx="8">
                  <c:v>4.3700399999999995E-3</c:v>
                </c:pt>
                <c:pt idx="9">
                  <c:v>4.1754039999999997E-3</c:v>
                </c:pt>
                <c:pt idx="10">
                  <c:v>2.2076849999999992E-3</c:v>
                </c:pt>
                <c:pt idx="11">
                  <c:v>2.513501E-3</c:v>
                </c:pt>
                <c:pt idx="12">
                  <c:v>3.2667979999999996E-3</c:v>
                </c:pt>
                <c:pt idx="13">
                  <c:v>2.5203759999999995E-3</c:v>
                </c:pt>
                <c:pt idx="14">
                  <c:v>7.1247799999999998E-3</c:v>
                </c:pt>
                <c:pt idx="15">
                  <c:v>5.7634179999999993E-3</c:v>
                </c:pt>
                <c:pt idx="16">
                  <c:v>7.2062729999999983E-3</c:v>
                </c:pt>
                <c:pt idx="17">
                  <c:v>6.756607999999999E-3</c:v>
                </c:pt>
                <c:pt idx="18">
                  <c:v>6.6678399999999987E-3</c:v>
                </c:pt>
                <c:pt idx="19">
                  <c:v>6.2618319999999993E-3</c:v>
                </c:pt>
                <c:pt idx="20">
                  <c:v>7.4976820000000003E-3</c:v>
                </c:pt>
                <c:pt idx="21">
                  <c:v>6.9912639999999996E-3</c:v>
                </c:pt>
                <c:pt idx="22">
                  <c:v>4.2772689999999993E-3</c:v>
                </c:pt>
                <c:pt idx="23">
                  <c:v>7.1087729999999997E-3</c:v>
                </c:pt>
                <c:pt idx="24">
                  <c:v>3.7723059999999991E-3</c:v>
                </c:pt>
                <c:pt idx="25">
                  <c:v>3.9633050000000003E-3</c:v>
                </c:pt>
                <c:pt idx="26">
                  <c:v>6.684939E-3</c:v>
                </c:pt>
                <c:pt idx="27">
                  <c:v>6.6052649999999999E-3</c:v>
                </c:pt>
                <c:pt idx="28">
                  <c:v>4.6825489999999994E-3</c:v>
                </c:pt>
                <c:pt idx="29">
                  <c:v>3.1413209999999994E-3</c:v>
                </c:pt>
                <c:pt idx="30">
                  <c:v>2.1232459999999996E-3</c:v>
                </c:pt>
                <c:pt idx="31">
                  <c:v>4.4078759999999989E-3</c:v>
                </c:pt>
                <c:pt idx="32">
                  <c:v>7.3001349999999993E-3</c:v>
                </c:pt>
                <c:pt idx="33">
                  <c:v>8.7167959999999989E-3</c:v>
                </c:pt>
                <c:pt idx="34">
                  <c:v>8.5599959999999985E-3</c:v>
                </c:pt>
                <c:pt idx="35">
                  <c:v>2.9373709999999998E-3</c:v>
                </c:pt>
                <c:pt idx="36">
                  <c:v>8.0219259999999987E-3</c:v>
                </c:pt>
                <c:pt idx="37">
                  <c:v>9.3276259999999986E-3</c:v>
                </c:pt>
                <c:pt idx="38">
                  <c:v>5.9438649999999996E-3</c:v>
                </c:pt>
                <c:pt idx="39">
                  <c:v>1.0516179999999997E-2</c:v>
                </c:pt>
                <c:pt idx="40">
                  <c:v>1.5387179999999997E-2</c:v>
                </c:pt>
                <c:pt idx="41">
                  <c:v>1.5075759999999997E-2</c:v>
                </c:pt>
                <c:pt idx="42">
                  <c:v>1.4439469999999999E-2</c:v>
                </c:pt>
                <c:pt idx="43">
                  <c:v>1.471632E-2</c:v>
                </c:pt>
                <c:pt idx="44">
                  <c:v>1.2760499999999998E-2</c:v>
                </c:pt>
                <c:pt idx="45">
                  <c:v>1.289656E-2</c:v>
                </c:pt>
                <c:pt idx="46">
                  <c:v>1.5542889999999998E-2</c:v>
                </c:pt>
                <c:pt idx="47">
                  <c:v>1.0767939999999997E-2</c:v>
                </c:pt>
                <c:pt idx="48">
                  <c:v>1.3988349999999997E-2</c:v>
                </c:pt>
                <c:pt idx="49">
                  <c:v>1.4723959999999999E-2</c:v>
                </c:pt>
                <c:pt idx="50">
                  <c:v>9.0263949999999996E-3</c:v>
                </c:pt>
                <c:pt idx="51">
                  <c:v>1.199251E-2</c:v>
                </c:pt>
                <c:pt idx="52">
                  <c:v>7.8913199999999985E-3</c:v>
                </c:pt>
                <c:pt idx="53">
                  <c:v>1.5826659999999999E-2</c:v>
                </c:pt>
                <c:pt idx="54">
                  <c:v>1.3577250000000001E-2</c:v>
                </c:pt>
                <c:pt idx="55">
                  <c:v>1.6321800000000001E-2</c:v>
                </c:pt>
                <c:pt idx="56">
                  <c:v>1.2712119999999997E-2</c:v>
                </c:pt>
                <c:pt idx="57">
                  <c:v>1.5625839999999998E-2</c:v>
                </c:pt>
                <c:pt idx="58">
                  <c:v>1.4482399999999998E-2</c:v>
                </c:pt>
                <c:pt idx="59">
                  <c:v>1.2307199999999999E-2</c:v>
                </c:pt>
                <c:pt idx="60">
                  <c:v>1.0979669999999999E-2</c:v>
                </c:pt>
                <c:pt idx="61">
                  <c:v>1.5507239999999997E-2</c:v>
                </c:pt>
                <c:pt idx="62">
                  <c:v>1.5453399999999997E-2</c:v>
                </c:pt>
                <c:pt idx="63">
                  <c:v>1.5672039999999998E-2</c:v>
                </c:pt>
                <c:pt idx="64">
                  <c:v>1.6004929999999997E-2</c:v>
                </c:pt>
                <c:pt idx="65">
                  <c:v>1.6183919999999997E-2</c:v>
                </c:pt>
                <c:pt idx="66">
                  <c:v>1.4357969999999998E-2</c:v>
                </c:pt>
                <c:pt idx="67">
                  <c:v>1.6695789999999999E-2</c:v>
                </c:pt>
                <c:pt idx="68">
                  <c:v>1.6771099999999997E-2</c:v>
                </c:pt>
                <c:pt idx="69">
                  <c:v>1.6445129999999999E-2</c:v>
                </c:pt>
                <c:pt idx="70">
                  <c:v>1.6957369999999999E-2</c:v>
                </c:pt>
                <c:pt idx="71">
                  <c:v>1.6442949999999998E-2</c:v>
                </c:pt>
                <c:pt idx="72">
                  <c:v>1.592853E-2</c:v>
                </c:pt>
                <c:pt idx="73">
                  <c:v>1.7680979999999995E-2</c:v>
                </c:pt>
                <c:pt idx="74">
                  <c:v>1.9433069999999997E-2</c:v>
                </c:pt>
                <c:pt idx="75">
                  <c:v>1.9738484999999997E-2</c:v>
                </c:pt>
                <c:pt idx="76">
                  <c:v>2.0043899999999996E-2</c:v>
                </c:pt>
                <c:pt idx="77">
                  <c:v>2.1750879999999997E-2</c:v>
                </c:pt>
                <c:pt idx="78">
                  <c:v>1.9364309999999999E-2</c:v>
                </c:pt>
                <c:pt idx="79">
                  <c:v>2.049902E-2</c:v>
                </c:pt>
                <c:pt idx="80">
                  <c:v>2.1772339999999998E-2</c:v>
                </c:pt>
                <c:pt idx="81">
                  <c:v>2.0956329999999995E-2</c:v>
                </c:pt>
                <c:pt idx="82">
                  <c:v>2.0840269999999998E-2</c:v>
                </c:pt>
                <c:pt idx="83">
                  <c:v>2.0029349999999998E-2</c:v>
                </c:pt>
                <c:pt idx="84">
                  <c:v>1.9731389999999998E-2</c:v>
                </c:pt>
                <c:pt idx="85">
                  <c:v>2.079261E-2</c:v>
                </c:pt>
                <c:pt idx="86">
                  <c:v>1.9624799999999998E-2</c:v>
                </c:pt>
                <c:pt idx="87">
                  <c:v>1.8829149999999996E-2</c:v>
                </c:pt>
                <c:pt idx="88">
                  <c:v>1.7732999999999995E-2</c:v>
                </c:pt>
                <c:pt idx="89">
                  <c:v>1.9710290000000002E-2</c:v>
                </c:pt>
                <c:pt idx="90">
                  <c:v>2.1138959999999995E-2</c:v>
                </c:pt>
                <c:pt idx="91">
                  <c:v>2.1252829999999997E-2</c:v>
                </c:pt>
                <c:pt idx="92">
                  <c:v>2.0421529999999997E-2</c:v>
                </c:pt>
                <c:pt idx="93">
                  <c:v>2.1426729999999998E-2</c:v>
                </c:pt>
                <c:pt idx="94">
                  <c:v>1.9457809999999999E-2</c:v>
                </c:pt>
                <c:pt idx="95">
                  <c:v>1.8947389999999998E-2</c:v>
                </c:pt>
                <c:pt idx="96">
                  <c:v>2.0255639999999995E-2</c:v>
                </c:pt>
                <c:pt idx="97">
                  <c:v>1.9434529999999998E-2</c:v>
                </c:pt>
                <c:pt idx="98">
                  <c:v>1.9085999999999992E-2</c:v>
                </c:pt>
                <c:pt idx="99">
                  <c:v>1.9122019999999993E-2</c:v>
                </c:pt>
                <c:pt idx="100">
                  <c:v>2.0605259999999997E-2</c:v>
                </c:pt>
                <c:pt idx="101">
                  <c:v>2.2107409999999997E-2</c:v>
                </c:pt>
                <c:pt idx="102">
                  <c:v>2.167084E-2</c:v>
                </c:pt>
                <c:pt idx="103">
                  <c:v>2.1751609999999998E-2</c:v>
                </c:pt>
                <c:pt idx="104">
                  <c:v>2.3282499999999998E-2</c:v>
                </c:pt>
                <c:pt idx="105">
                  <c:v>2.3921709999999999E-2</c:v>
                </c:pt>
                <c:pt idx="106">
                  <c:v>2.3448039999999996E-2</c:v>
                </c:pt>
                <c:pt idx="107">
                  <c:v>2.0350589999999998E-2</c:v>
                </c:pt>
                <c:pt idx="108">
                  <c:v>1.8473349999999996E-2</c:v>
                </c:pt>
                <c:pt idx="109">
                  <c:v>1.9037979999999999E-2</c:v>
                </c:pt>
                <c:pt idx="110">
                  <c:v>2.2708419999999997E-2</c:v>
                </c:pt>
                <c:pt idx="111">
                  <c:v>2.0891209999999997E-2</c:v>
                </c:pt>
                <c:pt idx="112">
                  <c:v>2.0885749999999998E-2</c:v>
                </c:pt>
                <c:pt idx="113">
                  <c:v>2.1213899999999997E-2</c:v>
                </c:pt>
                <c:pt idx="114">
                  <c:v>2.1604999999999999E-2</c:v>
                </c:pt>
                <c:pt idx="115">
                  <c:v>2.3050759999999997E-2</c:v>
                </c:pt>
                <c:pt idx="116">
                  <c:v>2.4842139999999999E-2</c:v>
                </c:pt>
                <c:pt idx="117">
                  <c:v>2.5418409999999995E-2</c:v>
                </c:pt>
                <c:pt idx="118">
                  <c:v>2.3596109999999997E-2</c:v>
                </c:pt>
                <c:pt idx="119">
                  <c:v>2.4082879999999997E-2</c:v>
                </c:pt>
                <c:pt idx="120">
                  <c:v>2.4388109999999994E-2</c:v>
                </c:pt>
                <c:pt idx="121">
                  <c:v>2.4929449999999995E-2</c:v>
                </c:pt>
                <c:pt idx="122">
                  <c:v>2.3242489999999998E-2</c:v>
                </c:pt>
                <c:pt idx="123">
                  <c:v>2.0115209999999994E-2</c:v>
                </c:pt>
                <c:pt idx="124">
                  <c:v>2.0520489999999995E-2</c:v>
                </c:pt>
                <c:pt idx="125">
                  <c:v>2.165665E-2</c:v>
                </c:pt>
                <c:pt idx="126">
                  <c:v>2.2851759999999999E-2</c:v>
                </c:pt>
                <c:pt idx="127">
                  <c:v>2.4437229999999997E-2</c:v>
                </c:pt>
                <c:pt idx="128">
                  <c:v>2.8141859999999998E-2</c:v>
                </c:pt>
                <c:pt idx="129">
                  <c:v>2.6190409999999994E-2</c:v>
                </c:pt>
                <c:pt idx="130">
                  <c:v>2.4380839999999997E-2</c:v>
                </c:pt>
                <c:pt idx="131">
                  <c:v>2.6257349999999999E-2</c:v>
                </c:pt>
                <c:pt idx="132">
                  <c:v>2.2426829999999998E-2</c:v>
                </c:pt>
                <c:pt idx="133">
                  <c:v>1.7665699999999996E-2</c:v>
                </c:pt>
                <c:pt idx="134">
                  <c:v>1.8060069999999998E-2</c:v>
                </c:pt>
                <c:pt idx="135">
                  <c:v>2.2673859999999994E-2</c:v>
                </c:pt>
                <c:pt idx="136">
                  <c:v>2.4006109999999997E-2</c:v>
                </c:pt>
                <c:pt idx="137">
                  <c:v>2.3742359999999994E-2</c:v>
                </c:pt>
                <c:pt idx="138">
                  <c:v>2.3480779999999993E-2</c:v>
                </c:pt>
                <c:pt idx="139">
                  <c:v>2.2807009999999999E-2</c:v>
                </c:pt>
                <c:pt idx="140">
                  <c:v>2.4921809999999996E-2</c:v>
                </c:pt>
                <c:pt idx="141">
                  <c:v>2.7412429999999995E-2</c:v>
                </c:pt>
                <c:pt idx="142">
                  <c:v>2.6762669999999999E-2</c:v>
                </c:pt>
                <c:pt idx="143">
                  <c:v>1.6578649999999997E-2</c:v>
                </c:pt>
                <c:pt idx="144">
                  <c:v>1.6345809999999999E-2</c:v>
                </c:pt>
                <c:pt idx="145">
                  <c:v>2.5432229999999997E-2</c:v>
                </c:pt>
                <c:pt idx="146">
                  <c:v>2.3835490000000001E-2</c:v>
                </c:pt>
                <c:pt idx="147">
                  <c:v>1.7938919999999997E-2</c:v>
                </c:pt>
                <c:pt idx="148">
                  <c:v>2.5572659999999997E-2</c:v>
                </c:pt>
                <c:pt idx="149">
                  <c:v>3.3469079999999998E-2</c:v>
                </c:pt>
                <c:pt idx="150">
                  <c:v>3.5706489999999994E-2</c:v>
                </c:pt>
                <c:pt idx="151">
                  <c:v>3.6117579999999996E-2</c:v>
                </c:pt>
                <c:pt idx="152">
                  <c:v>3.6853569999999995E-2</c:v>
                </c:pt>
                <c:pt idx="153">
                  <c:v>3.6609820000000001E-2</c:v>
                </c:pt>
                <c:pt idx="154">
                  <c:v>3.4833709999999997E-2</c:v>
                </c:pt>
                <c:pt idx="155">
                  <c:v>3.6227459999999996E-2</c:v>
                </c:pt>
                <c:pt idx="156">
                  <c:v>3.4959589999999999E-2</c:v>
                </c:pt>
                <c:pt idx="157">
                  <c:v>3.5766509999999994E-2</c:v>
                </c:pt>
                <c:pt idx="158">
                  <c:v>3.7446569999999992E-2</c:v>
                </c:pt>
                <c:pt idx="159">
                  <c:v>3.8388829999999985E-2</c:v>
                </c:pt>
                <c:pt idx="160">
                  <c:v>3.5296839999999996E-2</c:v>
                </c:pt>
                <c:pt idx="161">
                  <c:v>3.6653469999999994E-2</c:v>
                </c:pt>
                <c:pt idx="162">
                  <c:v>3.9221949999999992E-2</c:v>
                </c:pt>
                <c:pt idx="163">
                  <c:v>3.8075959999999999E-2</c:v>
                </c:pt>
                <c:pt idx="164">
                  <c:v>3.7948629999999997E-2</c:v>
                </c:pt>
                <c:pt idx="165">
                  <c:v>3.8305149999999996E-2</c:v>
                </c:pt>
                <c:pt idx="166">
                  <c:v>3.8879969999999993E-2</c:v>
                </c:pt>
                <c:pt idx="167">
                  <c:v>3.7817659999999996E-2</c:v>
                </c:pt>
                <c:pt idx="168">
                  <c:v>3.6280569999999991E-2</c:v>
                </c:pt>
                <c:pt idx="169">
                  <c:v>3.7526609999999995E-2</c:v>
                </c:pt>
                <c:pt idx="170">
                  <c:v>3.774124999999999E-2</c:v>
                </c:pt>
                <c:pt idx="171">
                  <c:v>3.8010469999999991E-2</c:v>
                </c:pt>
                <c:pt idx="172">
                  <c:v>3.6526139999999999E-2</c:v>
                </c:pt>
                <c:pt idx="173">
                  <c:v>3.5212439999999991E-2</c:v>
                </c:pt>
                <c:pt idx="174">
                  <c:v>3.7399269999999998E-2</c:v>
                </c:pt>
                <c:pt idx="175">
                  <c:v>3.7060940000000001E-2</c:v>
                </c:pt>
                <c:pt idx="176">
                  <c:v>3.7057299999999994E-2</c:v>
                </c:pt>
                <c:pt idx="177">
                  <c:v>3.5879289999999994E-2</c:v>
                </c:pt>
                <c:pt idx="178">
                  <c:v>3.4647079999999997E-2</c:v>
                </c:pt>
                <c:pt idx="179">
                  <c:v>3.3557119999999996E-2</c:v>
                </c:pt>
                <c:pt idx="180">
                  <c:v>2.8918589999999994E-2</c:v>
                </c:pt>
                <c:pt idx="181">
                  <c:v>2.9888129999999992E-2</c:v>
                </c:pt>
                <c:pt idx="182">
                  <c:v>3.5975339999999995E-2</c:v>
                </c:pt>
                <c:pt idx="183">
                  <c:v>3.747202999999999E-2</c:v>
                </c:pt>
                <c:pt idx="184">
                  <c:v>3.5901849999999992E-2</c:v>
                </c:pt>
                <c:pt idx="185">
                  <c:v>3.6984539999999989E-2</c:v>
                </c:pt>
                <c:pt idx="186">
                  <c:v>4.1088269999999996E-2</c:v>
                </c:pt>
                <c:pt idx="187">
                  <c:v>4.0378849999999994E-2</c:v>
                </c:pt>
                <c:pt idx="188">
                  <c:v>3.7519329999999997E-2</c:v>
                </c:pt>
                <c:pt idx="189">
                  <c:v>3.6409719999999993E-2</c:v>
                </c:pt>
                <c:pt idx="190">
                  <c:v>3.7417459999999993E-2</c:v>
                </c:pt>
                <c:pt idx="191">
                  <c:v>3.8556179999999995E-2</c:v>
                </c:pt>
                <c:pt idx="192">
                  <c:v>4.0455249999999998E-2</c:v>
                </c:pt>
                <c:pt idx="193">
                  <c:v>4.0131460000000001E-2</c:v>
                </c:pt>
                <c:pt idx="194">
                  <c:v>4.0582579999999993E-2</c:v>
                </c:pt>
                <c:pt idx="195">
                  <c:v>3.954937E-2</c:v>
                </c:pt>
                <c:pt idx="196">
                  <c:v>3.8290599999999994E-2</c:v>
                </c:pt>
                <c:pt idx="197">
                  <c:v>4.045888999999999E-2</c:v>
                </c:pt>
                <c:pt idx="198">
                  <c:v>4.1339299999999995E-2</c:v>
                </c:pt>
                <c:pt idx="199">
                  <c:v>4.0869989999999988E-2</c:v>
                </c:pt>
                <c:pt idx="200">
                  <c:v>4.2605339999999985E-2</c:v>
                </c:pt>
                <c:pt idx="201">
                  <c:v>4.3405709999999993E-2</c:v>
                </c:pt>
                <c:pt idx="202">
                  <c:v>4.2245179999999986E-2</c:v>
                </c:pt>
                <c:pt idx="203">
                  <c:v>3.9593029999999987E-2</c:v>
                </c:pt>
                <c:pt idx="204">
                  <c:v>4.0786309999999999E-2</c:v>
                </c:pt>
                <c:pt idx="205">
                  <c:v>4.0618959999999996E-2</c:v>
                </c:pt>
                <c:pt idx="206">
                  <c:v>4.136476E-2</c:v>
                </c:pt>
                <c:pt idx="207">
                  <c:v>4.1724929999999993E-2</c:v>
                </c:pt>
                <c:pt idx="208">
                  <c:v>4.125562E-2</c:v>
                </c:pt>
                <c:pt idx="209">
                  <c:v>4.0564389999999999E-2</c:v>
                </c:pt>
                <c:pt idx="210">
                  <c:v>4.0673529999999999E-2</c:v>
                </c:pt>
                <c:pt idx="211">
                  <c:v>4.1597599999999992E-2</c:v>
                </c:pt>
                <c:pt idx="212">
                  <c:v>4.1965039999999995E-2</c:v>
                </c:pt>
                <c:pt idx="213">
                  <c:v>4.1681269999999986E-2</c:v>
                </c:pt>
                <c:pt idx="214">
                  <c:v>4.0568029999999991E-2</c:v>
                </c:pt>
                <c:pt idx="215">
                  <c:v>3.9945919999999989E-2</c:v>
                </c:pt>
                <c:pt idx="216">
                  <c:v>4.0120539999999989E-2</c:v>
                </c:pt>
                <c:pt idx="217">
                  <c:v>4.0105989999999994E-2</c:v>
                </c:pt>
                <c:pt idx="218">
                  <c:v>4.0284259999999995E-2</c:v>
                </c:pt>
                <c:pt idx="219">
                  <c:v>4.0775399999999996E-2</c:v>
                </c:pt>
                <c:pt idx="220">
                  <c:v>3.9603939999999997E-2</c:v>
                </c:pt>
                <c:pt idx="221">
                  <c:v>4.0120539999999989E-2</c:v>
                </c:pt>
                <c:pt idx="222">
                  <c:v>4.1346569999999992E-2</c:v>
                </c:pt>
                <c:pt idx="223">
                  <c:v>4.2030529999999997E-2</c:v>
                </c:pt>
                <c:pt idx="224">
                  <c:v>4.2019609999999999E-2</c:v>
                </c:pt>
                <c:pt idx="225">
                  <c:v>4.2692649999999999E-2</c:v>
                </c:pt>
                <c:pt idx="226">
                  <c:v>4.1099189999999994E-2</c:v>
                </c:pt>
                <c:pt idx="227">
                  <c:v>4.2234259999999996E-2</c:v>
                </c:pt>
                <c:pt idx="228">
                  <c:v>4.3063739999999989E-2</c:v>
                </c:pt>
                <c:pt idx="229">
                  <c:v>4.3394799999999997E-2</c:v>
                </c:pt>
                <c:pt idx="230">
                  <c:v>4.337296999999999E-2</c:v>
                </c:pt>
                <c:pt idx="231">
                  <c:v>4.3282019999999997E-2</c:v>
                </c:pt>
                <c:pt idx="232">
                  <c:v>4.3671289999999995E-2</c:v>
                </c:pt>
                <c:pt idx="233">
                  <c:v>4.3587619999999994E-2</c:v>
                </c:pt>
                <c:pt idx="234">
                  <c:v>4.2412529999999997E-2</c:v>
                </c:pt>
                <c:pt idx="235">
                  <c:v>4.0702639999999998E-2</c:v>
                </c:pt>
                <c:pt idx="236">
                  <c:v>3.659163E-2</c:v>
                </c:pt>
                <c:pt idx="237">
                  <c:v>3.7137339999999998E-2</c:v>
                </c:pt>
                <c:pt idx="238">
                  <c:v>3.9629409999999997E-2</c:v>
                </c:pt>
                <c:pt idx="239">
                  <c:v>4.0447969999999993E-2</c:v>
                </c:pt>
                <c:pt idx="240">
                  <c:v>4.1441159999999998E-2</c:v>
                </c:pt>
                <c:pt idx="241">
                  <c:v>4.0593489999999996E-2</c:v>
                </c:pt>
                <c:pt idx="242">
                  <c:v>3.9120079999999995E-2</c:v>
                </c:pt>
                <c:pt idx="243">
                  <c:v>3.9396569999999999E-2</c:v>
                </c:pt>
                <c:pt idx="244">
                  <c:v>3.9920449999999989E-2</c:v>
                </c:pt>
                <c:pt idx="245">
                  <c:v>4.0204219999999999E-2</c:v>
                </c:pt>
                <c:pt idx="246">
                  <c:v>4.0327910000000002E-2</c:v>
                </c:pt>
                <c:pt idx="247">
                  <c:v>4.0058699999999996E-2</c:v>
                </c:pt>
                <c:pt idx="248">
                  <c:v>3.9196479999999999E-2</c:v>
                </c:pt>
                <c:pt idx="249">
                  <c:v>3.8945449999999993E-2</c:v>
                </c:pt>
                <c:pt idx="250">
                  <c:v>3.8610749999999992E-2</c:v>
                </c:pt>
                <c:pt idx="251">
                  <c:v>3.7959539999999993E-2</c:v>
                </c:pt>
                <c:pt idx="252">
                  <c:v>3.7621199999999994E-2</c:v>
                </c:pt>
                <c:pt idx="253">
                  <c:v>3.8574369999999997E-2</c:v>
                </c:pt>
                <c:pt idx="254">
                  <c:v>3.838519E-2</c:v>
                </c:pt>
                <c:pt idx="255">
                  <c:v>3.8388829999999985E-2</c:v>
                </c:pt>
                <c:pt idx="256">
                  <c:v>3.8639849999999996E-2</c:v>
                </c:pt>
                <c:pt idx="257">
                  <c:v>3.8290599999999994E-2</c:v>
                </c:pt>
                <c:pt idx="258">
                  <c:v>3.7861309999999995E-2</c:v>
                </c:pt>
                <c:pt idx="259">
                  <c:v>3.7904969999999989E-2</c:v>
                </c:pt>
                <c:pt idx="260">
                  <c:v>3.8090510000000001E-2</c:v>
                </c:pt>
                <c:pt idx="261">
                  <c:v>3.841428999999999E-2</c:v>
                </c:pt>
                <c:pt idx="262">
                  <c:v>3.8163269999999992E-2</c:v>
                </c:pt>
                <c:pt idx="263">
                  <c:v>3.7533879999999999E-2</c:v>
                </c:pt>
                <c:pt idx="264">
                  <c:v>3.7992279999999989E-2</c:v>
                </c:pt>
                <c:pt idx="265">
                  <c:v>3.7562989999999991E-2</c:v>
                </c:pt>
                <c:pt idx="266">
                  <c:v>3.6686219999999999E-2</c:v>
                </c:pt>
                <c:pt idx="267">
                  <c:v>3.4116289999999994E-2</c:v>
                </c:pt>
                <c:pt idx="268">
                  <c:v>3.380814E-2</c:v>
                </c:pt>
                <c:pt idx="269">
                  <c:v>3.5331039999999994E-2</c:v>
                </c:pt>
                <c:pt idx="270">
                  <c:v>3.6628009999999996E-2</c:v>
                </c:pt>
                <c:pt idx="271">
                  <c:v>3.6926329999999993E-2</c:v>
                </c:pt>
                <c:pt idx="272">
                  <c:v>3.6802629999999996E-2</c:v>
                </c:pt>
                <c:pt idx="273">
                  <c:v>3.6613449999999992E-2</c:v>
                </c:pt>
                <c:pt idx="274">
                  <c:v>3.7344709999999996E-2</c:v>
                </c:pt>
                <c:pt idx="275">
                  <c:v>3.7795819999999987E-2</c:v>
                </c:pt>
                <c:pt idx="276">
                  <c:v>3.6070289999999998E-2</c:v>
                </c:pt>
                <c:pt idx="277">
                  <c:v>3.501307E-2</c:v>
                </c:pt>
                <c:pt idx="278">
                  <c:v>3.5999349999999992E-2</c:v>
                </c:pt>
                <c:pt idx="279">
                  <c:v>3.8075959999999999E-2</c:v>
                </c:pt>
                <c:pt idx="280">
                  <c:v>3.755207E-2</c:v>
                </c:pt>
                <c:pt idx="281">
                  <c:v>3.8432479999999998E-2</c:v>
                </c:pt>
                <c:pt idx="282">
                  <c:v>3.7675769999999997E-2</c:v>
                </c:pt>
                <c:pt idx="283">
                  <c:v>3.618852999999999E-2</c:v>
                </c:pt>
                <c:pt idx="284">
                  <c:v>3.676989E-2</c:v>
                </c:pt>
                <c:pt idx="285">
                  <c:v>3.7592089999999995E-2</c:v>
                </c:pt>
                <c:pt idx="286">
                  <c:v>3.7570269999999989E-2</c:v>
                </c:pt>
                <c:pt idx="287">
                  <c:v>3.7355619999999992E-2</c:v>
                </c:pt>
                <c:pt idx="288">
                  <c:v>3.7377449999999993E-2</c:v>
                </c:pt>
                <c:pt idx="289">
                  <c:v>3.7235559999999994E-2</c:v>
                </c:pt>
                <c:pt idx="290">
                  <c:v>3.6333319999999995E-2</c:v>
                </c:pt>
                <c:pt idx="291">
                  <c:v>3.6041189999999994E-2</c:v>
                </c:pt>
                <c:pt idx="292">
                  <c:v>3.8196009999999996E-2</c:v>
                </c:pt>
                <c:pt idx="293">
                  <c:v>3.8130529999999996E-2</c:v>
                </c:pt>
                <c:pt idx="294">
                  <c:v>3.8436119999999997E-2</c:v>
                </c:pt>
                <c:pt idx="295">
                  <c:v>3.8592559999999991E-2</c:v>
                </c:pt>
                <c:pt idx="296">
                  <c:v>3.7861309999999995E-2</c:v>
                </c:pt>
                <c:pt idx="297">
                  <c:v>3.8425209999999994E-2</c:v>
                </c:pt>
                <c:pt idx="298">
                  <c:v>3.7770360000000003E-2</c:v>
                </c:pt>
                <c:pt idx="299">
                  <c:v>3.7814009999999988E-2</c:v>
                </c:pt>
                <c:pt idx="300">
                  <c:v>3.767940999999999E-2</c:v>
                </c:pt>
                <c:pt idx="301">
                  <c:v>3.7792189999999996E-2</c:v>
                </c:pt>
                <c:pt idx="302">
                  <c:v>3.8130529999999996E-2</c:v>
                </c:pt>
                <c:pt idx="303">
                  <c:v>3.7159159999999997E-2</c:v>
                </c:pt>
                <c:pt idx="304">
                  <c:v>3.6991809999999993E-2</c:v>
                </c:pt>
                <c:pt idx="305">
                  <c:v>3.7606649999999991E-2</c:v>
                </c:pt>
                <c:pt idx="306">
                  <c:v>3.7224649999999998E-2</c:v>
                </c:pt>
                <c:pt idx="307">
                  <c:v>3.7231929999999989E-2</c:v>
                </c:pt>
                <c:pt idx="308">
                  <c:v>3.7417459999999993E-2</c:v>
                </c:pt>
                <c:pt idx="309">
                  <c:v>3.6261649999999999E-2</c:v>
                </c:pt>
                <c:pt idx="310">
                  <c:v>3.5255369999999994E-2</c:v>
                </c:pt>
                <c:pt idx="311">
                  <c:v>3.6387889999999999E-2</c:v>
                </c:pt>
                <c:pt idx="312">
                  <c:v>3.6328229999999996E-2</c:v>
                </c:pt>
                <c:pt idx="313">
                  <c:v>3.6478849999999993E-2</c:v>
                </c:pt>
                <c:pt idx="314">
                  <c:v>3.6280569999999991E-2</c:v>
                </c:pt>
                <c:pt idx="315">
                  <c:v>3.6395169999999998E-2</c:v>
                </c:pt>
                <c:pt idx="316">
                  <c:v>3.5816719999999996E-2</c:v>
                </c:pt>
                <c:pt idx="317">
                  <c:v>3.5656639999999996E-2</c:v>
                </c:pt>
                <c:pt idx="318">
                  <c:v>3.563591E-2</c:v>
                </c:pt>
                <c:pt idx="319">
                  <c:v>3.5918589999999993E-2</c:v>
                </c:pt>
                <c:pt idx="320">
                  <c:v>3.5453639999999995E-2</c:v>
                </c:pt>
                <c:pt idx="321">
                  <c:v>3.5463459999999995E-2</c:v>
                </c:pt>
                <c:pt idx="322">
                  <c:v>3.5305939999999994E-2</c:v>
                </c:pt>
                <c:pt idx="323">
                  <c:v>3.6657109999999993E-2</c:v>
                </c:pt>
                <c:pt idx="324">
                  <c:v>3.5630089999999996E-2</c:v>
                </c:pt>
                <c:pt idx="325">
                  <c:v>3.5621719999999996E-2</c:v>
                </c:pt>
                <c:pt idx="326">
                  <c:v>3.5613349999999995E-2</c:v>
                </c:pt>
                <c:pt idx="327">
                  <c:v>3.5408709999999996E-2</c:v>
                </c:pt>
                <c:pt idx="328">
                  <c:v>3.5204069999999997E-2</c:v>
                </c:pt>
                <c:pt idx="329">
                  <c:v>3.5164050000000002E-2</c:v>
                </c:pt>
                <c:pt idx="330">
                  <c:v>3.5124030000000001E-2</c:v>
                </c:pt>
                <c:pt idx="331">
                  <c:v>3.5232260000000001E-2</c:v>
                </c:pt>
                <c:pt idx="332">
                  <c:v>3.5340489999999995E-2</c:v>
                </c:pt>
                <c:pt idx="333">
                  <c:v>3.5494929999999994E-2</c:v>
                </c:pt>
                <c:pt idx="334">
                  <c:v>3.564937E-2</c:v>
                </c:pt>
                <c:pt idx="335">
                  <c:v>3.5157684999999994E-2</c:v>
                </c:pt>
                <c:pt idx="336">
                  <c:v>3.4665999999999995E-2</c:v>
                </c:pt>
                <c:pt idx="337">
                  <c:v>3.4245075E-2</c:v>
                </c:pt>
                <c:pt idx="338">
                  <c:v>3.3824149999999997E-2</c:v>
                </c:pt>
                <c:pt idx="339">
                  <c:v>3.3361754999999993E-2</c:v>
                </c:pt>
                <c:pt idx="340">
                  <c:v>3.2899359999999996E-2</c:v>
                </c:pt>
                <c:pt idx="341">
                  <c:v>3.3197859999999996E-2</c:v>
                </c:pt>
                <c:pt idx="342">
                  <c:v>3.3496359999999996E-2</c:v>
                </c:pt>
                <c:pt idx="343">
                  <c:v>3.3836884999999997E-2</c:v>
                </c:pt>
                <c:pt idx="344">
                  <c:v>3.4177409999999998E-2</c:v>
                </c:pt>
                <c:pt idx="345">
                  <c:v>3.4155214999999996E-2</c:v>
                </c:pt>
                <c:pt idx="346">
                  <c:v>3.4133019999999993E-2</c:v>
                </c:pt>
                <c:pt idx="347">
                  <c:v>3.4127384999999996E-2</c:v>
                </c:pt>
                <c:pt idx="348">
                  <c:v>3.4121749999999999E-2</c:v>
                </c:pt>
                <c:pt idx="349">
                  <c:v>3.3947484999999999E-2</c:v>
                </c:pt>
                <c:pt idx="350">
                  <c:v>3.3773219999999993E-2</c:v>
                </c:pt>
                <c:pt idx="351">
                  <c:v>3.3828334999999994E-2</c:v>
                </c:pt>
                <c:pt idx="352">
                  <c:v>3.3883449999999996E-2</c:v>
                </c:pt>
                <c:pt idx="353">
                  <c:v>3.3816329999999992E-2</c:v>
                </c:pt>
                <c:pt idx="354">
                  <c:v>3.3749209999999995E-2</c:v>
                </c:pt>
                <c:pt idx="355">
                  <c:v>3.4073544999999997E-2</c:v>
                </c:pt>
                <c:pt idx="356">
                  <c:v>3.4397879999999999E-2</c:v>
                </c:pt>
                <c:pt idx="357">
                  <c:v>3.4045714999999997E-2</c:v>
                </c:pt>
                <c:pt idx="358">
                  <c:v>3.3693549999999996E-2</c:v>
                </c:pt>
                <c:pt idx="359">
                  <c:v>3.3939664999999994E-2</c:v>
                </c:pt>
                <c:pt idx="360">
                  <c:v>3.4185779999999999E-2</c:v>
                </c:pt>
                <c:pt idx="361">
                  <c:v>3.4074269999999997E-2</c:v>
                </c:pt>
                <c:pt idx="362">
                  <c:v>3.3962759999999995E-2</c:v>
                </c:pt>
                <c:pt idx="363">
                  <c:v>3.3428144999999992E-2</c:v>
                </c:pt>
                <c:pt idx="364">
                  <c:v>3.2893529999999997E-2</c:v>
                </c:pt>
                <c:pt idx="365">
                  <c:v>3.2365469999999993E-2</c:v>
                </c:pt>
                <c:pt idx="366">
                  <c:v>3.1837409999999997E-2</c:v>
                </c:pt>
                <c:pt idx="367">
                  <c:v>3.2037499999999997E-2</c:v>
                </c:pt>
                <c:pt idx="368">
                  <c:v>3.2237590000000003E-2</c:v>
                </c:pt>
                <c:pt idx="369">
                  <c:v>3.2434774999999999E-2</c:v>
                </c:pt>
                <c:pt idx="370">
                  <c:v>3.2631959999999995E-2</c:v>
                </c:pt>
                <c:pt idx="371">
                  <c:v>3.2755654999999995E-2</c:v>
                </c:pt>
                <c:pt idx="372">
                  <c:v>3.2879350000000002E-2</c:v>
                </c:pt>
                <c:pt idx="373">
                  <c:v>3.2561019999999996E-2</c:v>
                </c:pt>
                <c:pt idx="374">
                  <c:v>3.2242689999999997E-2</c:v>
                </c:pt>
                <c:pt idx="375">
                  <c:v>3.2098074999999997E-2</c:v>
                </c:pt>
                <c:pt idx="376">
                  <c:v>3.1953459999999996E-2</c:v>
                </c:pt>
                <c:pt idx="377">
                  <c:v>3.1948729999999995E-2</c:v>
                </c:pt>
                <c:pt idx="378">
                  <c:v>3.1943999999999993E-2</c:v>
                </c:pt>
                <c:pt idx="379">
                  <c:v>3.1968009999999991E-2</c:v>
                </c:pt>
                <c:pt idx="380">
                  <c:v>3.1992019999999996E-2</c:v>
                </c:pt>
                <c:pt idx="381">
                  <c:v>3.1836129999999997E-2</c:v>
                </c:pt>
                <c:pt idx="382">
                  <c:v>3.1680239999999998E-2</c:v>
                </c:pt>
                <c:pt idx="383">
                  <c:v>3.1704070000000001E-2</c:v>
                </c:pt>
                <c:pt idx="384">
                  <c:v>3.1727899999999996E-2</c:v>
                </c:pt>
                <c:pt idx="385">
                  <c:v>3.1695704999999991E-2</c:v>
                </c:pt>
                <c:pt idx="386">
                  <c:v>3.1663509999999992E-2</c:v>
                </c:pt>
                <c:pt idx="387">
                  <c:v>3.182194499999999E-2</c:v>
                </c:pt>
                <c:pt idx="388">
                  <c:v>3.1980379999999996E-2</c:v>
                </c:pt>
                <c:pt idx="389">
                  <c:v>3.1893794999999996E-2</c:v>
                </c:pt>
                <c:pt idx="390">
                  <c:v>3.1807209999999995E-2</c:v>
                </c:pt>
                <c:pt idx="391">
                  <c:v>3.1561279999999997E-2</c:v>
                </c:pt>
                <c:pt idx="392">
                  <c:v>3.1315349999999999E-2</c:v>
                </c:pt>
                <c:pt idx="393">
                  <c:v>3.1510349999999999E-2</c:v>
                </c:pt>
                <c:pt idx="394">
                  <c:v>3.170535E-2</c:v>
                </c:pt>
                <c:pt idx="395">
                  <c:v>3.1423035000000002E-2</c:v>
                </c:pt>
                <c:pt idx="396">
                  <c:v>3.1140719999999997E-2</c:v>
                </c:pt>
                <c:pt idx="397">
                  <c:v>3.0952449999999999E-2</c:v>
                </c:pt>
                <c:pt idx="398">
                  <c:v>3.0764179999999999E-2</c:v>
                </c:pt>
                <c:pt idx="399">
                  <c:v>3.0878959999999997E-2</c:v>
                </c:pt>
                <c:pt idx="400">
                  <c:v>3.0993739999999999E-2</c:v>
                </c:pt>
                <c:pt idx="401">
                  <c:v>3.1132349999999996E-2</c:v>
                </c:pt>
                <c:pt idx="402">
                  <c:v>3.1270959999999993E-2</c:v>
                </c:pt>
                <c:pt idx="403">
                  <c:v>3.1226574999999996E-2</c:v>
                </c:pt>
                <c:pt idx="404">
                  <c:v>3.1182189999999999E-2</c:v>
                </c:pt>
                <c:pt idx="405">
                  <c:v>3.0242659999999998E-2</c:v>
                </c:pt>
                <c:pt idx="406">
                  <c:v>2.930313E-2</c:v>
                </c:pt>
                <c:pt idx="407">
                  <c:v>2.9289849999999999E-2</c:v>
                </c:pt>
                <c:pt idx="408">
                  <c:v>2.9276569999999998E-2</c:v>
                </c:pt>
                <c:pt idx="409">
                  <c:v>3.0111324999999998E-2</c:v>
                </c:pt>
                <c:pt idx="410">
                  <c:v>3.0946079999999997E-2</c:v>
                </c:pt>
                <c:pt idx="411">
                  <c:v>3.1029574999999997E-2</c:v>
                </c:pt>
                <c:pt idx="412">
                  <c:v>3.1113069999999993E-2</c:v>
                </c:pt>
                <c:pt idx="413">
                  <c:v>3.1069049999999994E-2</c:v>
                </c:pt>
                <c:pt idx="414">
                  <c:v>3.1025029999999999E-2</c:v>
                </c:pt>
                <c:pt idx="415">
                  <c:v>3.0807654999999996E-2</c:v>
                </c:pt>
                <c:pt idx="416">
                  <c:v>3.0590279999999997E-2</c:v>
                </c:pt>
                <c:pt idx="417">
                  <c:v>3.0672499999999998E-2</c:v>
                </c:pt>
                <c:pt idx="418">
                  <c:v>3.0754719999999999E-2</c:v>
                </c:pt>
                <c:pt idx="419">
                  <c:v>3.0625384999999998E-2</c:v>
                </c:pt>
                <c:pt idx="420">
                  <c:v>3.0496049999999997E-2</c:v>
                </c:pt>
                <c:pt idx="421">
                  <c:v>3.0308689999999999E-2</c:v>
                </c:pt>
                <c:pt idx="422">
                  <c:v>3.0121330000000002E-2</c:v>
                </c:pt>
                <c:pt idx="423">
                  <c:v>3.0237564999999998E-2</c:v>
                </c:pt>
                <c:pt idx="424">
                  <c:v>3.0353799999999993E-2</c:v>
                </c:pt>
                <c:pt idx="425">
                  <c:v>3.0301049999999996E-2</c:v>
                </c:pt>
                <c:pt idx="426">
                  <c:v>3.0248299999999995E-2</c:v>
                </c:pt>
                <c:pt idx="427">
                  <c:v>3.0458399999999997E-2</c:v>
                </c:pt>
                <c:pt idx="428">
                  <c:v>3.0668499999999994E-2</c:v>
                </c:pt>
                <c:pt idx="429">
                  <c:v>3.0363629999999996E-2</c:v>
                </c:pt>
                <c:pt idx="430">
                  <c:v>3.0058759999999993E-2</c:v>
                </c:pt>
                <c:pt idx="431">
                  <c:v>3.0112784999999996E-2</c:v>
                </c:pt>
                <c:pt idx="432">
                  <c:v>3.0166809999999995E-2</c:v>
                </c:pt>
                <c:pt idx="433">
                  <c:v>3.0621019999999995E-2</c:v>
                </c:pt>
                <c:pt idx="434">
                  <c:v>3.1075229999999995E-2</c:v>
                </c:pt>
                <c:pt idx="435">
                  <c:v>3.0164989999999996E-2</c:v>
                </c:pt>
                <c:pt idx="436">
                  <c:v>2.9254749999999996E-2</c:v>
                </c:pt>
                <c:pt idx="437">
                  <c:v>2.8890759999999995E-2</c:v>
                </c:pt>
                <c:pt idx="438">
                  <c:v>2.8526769999999993E-2</c:v>
                </c:pt>
                <c:pt idx="439">
                  <c:v>2.8814539999999993E-2</c:v>
                </c:pt>
                <c:pt idx="440">
                  <c:v>2.9102309999999996E-2</c:v>
                </c:pt>
                <c:pt idx="441">
                  <c:v>2.9397719999999995E-2</c:v>
                </c:pt>
                <c:pt idx="442">
                  <c:v>2.9693129999999995E-2</c:v>
                </c:pt>
                <c:pt idx="443">
                  <c:v>2.9219094999999994E-2</c:v>
                </c:pt>
                <c:pt idx="444">
                  <c:v>2.8745059999999996E-2</c:v>
                </c:pt>
                <c:pt idx="445">
                  <c:v>2.8946424999999998E-2</c:v>
                </c:pt>
                <c:pt idx="446">
                  <c:v>2.9147789999999996E-2</c:v>
                </c:pt>
                <c:pt idx="447">
                  <c:v>2.9008449999999998E-2</c:v>
                </c:pt>
                <c:pt idx="448">
                  <c:v>2.8869109999999996E-2</c:v>
                </c:pt>
                <c:pt idx="449">
                  <c:v>2.8685389999999998E-2</c:v>
                </c:pt>
                <c:pt idx="450">
                  <c:v>2.8501669999999996E-2</c:v>
                </c:pt>
                <c:pt idx="451">
                  <c:v>2.8387434999999996E-2</c:v>
                </c:pt>
                <c:pt idx="452">
                  <c:v>2.8273199999999995E-2</c:v>
                </c:pt>
                <c:pt idx="453">
                  <c:v>2.8236999999999998E-2</c:v>
                </c:pt>
                <c:pt idx="454">
                  <c:v>2.8200799999999998E-2</c:v>
                </c:pt>
                <c:pt idx="455">
                  <c:v>2.8065099999999999E-2</c:v>
                </c:pt>
                <c:pt idx="456">
                  <c:v>2.79294E-2</c:v>
                </c:pt>
                <c:pt idx="457">
                  <c:v>2.7818074999999998E-2</c:v>
                </c:pt>
                <c:pt idx="458">
                  <c:v>2.7706749999999995E-2</c:v>
                </c:pt>
                <c:pt idx="459">
                  <c:v>2.7770599999999996E-2</c:v>
                </c:pt>
                <c:pt idx="460">
                  <c:v>2.7834449999999997E-2</c:v>
                </c:pt>
                <c:pt idx="461">
                  <c:v>2.7756229999999993E-2</c:v>
                </c:pt>
                <c:pt idx="462">
                  <c:v>2.7678009999999992E-2</c:v>
                </c:pt>
                <c:pt idx="463">
                  <c:v>2.7481919999999993E-2</c:v>
                </c:pt>
                <c:pt idx="464">
                  <c:v>2.7285829999999994E-2</c:v>
                </c:pt>
                <c:pt idx="465">
                  <c:v>2.7350224999999992E-2</c:v>
                </c:pt>
                <c:pt idx="466">
                  <c:v>2.7414619999999994E-2</c:v>
                </c:pt>
                <c:pt idx="467">
                  <c:v>2.6717929999999997E-2</c:v>
                </c:pt>
                <c:pt idx="468">
                  <c:v>2.6021240000000001E-2</c:v>
                </c:pt>
                <c:pt idx="469">
                  <c:v>2.5300719999999999E-2</c:v>
                </c:pt>
                <c:pt idx="470">
                  <c:v>2.45802E-2</c:v>
                </c:pt>
                <c:pt idx="471">
                  <c:v>2.5526460000000001E-2</c:v>
                </c:pt>
                <c:pt idx="472">
                  <c:v>2.6472719999999998E-2</c:v>
                </c:pt>
                <c:pt idx="473">
                  <c:v>2.6421605000000001E-2</c:v>
                </c:pt>
                <c:pt idx="474">
                  <c:v>2.637049E-2</c:v>
                </c:pt>
                <c:pt idx="475">
                  <c:v>2.6025605E-2</c:v>
                </c:pt>
                <c:pt idx="476">
                  <c:v>2.5680719999999997E-2</c:v>
                </c:pt>
                <c:pt idx="477">
                  <c:v>2.5797679999999996E-2</c:v>
                </c:pt>
                <c:pt idx="478">
                  <c:v>2.5914639999999996E-2</c:v>
                </c:pt>
                <c:pt idx="479">
                  <c:v>2.5905179999999996E-2</c:v>
                </c:pt>
                <c:pt idx="480">
                  <c:v>2.5895719999999997E-2</c:v>
                </c:pt>
                <c:pt idx="481">
                  <c:v>2.5887174999999998E-2</c:v>
                </c:pt>
                <c:pt idx="482">
                  <c:v>2.5878629999999996E-2</c:v>
                </c:pt>
                <c:pt idx="483">
                  <c:v>2.6023059999999997E-2</c:v>
                </c:pt>
                <c:pt idx="484">
                  <c:v>2.6167489999999998E-2</c:v>
                </c:pt>
                <c:pt idx="485">
                  <c:v>2.614675E-2</c:v>
                </c:pt>
                <c:pt idx="486">
                  <c:v>2.6126010000000002E-2</c:v>
                </c:pt>
                <c:pt idx="487">
                  <c:v>2.5874074999999996E-2</c:v>
                </c:pt>
                <c:pt idx="488">
                  <c:v>2.5622139999999995E-2</c:v>
                </c:pt>
                <c:pt idx="489">
                  <c:v>2.5572844999999997E-2</c:v>
                </c:pt>
                <c:pt idx="490">
                  <c:v>2.5523549999999996E-2</c:v>
                </c:pt>
                <c:pt idx="491">
                  <c:v>2.5484624999999997E-2</c:v>
                </c:pt>
                <c:pt idx="492">
                  <c:v>2.5445699999999998E-2</c:v>
                </c:pt>
                <c:pt idx="493">
                  <c:v>2.5527189999999998E-2</c:v>
                </c:pt>
                <c:pt idx="494">
                  <c:v>2.5608679999999995E-2</c:v>
                </c:pt>
                <c:pt idx="495">
                  <c:v>2.5717639999999996E-2</c:v>
                </c:pt>
                <c:pt idx="496">
                  <c:v>2.5826599999999998E-2</c:v>
                </c:pt>
                <c:pt idx="497">
                  <c:v>2.5571389999999999E-2</c:v>
                </c:pt>
                <c:pt idx="498">
                  <c:v>2.5316180000000001E-2</c:v>
                </c:pt>
                <c:pt idx="499">
                  <c:v>2.5170115E-2</c:v>
                </c:pt>
                <c:pt idx="500">
                  <c:v>2.5024049999999996E-2</c:v>
                </c:pt>
                <c:pt idx="501">
                  <c:v>2.4831229999999996E-2</c:v>
                </c:pt>
                <c:pt idx="502">
                  <c:v>2.4638409999999993E-2</c:v>
                </c:pt>
                <c:pt idx="503">
                  <c:v>2.4765924999999994E-2</c:v>
                </c:pt>
                <c:pt idx="504">
                  <c:v>2.4893439999999999E-2</c:v>
                </c:pt>
                <c:pt idx="505">
                  <c:v>2.4721719999999999E-2</c:v>
                </c:pt>
                <c:pt idx="506">
                  <c:v>2.4549999999999999E-2</c:v>
                </c:pt>
                <c:pt idx="507">
                  <c:v>2.5550104999999997E-2</c:v>
                </c:pt>
                <c:pt idx="508">
                  <c:v>2.6550209999999998E-2</c:v>
                </c:pt>
                <c:pt idx="509">
                  <c:v>2.4486884999999996E-2</c:v>
                </c:pt>
                <c:pt idx="510">
                  <c:v>2.2423559999999995E-2</c:v>
                </c:pt>
                <c:pt idx="511">
                  <c:v>2.1661749999999997E-2</c:v>
                </c:pt>
                <c:pt idx="512">
                  <c:v>2.0899939999999999E-2</c:v>
                </c:pt>
                <c:pt idx="513">
                  <c:v>2.2120509999999996E-2</c:v>
                </c:pt>
                <c:pt idx="514">
                  <c:v>2.3341079999999997E-2</c:v>
                </c:pt>
                <c:pt idx="515">
                  <c:v>2.3195739999999999E-2</c:v>
                </c:pt>
                <c:pt idx="516">
                  <c:v>2.3050399999999999E-2</c:v>
                </c:pt>
                <c:pt idx="517">
                  <c:v>2.2746984999999997E-2</c:v>
                </c:pt>
                <c:pt idx="518">
                  <c:v>2.2443569999999996E-2</c:v>
                </c:pt>
                <c:pt idx="519">
                  <c:v>2.3026929999999998E-2</c:v>
                </c:pt>
                <c:pt idx="520">
                  <c:v>2.3610289999999999E-2</c:v>
                </c:pt>
                <c:pt idx="521">
                  <c:v>2.3873325000000001E-2</c:v>
                </c:pt>
                <c:pt idx="522">
                  <c:v>2.4136359999999999E-2</c:v>
                </c:pt>
                <c:pt idx="523">
                  <c:v>2.3769824999999998E-2</c:v>
                </c:pt>
                <c:pt idx="524">
                  <c:v>2.3403289999999997E-2</c:v>
                </c:pt>
                <c:pt idx="525">
                  <c:v>2.3352174999999996E-2</c:v>
                </c:pt>
                <c:pt idx="526">
                  <c:v>2.3301059999999992E-2</c:v>
                </c:pt>
                <c:pt idx="527">
                  <c:v>2.3296149999999995E-2</c:v>
                </c:pt>
                <c:pt idx="528">
                  <c:v>2.3291239999999994E-2</c:v>
                </c:pt>
                <c:pt idx="529">
                  <c:v>2.3485509999999998E-2</c:v>
                </c:pt>
                <c:pt idx="530">
                  <c:v>2.3679780000000001E-2</c:v>
                </c:pt>
                <c:pt idx="531">
                  <c:v>2.3610295000000003E-2</c:v>
                </c:pt>
                <c:pt idx="532">
                  <c:v>2.3540810000000002E-2</c:v>
                </c:pt>
                <c:pt idx="533">
                  <c:v>2.3646859999999999E-2</c:v>
                </c:pt>
                <c:pt idx="534">
                  <c:v>2.3752909999999999E-2</c:v>
                </c:pt>
                <c:pt idx="535">
                  <c:v>2.3605929999999997E-2</c:v>
                </c:pt>
                <c:pt idx="536">
                  <c:v>2.3458949999999992E-2</c:v>
                </c:pt>
                <c:pt idx="537">
                  <c:v>2.3330164999999993E-2</c:v>
                </c:pt>
                <c:pt idx="538">
                  <c:v>2.3201379999999997E-2</c:v>
                </c:pt>
                <c:pt idx="539">
                  <c:v>2.2988004999999995E-2</c:v>
                </c:pt>
                <c:pt idx="540">
                  <c:v>2.2774629999999994E-2</c:v>
                </c:pt>
                <c:pt idx="541">
                  <c:v>2.2640569999999999E-2</c:v>
                </c:pt>
                <c:pt idx="542">
                  <c:v>2.250651E-2</c:v>
                </c:pt>
                <c:pt idx="543">
                  <c:v>2.2390089999999998E-2</c:v>
                </c:pt>
                <c:pt idx="544">
                  <c:v>2.2273669999999995E-2</c:v>
                </c:pt>
                <c:pt idx="545">
                  <c:v>2.2107594999999997E-2</c:v>
                </c:pt>
                <c:pt idx="546">
                  <c:v>2.1941519999999999E-2</c:v>
                </c:pt>
                <c:pt idx="547">
                  <c:v>2.2139429999999998E-2</c:v>
                </c:pt>
                <c:pt idx="548">
                  <c:v>2.2337339999999997E-2</c:v>
                </c:pt>
                <c:pt idx="549">
                  <c:v>2.2449569999999995E-2</c:v>
                </c:pt>
                <c:pt idx="550">
                  <c:v>2.2561799999999996E-2</c:v>
                </c:pt>
                <c:pt idx="551">
                  <c:v>2.2246744999999995E-2</c:v>
                </c:pt>
                <c:pt idx="552">
                  <c:v>2.1931689999999993E-2</c:v>
                </c:pt>
                <c:pt idx="553">
                  <c:v>2.2026644999999997E-2</c:v>
                </c:pt>
                <c:pt idx="554">
                  <c:v>2.2121599999999998E-2</c:v>
                </c:pt>
                <c:pt idx="555">
                  <c:v>2.2297864999999997E-2</c:v>
                </c:pt>
                <c:pt idx="556">
                  <c:v>2.2474129999999995E-2</c:v>
                </c:pt>
                <c:pt idx="557">
                  <c:v>2.2443569999999996E-2</c:v>
                </c:pt>
                <c:pt idx="558">
                  <c:v>2.2413009999999997E-2</c:v>
                </c:pt>
                <c:pt idx="559">
                  <c:v>2.2087399999999997E-2</c:v>
                </c:pt>
                <c:pt idx="560">
                  <c:v>2.1761789999999996E-2</c:v>
                </c:pt>
                <c:pt idx="561">
                  <c:v>2.2196539999999994E-2</c:v>
                </c:pt>
                <c:pt idx="562">
                  <c:v>2.2631289999999995E-2</c:v>
                </c:pt>
                <c:pt idx="563">
                  <c:v>2.1779439999999994E-2</c:v>
                </c:pt>
                <c:pt idx="564">
                  <c:v>2.0927589999999992E-2</c:v>
                </c:pt>
                <c:pt idx="565">
                  <c:v>2.0272374999999995E-2</c:v>
                </c:pt>
                <c:pt idx="566">
                  <c:v>1.9617159999999998E-2</c:v>
                </c:pt>
                <c:pt idx="567">
                  <c:v>1.947873E-2</c:v>
                </c:pt>
                <c:pt idx="568">
                  <c:v>1.9340299999999998E-2</c:v>
                </c:pt>
                <c:pt idx="569">
                  <c:v>2.0505570000000001E-2</c:v>
                </c:pt>
                <c:pt idx="570">
                  <c:v>2.167084E-2</c:v>
                </c:pt>
                <c:pt idx="571">
                  <c:v>2.1838739999999999E-2</c:v>
                </c:pt>
                <c:pt idx="572">
                  <c:v>2.2006639999999997E-2</c:v>
                </c:pt>
                <c:pt idx="573">
                  <c:v>2.1343964999999999E-2</c:v>
                </c:pt>
                <c:pt idx="574">
                  <c:v>2.0681289999999998E-2</c:v>
                </c:pt>
                <c:pt idx="575">
                  <c:v>2.1326499999999998E-2</c:v>
                </c:pt>
                <c:pt idx="576">
                  <c:v>2.1971709999999998E-2</c:v>
                </c:pt>
                <c:pt idx="577">
                  <c:v>2.1412359999999998E-2</c:v>
                </c:pt>
                <c:pt idx="578">
                  <c:v>2.0853010000000002E-2</c:v>
                </c:pt>
                <c:pt idx="579">
                  <c:v>2.0594525000000002E-2</c:v>
                </c:pt>
                <c:pt idx="580">
                  <c:v>2.033604E-2</c:v>
                </c:pt>
                <c:pt idx="581">
                  <c:v>2.0350954999999997E-2</c:v>
                </c:pt>
                <c:pt idx="582">
                  <c:v>2.0365869999999998E-2</c:v>
                </c:pt>
                <c:pt idx="583">
                  <c:v>2.0507024999999998E-2</c:v>
                </c:pt>
                <c:pt idx="584">
                  <c:v>2.0648179999999995E-2</c:v>
                </c:pt>
                <c:pt idx="585">
                  <c:v>2.0748774999999997E-2</c:v>
                </c:pt>
                <c:pt idx="586">
                  <c:v>2.0849369999999996E-2</c:v>
                </c:pt>
                <c:pt idx="587">
                  <c:v>2.0996344999999996E-2</c:v>
                </c:pt>
                <c:pt idx="588">
                  <c:v>2.1143319999999997E-2</c:v>
                </c:pt>
                <c:pt idx="589">
                  <c:v>2.1217539999999997E-2</c:v>
                </c:pt>
                <c:pt idx="590">
                  <c:v>2.1291759999999996E-2</c:v>
                </c:pt>
                <c:pt idx="591">
                  <c:v>2.1054919999999998E-2</c:v>
                </c:pt>
                <c:pt idx="592">
                  <c:v>2.0818079999999996E-2</c:v>
                </c:pt>
                <c:pt idx="593">
                  <c:v>2.0513754999999995E-2</c:v>
                </c:pt>
                <c:pt idx="594">
                  <c:v>2.0209429999999997E-2</c:v>
                </c:pt>
                <c:pt idx="595">
                  <c:v>2.0669464999999995E-2</c:v>
                </c:pt>
                <c:pt idx="596">
                  <c:v>2.1129499999999992E-2</c:v>
                </c:pt>
                <c:pt idx="597">
                  <c:v>2.0581789999999996E-2</c:v>
                </c:pt>
                <c:pt idx="598">
                  <c:v>2.0034079999999999E-2</c:v>
                </c:pt>
                <c:pt idx="599">
                  <c:v>1.9987149999999999E-2</c:v>
                </c:pt>
                <c:pt idx="600">
                  <c:v>1.9940219999999998E-2</c:v>
                </c:pt>
                <c:pt idx="601">
                  <c:v>2.0197065E-2</c:v>
                </c:pt>
                <c:pt idx="602">
                  <c:v>2.0453909999999999E-2</c:v>
                </c:pt>
                <c:pt idx="603">
                  <c:v>1.9695375000000001E-2</c:v>
                </c:pt>
                <c:pt idx="604">
                  <c:v>1.893684E-2</c:v>
                </c:pt>
                <c:pt idx="605">
                  <c:v>1.8908099999999997E-2</c:v>
                </c:pt>
                <c:pt idx="606">
                  <c:v>1.8879359999999998E-2</c:v>
                </c:pt>
                <c:pt idx="607">
                  <c:v>1.9351399999999998E-2</c:v>
                </c:pt>
                <c:pt idx="608">
                  <c:v>1.9823439999999998E-2</c:v>
                </c:pt>
                <c:pt idx="609">
                  <c:v>2.0031169999999997E-2</c:v>
                </c:pt>
                <c:pt idx="610">
                  <c:v>2.0238899999999997E-2</c:v>
                </c:pt>
                <c:pt idx="611">
                  <c:v>2.0704024999999997E-2</c:v>
                </c:pt>
                <c:pt idx="612">
                  <c:v>2.1169149999999998E-2</c:v>
                </c:pt>
                <c:pt idx="613">
                  <c:v>2.1245185E-2</c:v>
                </c:pt>
                <c:pt idx="614">
                  <c:v>2.1321219999999998E-2</c:v>
                </c:pt>
                <c:pt idx="615">
                  <c:v>2.0339129999999997E-2</c:v>
                </c:pt>
                <c:pt idx="616">
                  <c:v>1.9357039999999999E-2</c:v>
                </c:pt>
                <c:pt idx="617">
                  <c:v>1.9019969999999997E-2</c:v>
                </c:pt>
                <c:pt idx="618">
                  <c:v>1.8682899999999995E-2</c:v>
                </c:pt>
                <c:pt idx="619">
                  <c:v>1.8989589999999994E-2</c:v>
                </c:pt>
                <c:pt idx="620">
                  <c:v>1.9296279999999996E-2</c:v>
                </c:pt>
                <c:pt idx="621">
                  <c:v>1.9418519999999995E-2</c:v>
                </c:pt>
                <c:pt idx="622">
                  <c:v>1.9540759999999997E-2</c:v>
                </c:pt>
                <c:pt idx="623">
                  <c:v>1.9402509999999998E-2</c:v>
                </c:pt>
                <c:pt idx="624">
                  <c:v>1.9264259999999995E-2</c:v>
                </c:pt>
                <c:pt idx="625">
                  <c:v>1.9356124999999995E-2</c:v>
                </c:pt>
                <c:pt idx="626">
                  <c:v>1.9447989999999998E-2</c:v>
                </c:pt>
                <c:pt idx="627">
                  <c:v>1.93896E-2</c:v>
                </c:pt>
                <c:pt idx="628">
                  <c:v>1.9331209999999998E-2</c:v>
                </c:pt>
                <c:pt idx="629">
                  <c:v>1.9173859999999997E-2</c:v>
                </c:pt>
                <c:pt idx="630">
                  <c:v>1.9016509999999997E-2</c:v>
                </c:pt>
                <c:pt idx="631">
                  <c:v>1.8690174999999996E-2</c:v>
                </c:pt>
                <c:pt idx="632">
                  <c:v>1.8363839999999996E-2</c:v>
                </c:pt>
                <c:pt idx="633">
                  <c:v>1.8850979999999996E-2</c:v>
                </c:pt>
                <c:pt idx="634">
                  <c:v>1.9338119999999997E-2</c:v>
                </c:pt>
                <c:pt idx="635">
                  <c:v>1.9042159999999995E-2</c:v>
                </c:pt>
                <c:pt idx="636">
                  <c:v>1.8746199999999994E-2</c:v>
                </c:pt>
                <c:pt idx="637">
                  <c:v>1.8654884999999996E-2</c:v>
                </c:pt>
                <c:pt idx="638">
                  <c:v>1.8563569999999998E-2</c:v>
                </c:pt>
                <c:pt idx="639">
                  <c:v>1.876512E-2</c:v>
                </c:pt>
                <c:pt idx="640">
                  <c:v>1.8966670000000001E-2</c:v>
                </c:pt>
                <c:pt idx="641">
                  <c:v>1.8778765000000003E-2</c:v>
                </c:pt>
                <c:pt idx="642">
                  <c:v>1.8590860000000001E-2</c:v>
                </c:pt>
                <c:pt idx="643">
                  <c:v>1.87493E-2</c:v>
                </c:pt>
                <c:pt idx="644">
                  <c:v>1.8907739999999999E-2</c:v>
                </c:pt>
                <c:pt idx="645">
                  <c:v>1.846735E-2</c:v>
                </c:pt>
                <c:pt idx="646">
                  <c:v>1.8026959999999998E-2</c:v>
                </c:pt>
                <c:pt idx="647">
                  <c:v>1.7590939999999999E-2</c:v>
                </c:pt>
                <c:pt idx="648">
                  <c:v>1.7154919999999997E-2</c:v>
                </c:pt>
                <c:pt idx="649">
                  <c:v>1.7116719999999995E-2</c:v>
                </c:pt>
                <c:pt idx="650">
                  <c:v>1.7078519999999996E-2</c:v>
                </c:pt>
                <c:pt idx="651">
                  <c:v>1.7745009999999999E-2</c:v>
                </c:pt>
                <c:pt idx="652">
                  <c:v>1.8411499999999997E-2</c:v>
                </c:pt>
                <c:pt idx="653">
                  <c:v>1.9267719999999995E-2</c:v>
                </c:pt>
                <c:pt idx="654">
                  <c:v>2.0123939999999996E-2</c:v>
                </c:pt>
                <c:pt idx="655">
                  <c:v>1.976377E-2</c:v>
                </c:pt>
                <c:pt idx="656">
                  <c:v>1.94036E-2</c:v>
                </c:pt>
                <c:pt idx="657">
                  <c:v>1.8452064999999997E-2</c:v>
                </c:pt>
                <c:pt idx="658">
                  <c:v>1.7500529999999997E-2</c:v>
                </c:pt>
                <c:pt idx="659">
                  <c:v>1.7382294999999999E-2</c:v>
                </c:pt>
                <c:pt idx="660">
                  <c:v>1.7264059999999998E-2</c:v>
                </c:pt>
                <c:pt idx="661">
                  <c:v>1.7126539999999996E-2</c:v>
                </c:pt>
                <c:pt idx="662">
                  <c:v>1.6989019999999997E-2</c:v>
                </c:pt>
                <c:pt idx="663">
                  <c:v>1.6285599999999997E-2</c:v>
                </c:pt>
                <c:pt idx="664">
                  <c:v>1.5582179999999996E-2</c:v>
                </c:pt>
                <c:pt idx="665">
                  <c:v>1.5863584999999999E-2</c:v>
                </c:pt>
                <c:pt idx="666">
                  <c:v>1.6144990000000001E-2</c:v>
                </c:pt>
                <c:pt idx="667">
                  <c:v>1.6567735E-2</c:v>
                </c:pt>
                <c:pt idx="668">
                  <c:v>1.6990479999999999E-2</c:v>
                </c:pt>
                <c:pt idx="669">
                  <c:v>1.7174744999999998E-2</c:v>
                </c:pt>
                <c:pt idx="670">
                  <c:v>1.7359010000000001E-2</c:v>
                </c:pt>
                <c:pt idx="671">
                  <c:v>1.7392665000000002E-2</c:v>
                </c:pt>
                <c:pt idx="672">
                  <c:v>1.7426319999999999E-2</c:v>
                </c:pt>
                <c:pt idx="673">
                  <c:v>1.6982109999999998E-2</c:v>
                </c:pt>
                <c:pt idx="674">
                  <c:v>1.6537899999999998E-2</c:v>
                </c:pt>
                <c:pt idx="675">
                  <c:v>1.6804569999999998E-2</c:v>
                </c:pt>
                <c:pt idx="676">
                  <c:v>1.7071239999999998E-2</c:v>
                </c:pt>
                <c:pt idx="677">
                  <c:v>1.8192854999999997E-2</c:v>
                </c:pt>
                <c:pt idx="678">
                  <c:v>1.9314469999999997E-2</c:v>
                </c:pt>
                <c:pt idx="679">
                  <c:v>1.7973114999999998E-2</c:v>
                </c:pt>
                <c:pt idx="680">
                  <c:v>1.6631759999999999E-2</c:v>
                </c:pt>
                <c:pt idx="681">
                  <c:v>1.5384269999999999E-2</c:v>
                </c:pt>
                <c:pt idx="682">
                  <c:v>1.4136779999999998E-2</c:v>
                </c:pt>
                <c:pt idx="683">
                  <c:v>1.3524675E-2</c:v>
                </c:pt>
                <c:pt idx="684">
                  <c:v>1.291257E-2</c:v>
                </c:pt>
                <c:pt idx="685">
                  <c:v>1.2923119999999998E-2</c:v>
                </c:pt>
                <c:pt idx="686">
                  <c:v>1.2933669999999996E-2</c:v>
                </c:pt>
                <c:pt idx="687">
                  <c:v>1.5142704999999996E-2</c:v>
                </c:pt>
                <c:pt idx="688">
                  <c:v>1.7351739999999997E-2</c:v>
                </c:pt>
                <c:pt idx="689">
                  <c:v>1.8730379999999998E-2</c:v>
                </c:pt>
                <c:pt idx="690">
                  <c:v>2.0109019999999998E-2</c:v>
                </c:pt>
                <c:pt idx="691">
                  <c:v>1.8774214999999997E-2</c:v>
                </c:pt>
                <c:pt idx="692">
                  <c:v>1.7439409999999995E-2</c:v>
                </c:pt>
                <c:pt idx="693">
                  <c:v>1.6932809999999996E-2</c:v>
                </c:pt>
                <c:pt idx="694">
                  <c:v>1.6426209999999997E-2</c:v>
                </c:pt>
                <c:pt idx="695">
                  <c:v>1.6342169999999996E-2</c:v>
                </c:pt>
                <c:pt idx="696">
                  <c:v>1.6258129999999999E-2</c:v>
                </c:pt>
                <c:pt idx="697">
                  <c:v>1.6935539999999999E-2</c:v>
                </c:pt>
                <c:pt idx="698">
                  <c:v>1.7612949999999995E-2</c:v>
                </c:pt>
                <c:pt idx="699">
                  <c:v>1.7477974999999996E-2</c:v>
                </c:pt>
                <c:pt idx="700">
                  <c:v>1.7342999999999997E-2</c:v>
                </c:pt>
                <c:pt idx="701">
                  <c:v>1.7355369999999995E-2</c:v>
                </c:pt>
                <c:pt idx="702">
                  <c:v>1.7367739999999996E-2</c:v>
                </c:pt>
                <c:pt idx="703">
                  <c:v>1.7125084999999998E-2</c:v>
                </c:pt>
                <c:pt idx="704">
                  <c:v>1.6882429999999997E-2</c:v>
                </c:pt>
                <c:pt idx="705">
                  <c:v>1.7142729999999995E-2</c:v>
                </c:pt>
                <c:pt idx="706">
                  <c:v>1.7403029999999996E-2</c:v>
                </c:pt>
                <c:pt idx="707">
                  <c:v>1.6826214999999999E-2</c:v>
                </c:pt>
                <c:pt idx="708">
                  <c:v>1.6249399999999997E-2</c:v>
                </c:pt>
                <c:pt idx="709">
                  <c:v>1.5779179999999997E-2</c:v>
                </c:pt>
                <c:pt idx="710">
                  <c:v>1.5308959999999996E-2</c:v>
                </c:pt>
                <c:pt idx="711">
                  <c:v>1.5152159999999998E-2</c:v>
                </c:pt>
                <c:pt idx="712">
                  <c:v>1.4995359999999998E-2</c:v>
                </c:pt>
                <c:pt idx="713">
                  <c:v>1.5159799999999998E-2</c:v>
                </c:pt>
                <c:pt idx="714">
                  <c:v>1.5324239999999996E-2</c:v>
                </c:pt>
                <c:pt idx="715">
                  <c:v>1.5564534999999997E-2</c:v>
                </c:pt>
                <c:pt idx="716">
                  <c:v>1.5804829999999999E-2</c:v>
                </c:pt>
                <c:pt idx="717">
                  <c:v>1.6024934999999997E-2</c:v>
                </c:pt>
                <c:pt idx="718">
                  <c:v>1.6245039999999995E-2</c:v>
                </c:pt>
                <c:pt idx="719">
                  <c:v>1.6152994999999996E-2</c:v>
                </c:pt>
                <c:pt idx="720">
                  <c:v>1.6060949999999997E-2</c:v>
                </c:pt>
                <c:pt idx="721">
                  <c:v>1.6057314999999996E-2</c:v>
                </c:pt>
                <c:pt idx="722">
                  <c:v>1.6053679999999997E-2</c:v>
                </c:pt>
                <c:pt idx="723">
                  <c:v>1.5474314999999995E-2</c:v>
                </c:pt>
                <c:pt idx="724">
                  <c:v>1.4894949999999995E-2</c:v>
                </c:pt>
                <c:pt idx="725">
                  <c:v>1.4523139999999997E-2</c:v>
                </c:pt>
                <c:pt idx="726">
                  <c:v>1.4151329999999998E-2</c:v>
                </c:pt>
                <c:pt idx="727">
                  <c:v>1.4128594999999997E-2</c:v>
                </c:pt>
                <c:pt idx="728">
                  <c:v>1.4105859999999998E-2</c:v>
                </c:pt>
                <c:pt idx="729">
                  <c:v>1.4564619999999997E-2</c:v>
                </c:pt>
                <c:pt idx="730">
                  <c:v>1.5023379999999996E-2</c:v>
                </c:pt>
                <c:pt idx="731">
                  <c:v>1.4695769999999997E-2</c:v>
                </c:pt>
                <c:pt idx="732">
                  <c:v>1.4368159999999998E-2</c:v>
                </c:pt>
                <c:pt idx="733">
                  <c:v>1.4663024999999998E-2</c:v>
                </c:pt>
                <c:pt idx="734">
                  <c:v>1.4957889999999998E-2</c:v>
                </c:pt>
                <c:pt idx="735">
                  <c:v>1.4689584999999998E-2</c:v>
                </c:pt>
                <c:pt idx="736">
                  <c:v>1.4421279999999998E-2</c:v>
                </c:pt>
                <c:pt idx="737">
                  <c:v>1.4736514999999999E-2</c:v>
                </c:pt>
                <c:pt idx="738">
                  <c:v>1.5051749999999997E-2</c:v>
                </c:pt>
                <c:pt idx="739">
                  <c:v>1.4931694999999998E-2</c:v>
                </c:pt>
                <c:pt idx="740">
                  <c:v>1.4811639999999997E-2</c:v>
                </c:pt>
                <c:pt idx="741">
                  <c:v>1.4753614999999998E-2</c:v>
                </c:pt>
                <c:pt idx="742">
                  <c:v>1.4695589999999996E-2</c:v>
                </c:pt>
                <c:pt idx="743">
                  <c:v>1.4548974999999997E-2</c:v>
                </c:pt>
                <c:pt idx="744">
                  <c:v>1.4402359999999998E-2</c:v>
                </c:pt>
                <c:pt idx="745">
                  <c:v>1.4468024999999999E-2</c:v>
                </c:pt>
                <c:pt idx="746">
                  <c:v>1.4533689999999998E-2</c:v>
                </c:pt>
                <c:pt idx="747">
                  <c:v>1.4454744999999998E-2</c:v>
                </c:pt>
                <c:pt idx="748">
                  <c:v>1.4375799999999998E-2</c:v>
                </c:pt>
                <c:pt idx="749">
                  <c:v>1.4275569999999998E-2</c:v>
                </c:pt>
                <c:pt idx="750">
                  <c:v>1.4175339999999998E-2</c:v>
                </c:pt>
                <c:pt idx="751">
                  <c:v>1.4410179999999998E-2</c:v>
                </c:pt>
                <c:pt idx="752">
                  <c:v>1.464502E-2</c:v>
                </c:pt>
                <c:pt idx="753">
                  <c:v>1.4189714999999999E-2</c:v>
                </c:pt>
                <c:pt idx="754">
                  <c:v>1.3734409999999999E-2</c:v>
                </c:pt>
                <c:pt idx="755">
                  <c:v>1.3505574999999999E-2</c:v>
                </c:pt>
                <c:pt idx="756">
                  <c:v>1.327674E-2</c:v>
                </c:pt>
                <c:pt idx="757">
                  <c:v>1.3386245E-2</c:v>
                </c:pt>
                <c:pt idx="758">
                  <c:v>1.3495749999999999E-2</c:v>
                </c:pt>
                <c:pt idx="759">
                  <c:v>1.3619989999999998E-2</c:v>
                </c:pt>
                <c:pt idx="760">
                  <c:v>1.374423E-2</c:v>
                </c:pt>
                <c:pt idx="761">
                  <c:v>1.3679654999999999E-2</c:v>
                </c:pt>
                <c:pt idx="762">
                  <c:v>1.3615079999999996E-2</c:v>
                </c:pt>
                <c:pt idx="763">
                  <c:v>1.3405709999999998E-2</c:v>
                </c:pt>
                <c:pt idx="764">
                  <c:v>1.3196339999999997E-2</c:v>
                </c:pt>
                <c:pt idx="765">
                  <c:v>1.3282564999999998E-2</c:v>
                </c:pt>
                <c:pt idx="766">
                  <c:v>1.3368789999999998E-2</c:v>
                </c:pt>
                <c:pt idx="767">
                  <c:v>1.3278744999999998E-2</c:v>
                </c:pt>
                <c:pt idx="768">
                  <c:v>1.3188699999999999E-2</c:v>
                </c:pt>
                <c:pt idx="769">
                  <c:v>1.3141949999999999E-2</c:v>
                </c:pt>
                <c:pt idx="770">
                  <c:v>1.3095199999999998E-2</c:v>
                </c:pt>
                <c:pt idx="771">
                  <c:v>1.3296384999999997E-2</c:v>
                </c:pt>
                <c:pt idx="772">
                  <c:v>1.3497569999999997E-2</c:v>
                </c:pt>
                <c:pt idx="773">
                  <c:v>1.3155774999999998E-2</c:v>
                </c:pt>
                <c:pt idx="774">
                  <c:v>1.2813979999999997E-2</c:v>
                </c:pt>
                <c:pt idx="775">
                  <c:v>1.2946039999999999E-2</c:v>
                </c:pt>
                <c:pt idx="776">
                  <c:v>1.3078099999999999E-2</c:v>
                </c:pt>
                <c:pt idx="777">
                  <c:v>1.3438449999999998E-2</c:v>
                </c:pt>
                <c:pt idx="778">
                  <c:v>1.3798799999999996E-2</c:v>
                </c:pt>
                <c:pt idx="779">
                  <c:v>1.3663104999999997E-2</c:v>
                </c:pt>
                <c:pt idx="780">
                  <c:v>1.3527409999999997E-2</c:v>
                </c:pt>
                <c:pt idx="781">
                  <c:v>1.3165054999999997E-2</c:v>
                </c:pt>
                <c:pt idx="782">
                  <c:v>1.2802699999999997E-2</c:v>
                </c:pt>
                <c:pt idx="783">
                  <c:v>1.3019894999999998E-2</c:v>
                </c:pt>
                <c:pt idx="784">
                  <c:v>1.323709E-2</c:v>
                </c:pt>
                <c:pt idx="785">
                  <c:v>1.3391524999999998E-2</c:v>
                </c:pt>
                <c:pt idx="786">
                  <c:v>1.3545959999999998E-2</c:v>
                </c:pt>
                <c:pt idx="787">
                  <c:v>1.3550689999999999E-2</c:v>
                </c:pt>
                <c:pt idx="788">
                  <c:v>1.355542E-2</c:v>
                </c:pt>
                <c:pt idx="789">
                  <c:v>1.3432634999999998E-2</c:v>
                </c:pt>
                <c:pt idx="790">
                  <c:v>1.3309849999999998E-2</c:v>
                </c:pt>
                <c:pt idx="791">
                  <c:v>1.3425904999999998E-2</c:v>
                </c:pt>
                <c:pt idx="792">
                  <c:v>1.3541959999999997E-2</c:v>
                </c:pt>
                <c:pt idx="793">
                  <c:v>1.3536684999999998E-2</c:v>
                </c:pt>
                <c:pt idx="794">
                  <c:v>1.3531409999999999E-2</c:v>
                </c:pt>
                <c:pt idx="795">
                  <c:v>1.3228174999999998E-2</c:v>
                </c:pt>
                <c:pt idx="796">
                  <c:v>1.2924939999999998E-2</c:v>
                </c:pt>
                <c:pt idx="797">
                  <c:v>1.2840174999999999E-2</c:v>
                </c:pt>
                <c:pt idx="798">
                  <c:v>1.275541E-2</c:v>
                </c:pt>
                <c:pt idx="799">
                  <c:v>1.3356415E-2</c:v>
                </c:pt>
                <c:pt idx="800">
                  <c:v>1.395742E-2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FE-4C71-A014-FF2ADB0F709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Spectra!$H$3:$H$803</c:f>
              <c:numCache>
                <c:formatCode>0.00E+00</c:formatCode>
                <c:ptCount val="801"/>
                <c:pt idx="0">
                  <c:v>1.3620109999999997E-4</c:v>
                </c:pt>
                <c:pt idx="1">
                  <c:v>1.4309359999999999E-4</c:v>
                </c:pt>
                <c:pt idx="2">
                  <c:v>1.1679859999999999E-4</c:v>
                </c:pt>
                <c:pt idx="3">
                  <c:v>1.6068809999999998E-4</c:v>
                </c:pt>
                <c:pt idx="4">
                  <c:v>2.2696779999999996E-4</c:v>
                </c:pt>
                <c:pt idx="5">
                  <c:v>2.4909150000000001E-4</c:v>
                </c:pt>
                <c:pt idx="6">
                  <c:v>2.3100759999999999E-4</c:v>
                </c:pt>
                <c:pt idx="7">
                  <c:v>2.5735369999999995E-4</c:v>
                </c:pt>
                <c:pt idx="8">
                  <c:v>2.144541E-4</c:v>
                </c:pt>
                <c:pt idx="9">
                  <c:v>2.6447249999999992E-4</c:v>
                </c:pt>
                <c:pt idx="10">
                  <c:v>2.9982219999999995E-4</c:v>
                </c:pt>
                <c:pt idx="11">
                  <c:v>3.013782E-4</c:v>
                </c:pt>
                <c:pt idx="12">
                  <c:v>3.2236959999999996E-4</c:v>
                </c:pt>
                <c:pt idx="13">
                  <c:v>3.8143919999999998E-4</c:v>
                </c:pt>
                <c:pt idx="14">
                  <c:v>5.4222589999999989E-4</c:v>
                </c:pt>
                <c:pt idx="15">
                  <c:v>5.7542789999999986E-4</c:v>
                </c:pt>
                <c:pt idx="16">
                  <c:v>6.2397069999999986E-4</c:v>
                </c:pt>
                <c:pt idx="17">
                  <c:v>6.4124739999999998E-4</c:v>
                </c:pt>
                <c:pt idx="18">
                  <c:v>6.3503799999999988E-4</c:v>
                </c:pt>
                <c:pt idx="19">
                  <c:v>6.4548439999999991E-4</c:v>
                </c:pt>
                <c:pt idx="20">
                  <c:v>6.4668979999999994E-4</c:v>
                </c:pt>
                <c:pt idx="21">
                  <c:v>7.3044339999999992E-4</c:v>
                </c:pt>
                <c:pt idx="22">
                  <c:v>6.0771669999999992E-4</c:v>
                </c:pt>
                <c:pt idx="23">
                  <c:v>6.8062219999999994E-4</c:v>
                </c:pt>
                <c:pt idx="24">
                  <c:v>5.8744479999999996E-4</c:v>
                </c:pt>
                <c:pt idx="25">
                  <c:v>6.3416139999999987E-4</c:v>
                </c:pt>
                <c:pt idx="26">
                  <c:v>8.0955839999999996E-4</c:v>
                </c:pt>
                <c:pt idx="27">
                  <c:v>9.1709039999999988E-4</c:v>
                </c:pt>
                <c:pt idx="28">
                  <c:v>8.5043079999999984E-4</c:v>
                </c:pt>
                <c:pt idx="29">
                  <c:v>6.955978E-4</c:v>
                </c:pt>
                <c:pt idx="30">
                  <c:v>6.8485919999999986E-4</c:v>
                </c:pt>
                <c:pt idx="31">
                  <c:v>7.5206669999999993E-4</c:v>
                </c:pt>
                <c:pt idx="32">
                  <c:v>1.0637049999999996E-3</c:v>
                </c:pt>
                <c:pt idx="33">
                  <c:v>1.1076459999999997E-3</c:v>
                </c:pt>
                <c:pt idx="34">
                  <c:v>1.0104499999999998E-3</c:v>
                </c:pt>
                <c:pt idx="35">
                  <c:v>5.499693999999999E-4</c:v>
                </c:pt>
                <c:pt idx="36">
                  <c:v>7.0798010000000001E-4</c:v>
                </c:pt>
                <c:pt idx="37">
                  <c:v>1.2793539999999997E-3</c:v>
                </c:pt>
                <c:pt idx="38">
                  <c:v>1.349264E-3</c:v>
                </c:pt>
                <c:pt idx="39">
                  <c:v>1.9047489999999996E-3</c:v>
                </c:pt>
                <c:pt idx="40">
                  <c:v>2.7674149999999992E-3</c:v>
                </c:pt>
                <c:pt idx="41">
                  <c:v>3.0634579999999998E-3</c:v>
                </c:pt>
                <c:pt idx="42">
                  <c:v>3.0965860000000001E-3</c:v>
                </c:pt>
                <c:pt idx="43">
                  <c:v>2.9500809999999998E-3</c:v>
                </c:pt>
                <c:pt idx="44">
                  <c:v>2.9783889999999993E-3</c:v>
                </c:pt>
                <c:pt idx="45">
                  <c:v>2.993328E-3</c:v>
                </c:pt>
                <c:pt idx="46">
                  <c:v>3.0626539999999997E-3</c:v>
                </c:pt>
                <c:pt idx="47">
                  <c:v>2.3484639999999998E-3</c:v>
                </c:pt>
                <c:pt idx="48">
                  <c:v>2.7810759999999999E-3</c:v>
                </c:pt>
                <c:pt idx="49">
                  <c:v>2.4193979999999997E-3</c:v>
                </c:pt>
                <c:pt idx="50">
                  <c:v>2.1421299999999995E-3</c:v>
                </c:pt>
                <c:pt idx="51">
                  <c:v>2.2122229999999997E-3</c:v>
                </c:pt>
                <c:pt idx="52">
                  <c:v>2.165251E-3</c:v>
                </c:pt>
                <c:pt idx="53">
                  <c:v>3.2395850000000001E-3</c:v>
                </c:pt>
                <c:pt idx="54">
                  <c:v>3.5045069999999992E-3</c:v>
                </c:pt>
                <c:pt idx="55">
                  <c:v>3.7358609999999992E-3</c:v>
                </c:pt>
                <c:pt idx="56">
                  <c:v>3.2774259999999995E-3</c:v>
                </c:pt>
                <c:pt idx="57">
                  <c:v>3.655139E-3</c:v>
                </c:pt>
                <c:pt idx="58">
                  <c:v>4.4309479999999997E-3</c:v>
                </c:pt>
                <c:pt idx="59">
                  <c:v>4.1482379999999994E-3</c:v>
                </c:pt>
                <c:pt idx="60">
                  <c:v>3.7877279999999993E-3</c:v>
                </c:pt>
                <c:pt idx="61">
                  <c:v>5.8101629999999993E-3</c:v>
                </c:pt>
                <c:pt idx="62">
                  <c:v>5.2604489999999995E-3</c:v>
                </c:pt>
                <c:pt idx="63">
                  <c:v>4.9477879999999981E-3</c:v>
                </c:pt>
                <c:pt idx="64">
                  <c:v>5.5588649999999988E-3</c:v>
                </c:pt>
                <c:pt idx="65">
                  <c:v>5.4759509999999997E-3</c:v>
                </c:pt>
                <c:pt idx="66">
                  <c:v>4.9382909999999992E-3</c:v>
                </c:pt>
                <c:pt idx="67">
                  <c:v>6.2148689999999987E-3</c:v>
                </c:pt>
                <c:pt idx="68">
                  <c:v>6.3076449999999989E-3</c:v>
                </c:pt>
                <c:pt idx="69">
                  <c:v>5.99681E-3</c:v>
                </c:pt>
                <c:pt idx="70">
                  <c:v>6.2912079999999995E-3</c:v>
                </c:pt>
                <c:pt idx="71">
                  <c:v>5.9982709999999986E-3</c:v>
                </c:pt>
                <c:pt idx="72">
                  <c:v>5.7053339999999994E-3</c:v>
                </c:pt>
                <c:pt idx="73">
                  <c:v>6.5238779999999994E-3</c:v>
                </c:pt>
                <c:pt idx="74">
                  <c:v>7.3427859999999987E-3</c:v>
                </c:pt>
                <c:pt idx="75">
                  <c:v>8.2265285E-3</c:v>
                </c:pt>
                <c:pt idx="76">
                  <c:v>9.1102709999999996E-3</c:v>
                </c:pt>
                <c:pt idx="77">
                  <c:v>1.0263029999999999E-2</c:v>
                </c:pt>
                <c:pt idx="78">
                  <c:v>9.099313999999999E-3</c:v>
                </c:pt>
                <c:pt idx="79">
                  <c:v>9.7030850000000002E-3</c:v>
                </c:pt>
                <c:pt idx="80">
                  <c:v>1.1235339999999998E-2</c:v>
                </c:pt>
                <c:pt idx="81">
                  <c:v>1.0155639999999999E-2</c:v>
                </c:pt>
                <c:pt idx="82">
                  <c:v>9.4985409999999992E-3</c:v>
                </c:pt>
                <c:pt idx="83">
                  <c:v>9.7933040000000009E-3</c:v>
                </c:pt>
                <c:pt idx="84">
                  <c:v>9.3104319999999987E-3</c:v>
                </c:pt>
                <c:pt idx="85">
                  <c:v>9.8236209999999977E-3</c:v>
                </c:pt>
                <c:pt idx="86">
                  <c:v>8.903168999999999E-3</c:v>
                </c:pt>
                <c:pt idx="87">
                  <c:v>7.6821119999999996E-3</c:v>
                </c:pt>
                <c:pt idx="88">
                  <c:v>8.5039429999999982E-3</c:v>
                </c:pt>
                <c:pt idx="89">
                  <c:v>9.7008929999999986E-3</c:v>
                </c:pt>
                <c:pt idx="90">
                  <c:v>1.0172079999999998E-2</c:v>
                </c:pt>
                <c:pt idx="91">
                  <c:v>9.4799120000000001E-3</c:v>
                </c:pt>
                <c:pt idx="92">
                  <c:v>9.7019889999999994E-3</c:v>
                </c:pt>
                <c:pt idx="93">
                  <c:v>1.0145779999999997E-2</c:v>
                </c:pt>
                <c:pt idx="94">
                  <c:v>7.4373879999999988E-3</c:v>
                </c:pt>
                <c:pt idx="95">
                  <c:v>8.0959489999999981E-3</c:v>
                </c:pt>
                <c:pt idx="96">
                  <c:v>9.1288989999999993E-3</c:v>
                </c:pt>
                <c:pt idx="97">
                  <c:v>8.6211899999999991E-3</c:v>
                </c:pt>
                <c:pt idx="98">
                  <c:v>9.4075909999999999E-3</c:v>
                </c:pt>
                <c:pt idx="99">
                  <c:v>8.8677389999999995E-3</c:v>
                </c:pt>
                <c:pt idx="100">
                  <c:v>1.0540989999999997E-2</c:v>
                </c:pt>
                <c:pt idx="101">
                  <c:v>1.0822599999999998E-2</c:v>
                </c:pt>
                <c:pt idx="102">
                  <c:v>9.0426979999999983E-3</c:v>
                </c:pt>
                <c:pt idx="103">
                  <c:v>1.0157469999999998E-2</c:v>
                </c:pt>
                <c:pt idx="104">
                  <c:v>1.2277430000000001E-2</c:v>
                </c:pt>
                <c:pt idx="105">
                  <c:v>1.1592199999999999E-2</c:v>
                </c:pt>
                <c:pt idx="106">
                  <c:v>9.5496769999999977E-3</c:v>
                </c:pt>
                <c:pt idx="107">
                  <c:v>8.1050799999999989E-3</c:v>
                </c:pt>
                <c:pt idx="108">
                  <c:v>6.2627179999999996E-3</c:v>
                </c:pt>
                <c:pt idx="109">
                  <c:v>7.221520999999999E-3</c:v>
                </c:pt>
                <c:pt idx="110">
                  <c:v>1.0177189999999997E-2</c:v>
                </c:pt>
                <c:pt idx="111">
                  <c:v>9.7041809999999992E-3</c:v>
                </c:pt>
                <c:pt idx="112">
                  <c:v>9.7348629999999981E-3</c:v>
                </c:pt>
                <c:pt idx="113">
                  <c:v>1.024513E-2</c:v>
                </c:pt>
                <c:pt idx="114">
                  <c:v>1.06239E-2</c:v>
                </c:pt>
                <c:pt idx="115">
                  <c:v>1.2090049999999998E-2</c:v>
                </c:pt>
                <c:pt idx="116">
                  <c:v>1.4359399999999996E-2</c:v>
                </c:pt>
                <c:pt idx="117">
                  <c:v>1.5154199999999996E-2</c:v>
                </c:pt>
                <c:pt idx="118">
                  <c:v>1.2262449999999998E-2</c:v>
                </c:pt>
                <c:pt idx="119">
                  <c:v>1.2994429999999998E-2</c:v>
                </c:pt>
                <c:pt idx="120">
                  <c:v>1.334544E-2</c:v>
                </c:pt>
                <c:pt idx="121">
                  <c:v>1.2588989999999996E-2</c:v>
                </c:pt>
                <c:pt idx="122">
                  <c:v>1.0428489999999999E-2</c:v>
                </c:pt>
                <c:pt idx="123">
                  <c:v>7.7913239999999996E-3</c:v>
                </c:pt>
                <c:pt idx="124">
                  <c:v>6.9106860000000001E-3</c:v>
                </c:pt>
                <c:pt idx="125">
                  <c:v>8.4005749999999987E-3</c:v>
                </c:pt>
                <c:pt idx="126">
                  <c:v>9.2428600000000003E-3</c:v>
                </c:pt>
                <c:pt idx="127">
                  <c:v>1.1605349999999999E-2</c:v>
                </c:pt>
                <c:pt idx="128">
                  <c:v>1.4005099999999998E-2</c:v>
                </c:pt>
                <c:pt idx="129">
                  <c:v>1.2086029999999999E-2</c:v>
                </c:pt>
                <c:pt idx="130">
                  <c:v>1.0317079999999999E-2</c:v>
                </c:pt>
                <c:pt idx="131">
                  <c:v>1.0332059999999999E-2</c:v>
                </c:pt>
                <c:pt idx="132">
                  <c:v>7.5100749999999997E-3</c:v>
                </c:pt>
                <c:pt idx="133">
                  <c:v>5.7140999999999989E-3</c:v>
                </c:pt>
                <c:pt idx="134">
                  <c:v>6.744858999999998E-3</c:v>
                </c:pt>
                <c:pt idx="135">
                  <c:v>7.7387259999999996E-3</c:v>
                </c:pt>
                <c:pt idx="136">
                  <c:v>7.3661629999999994E-3</c:v>
                </c:pt>
                <c:pt idx="137">
                  <c:v>7.8512259999999976E-3</c:v>
                </c:pt>
                <c:pt idx="138">
                  <c:v>8.2011439999999988E-3</c:v>
                </c:pt>
                <c:pt idx="139">
                  <c:v>1.008734E-2</c:v>
                </c:pt>
                <c:pt idx="140">
                  <c:v>1.1851169999999998E-2</c:v>
                </c:pt>
                <c:pt idx="141">
                  <c:v>1.313286E-2</c:v>
                </c:pt>
                <c:pt idx="142">
                  <c:v>1.2885579999999997E-2</c:v>
                </c:pt>
                <c:pt idx="143">
                  <c:v>9.0711889999999986E-3</c:v>
                </c:pt>
                <c:pt idx="144">
                  <c:v>9.1606770000000007E-3</c:v>
                </c:pt>
                <c:pt idx="145">
                  <c:v>1.3352379999999999E-2</c:v>
                </c:pt>
                <c:pt idx="146">
                  <c:v>1.3022919999999999E-2</c:v>
                </c:pt>
                <c:pt idx="147">
                  <c:v>1.0634489999999998E-2</c:v>
                </c:pt>
                <c:pt idx="148">
                  <c:v>1.6064789999999999E-2</c:v>
                </c:pt>
                <c:pt idx="149">
                  <c:v>2.1370159999999999E-2</c:v>
                </c:pt>
                <c:pt idx="150">
                  <c:v>2.2497719999999995E-2</c:v>
                </c:pt>
                <c:pt idx="151">
                  <c:v>2.3737399999999999E-2</c:v>
                </c:pt>
                <c:pt idx="152">
                  <c:v>2.4608179999999997E-2</c:v>
                </c:pt>
                <c:pt idx="153">
                  <c:v>2.2839969999999998E-2</c:v>
                </c:pt>
                <c:pt idx="154">
                  <c:v>1.9906569999999998E-2</c:v>
                </c:pt>
                <c:pt idx="155">
                  <c:v>2.1600639999999997E-2</c:v>
                </c:pt>
                <c:pt idx="156">
                  <c:v>2.1238669999999998E-2</c:v>
                </c:pt>
                <c:pt idx="157">
                  <c:v>2.0089929999999995E-2</c:v>
                </c:pt>
                <c:pt idx="158">
                  <c:v>2.289037E-2</c:v>
                </c:pt>
                <c:pt idx="159">
                  <c:v>2.6047299999999995E-2</c:v>
                </c:pt>
                <c:pt idx="160">
                  <c:v>2.5161909999999996E-2</c:v>
                </c:pt>
                <c:pt idx="161">
                  <c:v>2.4921210000000003E-2</c:v>
                </c:pt>
                <c:pt idx="162">
                  <c:v>2.6277780000000001E-2</c:v>
                </c:pt>
                <c:pt idx="163">
                  <c:v>2.4485449999999992E-2</c:v>
                </c:pt>
                <c:pt idx="164">
                  <c:v>2.2419189999999999E-2</c:v>
                </c:pt>
                <c:pt idx="165">
                  <c:v>2.2111269999999995E-2</c:v>
                </c:pt>
                <c:pt idx="166">
                  <c:v>2.3556599999999997E-2</c:v>
                </c:pt>
                <c:pt idx="167">
                  <c:v>2.3596779999999998E-2</c:v>
                </c:pt>
                <c:pt idx="168">
                  <c:v>2.197321E-2</c:v>
                </c:pt>
                <c:pt idx="169">
                  <c:v>2.2411519999999997E-2</c:v>
                </c:pt>
                <c:pt idx="170">
                  <c:v>2.2707369999999994E-2</c:v>
                </c:pt>
                <c:pt idx="171">
                  <c:v>2.3876569999999993E-2</c:v>
                </c:pt>
                <c:pt idx="172">
                  <c:v>2.2032009999999994E-2</c:v>
                </c:pt>
                <c:pt idx="173">
                  <c:v>2.1518819999999998E-2</c:v>
                </c:pt>
                <c:pt idx="174">
                  <c:v>2.406467E-2</c:v>
                </c:pt>
                <c:pt idx="175">
                  <c:v>2.4160009999999996E-2</c:v>
                </c:pt>
                <c:pt idx="176">
                  <c:v>2.3612849999999994E-2</c:v>
                </c:pt>
                <c:pt idx="177">
                  <c:v>2.2991179999999996E-2</c:v>
                </c:pt>
                <c:pt idx="178">
                  <c:v>2.2205869999999996E-2</c:v>
                </c:pt>
                <c:pt idx="179">
                  <c:v>2.2807819999999996E-2</c:v>
                </c:pt>
                <c:pt idx="180">
                  <c:v>1.9444159999999999E-2</c:v>
                </c:pt>
                <c:pt idx="181">
                  <c:v>2.1670769999999995E-2</c:v>
                </c:pt>
                <c:pt idx="182">
                  <c:v>2.5927489999999994E-2</c:v>
                </c:pt>
                <c:pt idx="183">
                  <c:v>2.8760069999999999E-2</c:v>
                </c:pt>
                <c:pt idx="184">
                  <c:v>3.0424189999999997E-2</c:v>
                </c:pt>
                <c:pt idx="185">
                  <c:v>2.9551949999999994E-2</c:v>
                </c:pt>
                <c:pt idx="186">
                  <c:v>3.0980479999999991E-2</c:v>
                </c:pt>
                <c:pt idx="187">
                  <c:v>3.0042859999999994E-2</c:v>
                </c:pt>
                <c:pt idx="188">
                  <c:v>2.5516939999999995E-2</c:v>
                </c:pt>
                <c:pt idx="189">
                  <c:v>2.6010769999999999E-2</c:v>
                </c:pt>
                <c:pt idx="190">
                  <c:v>2.6763929999999998E-2</c:v>
                </c:pt>
                <c:pt idx="191">
                  <c:v>2.7098869999999997E-2</c:v>
                </c:pt>
                <c:pt idx="192">
                  <c:v>2.9764159999999994E-2</c:v>
                </c:pt>
                <c:pt idx="193">
                  <c:v>2.9963959999999998E-2</c:v>
                </c:pt>
                <c:pt idx="194">
                  <c:v>3.0599869999999994E-2</c:v>
                </c:pt>
                <c:pt idx="195">
                  <c:v>3.0294150000000002E-2</c:v>
                </c:pt>
                <c:pt idx="196">
                  <c:v>2.9260839999999993E-2</c:v>
                </c:pt>
                <c:pt idx="197">
                  <c:v>3.1911519999999999E-2</c:v>
                </c:pt>
                <c:pt idx="198">
                  <c:v>3.4283869999999987E-2</c:v>
                </c:pt>
                <c:pt idx="199">
                  <c:v>3.3201239999999993E-2</c:v>
                </c:pt>
                <c:pt idx="200">
                  <c:v>3.5409599999999999E-2</c:v>
                </c:pt>
                <c:pt idx="201">
                  <c:v>3.7249039999999997E-2</c:v>
                </c:pt>
                <c:pt idx="202">
                  <c:v>3.5015479999999995E-2</c:v>
                </c:pt>
                <c:pt idx="203">
                  <c:v>3.2552909999999997E-2</c:v>
                </c:pt>
                <c:pt idx="204">
                  <c:v>3.3631519999999998E-2</c:v>
                </c:pt>
                <c:pt idx="205">
                  <c:v>3.4994299999999999E-2</c:v>
                </c:pt>
                <c:pt idx="206">
                  <c:v>3.5929719999999998E-2</c:v>
                </c:pt>
                <c:pt idx="207">
                  <c:v>3.7508369999999999E-2</c:v>
                </c:pt>
                <c:pt idx="208">
                  <c:v>3.6309229999999998E-2</c:v>
                </c:pt>
                <c:pt idx="209">
                  <c:v>3.5445389999999993E-2</c:v>
                </c:pt>
                <c:pt idx="210">
                  <c:v>3.5920959999999995E-2</c:v>
                </c:pt>
                <c:pt idx="211">
                  <c:v>3.6715759999999993E-2</c:v>
                </c:pt>
                <c:pt idx="212">
                  <c:v>3.7599679999999989E-2</c:v>
                </c:pt>
                <c:pt idx="213">
                  <c:v>3.7862669999999994E-2</c:v>
                </c:pt>
                <c:pt idx="214">
                  <c:v>3.5716409999999997E-2</c:v>
                </c:pt>
                <c:pt idx="215">
                  <c:v>3.5531960000000001E-2</c:v>
                </c:pt>
                <c:pt idx="216">
                  <c:v>3.5732479999999997E-2</c:v>
                </c:pt>
                <c:pt idx="217">
                  <c:v>3.5431879999999992E-2</c:v>
                </c:pt>
                <c:pt idx="218">
                  <c:v>3.6212799999999996E-2</c:v>
                </c:pt>
                <c:pt idx="219">
                  <c:v>3.6360730000000001E-2</c:v>
                </c:pt>
                <c:pt idx="220">
                  <c:v>3.4966169999999998E-2</c:v>
                </c:pt>
                <c:pt idx="221">
                  <c:v>3.5027539999999996E-2</c:v>
                </c:pt>
                <c:pt idx="222">
                  <c:v>3.7449929999999999E-2</c:v>
                </c:pt>
                <c:pt idx="223">
                  <c:v>3.7157719999999998E-2</c:v>
                </c:pt>
                <c:pt idx="224">
                  <c:v>3.7274609999999993E-2</c:v>
                </c:pt>
                <c:pt idx="225">
                  <c:v>3.7921109999999994E-2</c:v>
                </c:pt>
                <c:pt idx="226">
                  <c:v>3.665000999999999E-2</c:v>
                </c:pt>
                <c:pt idx="227">
                  <c:v>3.7409749999999992E-2</c:v>
                </c:pt>
                <c:pt idx="228">
                  <c:v>3.7559509999999997E-2</c:v>
                </c:pt>
                <c:pt idx="229">
                  <c:v>3.8136609999999994E-2</c:v>
                </c:pt>
                <c:pt idx="230">
                  <c:v>3.856031E-2</c:v>
                </c:pt>
                <c:pt idx="231">
                  <c:v>3.9367529999999991E-2</c:v>
                </c:pt>
                <c:pt idx="232">
                  <c:v>3.9228739999999991E-2</c:v>
                </c:pt>
                <c:pt idx="233">
                  <c:v>3.8089129999999992E-2</c:v>
                </c:pt>
                <c:pt idx="234">
                  <c:v>3.7811539999999998E-2</c:v>
                </c:pt>
                <c:pt idx="235">
                  <c:v>3.7654479999999997E-2</c:v>
                </c:pt>
                <c:pt idx="236">
                  <c:v>3.5439909999999998E-2</c:v>
                </c:pt>
                <c:pt idx="237">
                  <c:v>3.3736349999999998E-2</c:v>
                </c:pt>
                <c:pt idx="238">
                  <c:v>3.486098E-2</c:v>
                </c:pt>
                <c:pt idx="239">
                  <c:v>3.5655779999999998E-2</c:v>
                </c:pt>
                <c:pt idx="240">
                  <c:v>3.654044E-2</c:v>
                </c:pt>
                <c:pt idx="241">
                  <c:v>3.6520709999999998E-2</c:v>
                </c:pt>
                <c:pt idx="242">
                  <c:v>3.3948199999999991E-2</c:v>
                </c:pt>
                <c:pt idx="243">
                  <c:v>3.4170999999999993E-2</c:v>
                </c:pt>
                <c:pt idx="244">
                  <c:v>3.6132809999999994E-2</c:v>
                </c:pt>
                <c:pt idx="245">
                  <c:v>3.5837679999999997E-2</c:v>
                </c:pt>
                <c:pt idx="246">
                  <c:v>3.5274089999999994E-2</c:v>
                </c:pt>
                <c:pt idx="247">
                  <c:v>3.7256339999999992E-2</c:v>
                </c:pt>
                <c:pt idx="248">
                  <c:v>3.4606389999999994E-2</c:v>
                </c:pt>
                <c:pt idx="249">
                  <c:v>3.3946739999999989E-2</c:v>
                </c:pt>
                <c:pt idx="250">
                  <c:v>3.385980999999999E-2</c:v>
                </c:pt>
                <c:pt idx="251">
                  <c:v>3.1603599999999996E-2</c:v>
                </c:pt>
                <c:pt idx="252">
                  <c:v>3.2525149999999996E-2</c:v>
                </c:pt>
                <c:pt idx="253">
                  <c:v>3.451398E-2</c:v>
                </c:pt>
                <c:pt idx="254">
                  <c:v>3.3673889999999998E-2</c:v>
                </c:pt>
                <c:pt idx="255">
                  <c:v>3.3527419999999988E-2</c:v>
                </c:pt>
                <c:pt idx="256">
                  <c:v>3.4114389999999994E-2</c:v>
                </c:pt>
                <c:pt idx="257">
                  <c:v>3.3885009999999993E-2</c:v>
                </c:pt>
                <c:pt idx="258">
                  <c:v>3.2483879999999993E-2</c:v>
                </c:pt>
                <c:pt idx="259">
                  <c:v>3.3619099999999992E-2</c:v>
                </c:pt>
                <c:pt idx="260">
                  <c:v>3.2958709999999995E-2</c:v>
                </c:pt>
                <c:pt idx="261">
                  <c:v>3.3785659999999995E-2</c:v>
                </c:pt>
                <c:pt idx="262">
                  <c:v>3.3357569999999996E-2</c:v>
                </c:pt>
                <c:pt idx="263">
                  <c:v>3.1992609999999998E-2</c:v>
                </c:pt>
                <c:pt idx="264">
                  <c:v>3.15784E-2</c:v>
                </c:pt>
                <c:pt idx="265">
                  <c:v>3.1916269999999997E-2</c:v>
                </c:pt>
                <c:pt idx="266">
                  <c:v>3.0426379999999996E-2</c:v>
                </c:pt>
                <c:pt idx="267">
                  <c:v>2.6266079999999997E-2</c:v>
                </c:pt>
                <c:pt idx="268">
                  <c:v>2.5189309999999993E-2</c:v>
                </c:pt>
                <c:pt idx="269">
                  <c:v>2.8452889999999991E-2</c:v>
                </c:pt>
                <c:pt idx="270">
                  <c:v>3.1231769999999996E-2</c:v>
                </c:pt>
                <c:pt idx="271">
                  <c:v>3.1185379999999999E-2</c:v>
                </c:pt>
                <c:pt idx="272">
                  <c:v>3.3362319999999994E-2</c:v>
                </c:pt>
                <c:pt idx="273">
                  <c:v>3.3632249999999995E-2</c:v>
                </c:pt>
                <c:pt idx="274">
                  <c:v>3.5410689999999995E-2</c:v>
                </c:pt>
                <c:pt idx="275">
                  <c:v>3.6286220000000001E-2</c:v>
                </c:pt>
                <c:pt idx="276">
                  <c:v>3.2696459999999997E-2</c:v>
                </c:pt>
                <c:pt idx="277">
                  <c:v>3.0131609999999996E-2</c:v>
                </c:pt>
                <c:pt idx="278">
                  <c:v>3.3682649999999995E-2</c:v>
                </c:pt>
                <c:pt idx="279">
                  <c:v>3.5917669999999999E-2</c:v>
                </c:pt>
                <c:pt idx="280">
                  <c:v>3.6319459999999998E-2</c:v>
                </c:pt>
                <c:pt idx="281">
                  <c:v>3.7709259999999994E-2</c:v>
                </c:pt>
                <c:pt idx="282">
                  <c:v>3.5819409999999996E-2</c:v>
                </c:pt>
                <c:pt idx="283">
                  <c:v>3.3955139999999995E-2</c:v>
                </c:pt>
                <c:pt idx="284">
                  <c:v>3.5590399999999994E-2</c:v>
                </c:pt>
                <c:pt idx="285">
                  <c:v>3.6461539999999994E-2</c:v>
                </c:pt>
                <c:pt idx="286">
                  <c:v>3.7417059999999995E-2</c:v>
                </c:pt>
                <c:pt idx="287">
                  <c:v>3.6248229999999999E-2</c:v>
                </c:pt>
                <c:pt idx="288">
                  <c:v>3.6481259999999995E-2</c:v>
                </c:pt>
                <c:pt idx="289">
                  <c:v>3.6116739999999994E-2</c:v>
                </c:pt>
                <c:pt idx="290">
                  <c:v>3.412316E-2</c:v>
                </c:pt>
                <c:pt idx="291">
                  <c:v>3.3966819999999995E-2</c:v>
                </c:pt>
                <c:pt idx="292">
                  <c:v>3.628841E-2</c:v>
                </c:pt>
                <c:pt idx="293">
                  <c:v>3.5808819999999998E-2</c:v>
                </c:pt>
                <c:pt idx="294">
                  <c:v>3.6299369999999997E-2</c:v>
                </c:pt>
                <c:pt idx="295">
                  <c:v>3.7110239999999989E-2</c:v>
                </c:pt>
                <c:pt idx="296">
                  <c:v>3.7804229999999987E-2</c:v>
                </c:pt>
                <c:pt idx="297">
                  <c:v>3.6858209999999995E-2</c:v>
                </c:pt>
                <c:pt idx="298">
                  <c:v>3.6292419999999992E-2</c:v>
                </c:pt>
                <c:pt idx="299">
                  <c:v>3.6880129999999997E-2</c:v>
                </c:pt>
                <c:pt idx="300">
                  <c:v>3.7807879999999995E-2</c:v>
                </c:pt>
                <c:pt idx="301">
                  <c:v>3.7011619999999995E-2</c:v>
                </c:pt>
                <c:pt idx="302">
                  <c:v>3.7680039999999991E-2</c:v>
                </c:pt>
                <c:pt idx="303">
                  <c:v>3.856031E-2</c:v>
                </c:pt>
                <c:pt idx="304">
                  <c:v>3.8311939999999996E-2</c:v>
                </c:pt>
                <c:pt idx="305">
                  <c:v>3.9685309999999994E-2</c:v>
                </c:pt>
                <c:pt idx="306">
                  <c:v>3.915202999999999E-2</c:v>
                </c:pt>
                <c:pt idx="307">
                  <c:v>3.7468189999999998E-2</c:v>
                </c:pt>
                <c:pt idx="308">
                  <c:v>3.7479149999999996E-2</c:v>
                </c:pt>
                <c:pt idx="309">
                  <c:v>3.6668279999999998E-2</c:v>
                </c:pt>
                <c:pt idx="310">
                  <c:v>3.5619619999999998E-2</c:v>
                </c:pt>
                <c:pt idx="311">
                  <c:v>3.8100089999999996E-2</c:v>
                </c:pt>
                <c:pt idx="312">
                  <c:v>3.8739290000000003E-2</c:v>
                </c:pt>
                <c:pt idx="313">
                  <c:v>3.7658129999999998E-2</c:v>
                </c:pt>
                <c:pt idx="314">
                  <c:v>3.9159329999999999E-2</c:v>
                </c:pt>
                <c:pt idx="315">
                  <c:v>3.8432469999999996E-2</c:v>
                </c:pt>
                <c:pt idx="316">
                  <c:v>3.9371189999999986E-2</c:v>
                </c:pt>
                <c:pt idx="317">
                  <c:v>3.8023379999999996E-2</c:v>
                </c:pt>
                <c:pt idx="318">
                  <c:v>3.9400409999999997E-2</c:v>
                </c:pt>
                <c:pt idx="319">
                  <c:v>3.9093589999999998E-2</c:v>
                </c:pt>
                <c:pt idx="320">
                  <c:v>3.8377679999999997E-2</c:v>
                </c:pt>
                <c:pt idx="321">
                  <c:v>3.7866319999999995E-2</c:v>
                </c:pt>
                <c:pt idx="322">
                  <c:v>3.9057059999999998E-2</c:v>
                </c:pt>
                <c:pt idx="323">
                  <c:v>3.9798539999999993E-2</c:v>
                </c:pt>
                <c:pt idx="324">
                  <c:v>4.016745E-2</c:v>
                </c:pt>
                <c:pt idx="325">
                  <c:v>3.9844194999999999E-2</c:v>
                </c:pt>
                <c:pt idx="326">
                  <c:v>3.9520939999999991E-2</c:v>
                </c:pt>
                <c:pt idx="327">
                  <c:v>3.9634169999999996E-2</c:v>
                </c:pt>
                <c:pt idx="328">
                  <c:v>3.9747399999999995E-2</c:v>
                </c:pt>
                <c:pt idx="329">
                  <c:v>3.9477109999999996E-2</c:v>
                </c:pt>
                <c:pt idx="330">
                  <c:v>3.9206819999999996E-2</c:v>
                </c:pt>
                <c:pt idx="331">
                  <c:v>3.9809494999999993E-2</c:v>
                </c:pt>
                <c:pt idx="332">
                  <c:v>4.041216999999999E-2</c:v>
                </c:pt>
                <c:pt idx="333">
                  <c:v>4.0697074999999992E-2</c:v>
                </c:pt>
                <c:pt idx="334">
                  <c:v>4.0981979999999994E-2</c:v>
                </c:pt>
                <c:pt idx="335">
                  <c:v>4.0130924999999991E-2</c:v>
                </c:pt>
                <c:pt idx="336">
                  <c:v>3.9279869999999988E-2</c:v>
                </c:pt>
                <c:pt idx="337">
                  <c:v>3.8233404999999984E-2</c:v>
                </c:pt>
                <c:pt idx="338">
                  <c:v>3.7186939999999988E-2</c:v>
                </c:pt>
                <c:pt idx="339">
                  <c:v>3.7123019999999993E-2</c:v>
                </c:pt>
                <c:pt idx="340">
                  <c:v>3.7059099999999991E-2</c:v>
                </c:pt>
                <c:pt idx="341">
                  <c:v>3.8089129999999999E-2</c:v>
                </c:pt>
                <c:pt idx="342">
                  <c:v>3.911916E-2</c:v>
                </c:pt>
                <c:pt idx="343">
                  <c:v>3.9727314999999999E-2</c:v>
                </c:pt>
                <c:pt idx="344">
                  <c:v>4.0335469999999998E-2</c:v>
                </c:pt>
                <c:pt idx="345">
                  <c:v>4.0498009999999994E-2</c:v>
                </c:pt>
                <c:pt idx="346">
                  <c:v>4.066054999999999E-2</c:v>
                </c:pt>
                <c:pt idx="347">
                  <c:v>4.0461484999999991E-2</c:v>
                </c:pt>
                <c:pt idx="348">
                  <c:v>4.026242E-2</c:v>
                </c:pt>
                <c:pt idx="349">
                  <c:v>3.9851504999999995E-2</c:v>
                </c:pt>
                <c:pt idx="350">
                  <c:v>3.9440589999999991E-2</c:v>
                </c:pt>
                <c:pt idx="351">
                  <c:v>3.9172124999999988E-2</c:v>
                </c:pt>
                <c:pt idx="352">
                  <c:v>3.8903659999999993E-2</c:v>
                </c:pt>
                <c:pt idx="353">
                  <c:v>3.8973054999999993E-2</c:v>
                </c:pt>
                <c:pt idx="354">
                  <c:v>3.9042449999999992E-2</c:v>
                </c:pt>
                <c:pt idx="355">
                  <c:v>3.9608599999999994E-2</c:v>
                </c:pt>
                <c:pt idx="356">
                  <c:v>4.0174749999999995E-2</c:v>
                </c:pt>
                <c:pt idx="357">
                  <c:v>3.9816799999999992E-2</c:v>
                </c:pt>
                <c:pt idx="358">
                  <c:v>3.945884999999999E-2</c:v>
                </c:pt>
                <c:pt idx="359">
                  <c:v>3.9137419999999992E-2</c:v>
                </c:pt>
                <c:pt idx="360">
                  <c:v>3.8815990000000002E-2</c:v>
                </c:pt>
                <c:pt idx="361">
                  <c:v>3.8585880000000003E-2</c:v>
                </c:pt>
                <c:pt idx="362">
                  <c:v>3.8355769999999997E-2</c:v>
                </c:pt>
                <c:pt idx="363">
                  <c:v>3.8273589999999996E-2</c:v>
                </c:pt>
                <c:pt idx="364">
                  <c:v>3.8191409999999988E-2</c:v>
                </c:pt>
                <c:pt idx="365">
                  <c:v>3.7470019999999993E-2</c:v>
                </c:pt>
                <c:pt idx="366">
                  <c:v>3.6748629999999997E-2</c:v>
                </c:pt>
                <c:pt idx="367">
                  <c:v>3.6964134999999995E-2</c:v>
                </c:pt>
                <c:pt idx="368">
                  <c:v>3.7179639999999993E-2</c:v>
                </c:pt>
                <c:pt idx="369">
                  <c:v>3.7822494999999998E-2</c:v>
                </c:pt>
                <c:pt idx="370">
                  <c:v>3.8465349999999995E-2</c:v>
                </c:pt>
                <c:pt idx="371">
                  <c:v>3.812931E-2</c:v>
                </c:pt>
                <c:pt idx="372">
                  <c:v>3.7793269999999997E-2</c:v>
                </c:pt>
                <c:pt idx="373">
                  <c:v>3.7572289999999994E-2</c:v>
                </c:pt>
                <c:pt idx="374">
                  <c:v>3.7351309999999992E-2</c:v>
                </c:pt>
                <c:pt idx="375">
                  <c:v>3.7513849999999987E-2</c:v>
                </c:pt>
                <c:pt idx="376">
                  <c:v>3.767638999999999E-2</c:v>
                </c:pt>
                <c:pt idx="377">
                  <c:v>3.7597859999999997E-2</c:v>
                </c:pt>
                <c:pt idx="378">
                  <c:v>3.7519329999999997E-2</c:v>
                </c:pt>
                <c:pt idx="379">
                  <c:v>3.7736659999999991E-2</c:v>
                </c:pt>
                <c:pt idx="380">
                  <c:v>3.7953989999999993E-2</c:v>
                </c:pt>
                <c:pt idx="381">
                  <c:v>3.7959464999999998E-2</c:v>
                </c:pt>
                <c:pt idx="382">
                  <c:v>3.7964939999999996E-2</c:v>
                </c:pt>
                <c:pt idx="383">
                  <c:v>3.7859014999999996E-2</c:v>
                </c:pt>
                <c:pt idx="384">
                  <c:v>3.7753089999999996E-2</c:v>
                </c:pt>
                <c:pt idx="385">
                  <c:v>3.7689169999999994E-2</c:v>
                </c:pt>
                <c:pt idx="386">
                  <c:v>3.7625249999999992E-2</c:v>
                </c:pt>
                <c:pt idx="387">
                  <c:v>3.7753089999999989E-2</c:v>
                </c:pt>
                <c:pt idx="388">
                  <c:v>3.7880929999999993E-2</c:v>
                </c:pt>
                <c:pt idx="389">
                  <c:v>3.732938999999999E-2</c:v>
                </c:pt>
                <c:pt idx="390">
                  <c:v>3.6777849999999994E-2</c:v>
                </c:pt>
                <c:pt idx="391">
                  <c:v>3.6743149999999988E-2</c:v>
                </c:pt>
                <c:pt idx="392">
                  <c:v>3.670844999999999E-2</c:v>
                </c:pt>
                <c:pt idx="393">
                  <c:v>3.7102929999999992E-2</c:v>
                </c:pt>
                <c:pt idx="394">
                  <c:v>3.7497409999999988E-2</c:v>
                </c:pt>
                <c:pt idx="395">
                  <c:v>3.7276429999999992E-2</c:v>
                </c:pt>
                <c:pt idx="396">
                  <c:v>3.7055449999999997E-2</c:v>
                </c:pt>
                <c:pt idx="397">
                  <c:v>3.7033534999999992E-2</c:v>
                </c:pt>
                <c:pt idx="398">
                  <c:v>3.7011619999999995E-2</c:v>
                </c:pt>
                <c:pt idx="399">
                  <c:v>3.6911174999999991E-2</c:v>
                </c:pt>
                <c:pt idx="400">
                  <c:v>3.6810729999999993E-2</c:v>
                </c:pt>
                <c:pt idx="401">
                  <c:v>3.6971444999999992E-2</c:v>
                </c:pt>
                <c:pt idx="402">
                  <c:v>3.713215999999999E-2</c:v>
                </c:pt>
                <c:pt idx="403">
                  <c:v>3.7239904999999997E-2</c:v>
                </c:pt>
                <c:pt idx="404">
                  <c:v>3.7347650000000003E-2</c:v>
                </c:pt>
                <c:pt idx="405">
                  <c:v>3.6846884999999996E-2</c:v>
                </c:pt>
                <c:pt idx="406">
                  <c:v>3.6346119999999996E-2</c:v>
                </c:pt>
                <c:pt idx="407">
                  <c:v>3.6158739999999995E-2</c:v>
                </c:pt>
                <c:pt idx="408">
                  <c:v>3.5971359999999994E-2</c:v>
                </c:pt>
                <c:pt idx="409">
                  <c:v>3.6664984999999997E-2</c:v>
                </c:pt>
                <c:pt idx="410">
                  <c:v>3.735861E-2</c:v>
                </c:pt>
                <c:pt idx="411">
                  <c:v>3.7322084999999998E-2</c:v>
                </c:pt>
                <c:pt idx="412">
                  <c:v>3.7285559999999995E-2</c:v>
                </c:pt>
                <c:pt idx="413">
                  <c:v>3.7060924999999995E-2</c:v>
                </c:pt>
                <c:pt idx="414">
                  <c:v>3.6836290000000001E-2</c:v>
                </c:pt>
                <c:pt idx="415">
                  <c:v>3.6686534999999992E-2</c:v>
                </c:pt>
                <c:pt idx="416">
                  <c:v>3.6536779999999991E-2</c:v>
                </c:pt>
                <c:pt idx="417">
                  <c:v>3.6615309999999998E-2</c:v>
                </c:pt>
                <c:pt idx="418">
                  <c:v>3.6693839999999998E-2</c:v>
                </c:pt>
                <c:pt idx="419">
                  <c:v>3.6323834999999999E-2</c:v>
                </c:pt>
                <c:pt idx="420">
                  <c:v>3.5953829999999992E-2</c:v>
                </c:pt>
                <c:pt idx="421">
                  <c:v>3.5908904999999991E-2</c:v>
                </c:pt>
                <c:pt idx="422">
                  <c:v>3.5863979999999997E-2</c:v>
                </c:pt>
                <c:pt idx="423">
                  <c:v>3.5793849999999995E-2</c:v>
                </c:pt>
                <c:pt idx="424">
                  <c:v>3.5723719999999994E-2</c:v>
                </c:pt>
                <c:pt idx="425">
                  <c:v>3.5169804999999998E-2</c:v>
                </c:pt>
                <c:pt idx="426">
                  <c:v>3.4615889999999996E-2</c:v>
                </c:pt>
                <c:pt idx="427">
                  <c:v>3.4911929999999994E-2</c:v>
                </c:pt>
                <c:pt idx="428">
                  <c:v>3.5207969999999998E-2</c:v>
                </c:pt>
                <c:pt idx="429">
                  <c:v>3.5165055000000001E-2</c:v>
                </c:pt>
                <c:pt idx="430">
                  <c:v>3.5122139999999996E-2</c:v>
                </c:pt>
                <c:pt idx="431">
                  <c:v>3.5317370000000001E-2</c:v>
                </c:pt>
                <c:pt idx="432">
                  <c:v>3.5512599999999998E-2</c:v>
                </c:pt>
                <c:pt idx="433">
                  <c:v>3.5610304999999995E-2</c:v>
                </c:pt>
                <c:pt idx="434">
                  <c:v>3.5708009999999998E-2</c:v>
                </c:pt>
                <c:pt idx="435">
                  <c:v>3.4920699999999999E-2</c:v>
                </c:pt>
                <c:pt idx="436">
                  <c:v>3.4133389999999993E-2</c:v>
                </c:pt>
                <c:pt idx="437">
                  <c:v>3.3541119999999994E-2</c:v>
                </c:pt>
                <c:pt idx="438">
                  <c:v>3.2948849999999995E-2</c:v>
                </c:pt>
                <c:pt idx="439">
                  <c:v>3.3064089999999997E-2</c:v>
                </c:pt>
                <c:pt idx="440">
                  <c:v>3.317933E-2</c:v>
                </c:pt>
                <c:pt idx="441">
                  <c:v>3.3303334999999996E-2</c:v>
                </c:pt>
                <c:pt idx="442">
                  <c:v>3.3427339999999993E-2</c:v>
                </c:pt>
                <c:pt idx="443">
                  <c:v>3.3630239999999992E-2</c:v>
                </c:pt>
                <c:pt idx="444">
                  <c:v>3.3833139999999991E-2</c:v>
                </c:pt>
                <c:pt idx="445">
                  <c:v>3.3930664999999992E-2</c:v>
                </c:pt>
                <c:pt idx="446">
                  <c:v>3.4028189999999993E-2</c:v>
                </c:pt>
                <c:pt idx="447">
                  <c:v>3.3759904999999993E-2</c:v>
                </c:pt>
                <c:pt idx="448">
                  <c:v>3.3491619999999993E-2</c:v>
                </c:pt>
                <c:pt idx="449">
                  <c:v>3.3532349999999995E-2</c:v>
                </c:pt>
                <c:pt idx="450">
                  <c:v>3.3573079999999998E-2</c:v>
                </c:pt>
                <c:pt idx="451">
                  <c:v>3.3330915000000003E-2</c:v>
                </c:pt>
                <c:pt idx="452">
                  <c:v>3.308875E-2</c:v>
                </c:pt>
                <c:pt idx="453">
                  <c:v>3.3274479999999995E-2</c:v>
                </c:pt>
                <c:pt idx="454">
                  <c:v>3.3460209999999997E-2</c:v>
                </c:pt>
                <c:pt idx="455">
                  <c:v>3.3677724999999992E-2</c:v>
                </c:pt>
                <c:pt idx="456">
                  <c:v>3.3895239999999993E-2</c:v>
                </c:pt>
                <c:pt idx="457">
                  <c:v>3.3810679999999996E-2</c:v>
                </c:pt>
                <c:pt idx="458">
                  <c:v>3.3726119999999998E-2</c:v>
                </c:pt>
                <c:pt idx="459">
                  <c:v>3.3554084999999997E-2</c:v>
                </c:pt>
                <c:pt idx="460">
                  <c:v>3.3382049999999996E-2</c:v>
                </c:pt>
                <c:pt idx="461">
                  <c:v>3.3113219999999999E-2</c:v>
                </c:pt>
                <c:pt idx="462">
                  <c:v>3.2844390000000001E-2</c:v>
                </c:pt>
                <c:pt idx="463">
                  <c:v>3.2644044999999997E-2</c:v>
                </c:pt>
                <c:pt idx="464">
                  <c:v>3.2443699999999999E-2</c:v>
                </c:pt>
                <c:pt idx="465">
                  <c:v>3.3218774999999992E-2</c:v>
                </c:pt>
                <c:pt idx="466">
                  <c:v>3.3993849999999992E-2</c:v>
                </c:pt>
                <c:pt idx="467">
                  <c:v>3.4092834999999988E-2</c:v>
                </c:pt>
                <c:pt idx="468">
                  <c:v>3.4191819999999991E-2</c:v>
                </c:pt>
                <c:pt idx="469">
                  <c:v>3.3294749999999998E-2</c:v>
                </c:pt>
                <c:pt idx="470">
                  <c:v>3.2397679999999998E-2</c:v>
                </c:pt>
                <c:pt idx="471">
                  <c:v>3.2530814999999991E-2</c:v>
                </c:pt>
                <c:pt idx="472">
                  <c:v>3.266394999999999E-2</c:v>
                </c:pt>
                <c:pt idx="473">
                  <c:v>3.2775534999999995E-2</c:v>
                </c:pt>
                <c:pt idx="474">
                  <c:v>3.2887119999999992E-2</c:v>
                </c:pt>
                <c:pt idx="475">
                  <c:v>3.266997499999999E-2</c:v>
                </c:pt>
                <c:pt idx="476">
                  <c:v>3.2452829999999995E-2</c:v>
                </c:pt>
                <c:pt idx="477">
                  <c:v>3.2384344999999995E-2</c:v>
                </c:pt>
                <c:pt idx="478">
                  <c:v>3.2315859999999995E-2</c:v>
                </c:pt>
                <c:pt idx="479">
                  <c:v>3.2009589999999991E-2</c:v>
                </c:pt>
                <c:pt idx="480">
                  <c:v>3.1703319999999993E-2</c:v>
                </c:pt>
                <c:pt idx="481">
                  <c:v>3.1782399999999995E-2</c:v>
                </c:pt>
                <c:pt idx="482">
                  <c:v>3.1861479999999998E-2</c:v>
                </c:pt>
                <c:pt idx="483">
                  <c:v>3.1825684999999992E-2</c:v>
                </c:pt>
                <c:pt idx="484">
                  <c:v>3.1789889999999994E-2</c:v>
                </c:pt>
                <c:pt idx="485">
                  <c:v>3.1693459999999993E-2</c:v>
                </c:pt>
                <c:pt idx="486">
                  <c:v>3.1597029999999998E-2</c:v>
                </c:pt>
                <c:pt idx="487">
                  <c:v>3.1614194999999998E-2</c:v>
                </c:pt>
                <c:pt idx="488">
                  <c:v>3.1631359999999997E-2</c:v>
                </c:pt>
                <c:pt idx="489">
                  <c:v>3.1646885E-2</c:v>
                </c:pt>
                <c:pt idx="490">
                  <c:v>3.1662409999999995E-2</c:v>
                </c:pt>
                <c:pt idx="491">
                  <c:v>3.1748429999999994E-2</c:v>
                </c:pt>
                <c:pt idx="492">
                  <c:v>3.1834449999999993E-2</c:v>
                </c:pt>
                <c:pt idx="493">
                  <c:v>3.181929E-2</c:v>
                </c:pt>
                <c:pt idx="494">
                  <c:v>3.180413E-2</c:v>
                </c:pt>
                <c:pt idx="495">
                  <c:v>3.1778015E-2</c:v>
                </c:pt>
                <c:pt idx="496">
                  <c:v>3.17519E-2</c:v>
                </c:pt>
                <c:pt idx="497">
                  <c:v>3.1399789999999997E-2</c:v>
                </c:pt>
                <c:pt idx="498">
                  <c:v>3.1047679999999998E-2</c:v>
                </c:pt>
                <c:pt idx="499">
                  <c:v>3.1201634999999998E-2</c:v>
                </c:pt>
                <c:pt idx="500">
                  <c:v>3.1355589999999996E-2</c:v>
                </c:pt>
                <c:pt idx="501">
                  <c:v>3.1536939999999999E-2</c:v>
                </c:pt>
                <c:pt idx="502">
                  <c:v>3.1718289999999996E-2</c:v>
                </c:pt>
                <c:pt idx="503">
                  <c:v>3.1156159999999995E-2</c:v>
                </c:pt>
                <c:pt idx="504">
                  <c:v>3.0594029999999998E-2</c:v>
                </c:pt>
                <c:pt idx="505">
                  <c:v>3.0426009999999996E-2</c:v>
                </c:pt>
                <c:pt idx="506">
                  <c:v>3.0257989999999995E-2</c:v>
                </c:pt>
                <c:pt idx="507">
                  <c:v>3.0922029999999996E-2</c:v>
                </c:pt>
                <c:pt idx="508">
                  <c:v>3.1586070000000001E-2</c:v>
                </c:pt>
                <c:pt idx="509">
                  <c:v>2.9351784999999998E-2</c:v>
                </c:pt>
                <c:pt idx="510">
                  <c:v>2.7117499999999996E-2</c:v>
                </c:pt>
                <c:pt idx="511">
                  <c:v>2.6606684999999998E-2</c:v>
                </c:pt>
                <c:pt idx="512">
                  <c:v>2.6095869999999997E-2</c:v>
                </c:pt>
                <c:pt idx="513">
                  <c:v>2.7586674999999998E-2</c:v>
                </c:pt>
                <c:pt idx="514">
                  <c:v>2.9077479999999999E-2</c:v>
                </c:pt>
                <c:pt idx="515">
                  <c:v>2.9190344999999999E-2</c:v>
                </c:pt>
                <c:pt idx="516">
                  <c:v>2.930321E-2</c:v>
                </c:pt>
                <c:pt idx="517">
                  <c:v>2.9095009999999998E-2</c:v>
                </c:pt>
                <c:pt idx="518">
                  <c:v>2.8886809999999999E-2</c:v>
                </c:pt>
                <c:pt idx="519">
                  <c:v>2.9850544999999999E-2</c:v>
                </c:pt>
                <c:pt idx="520">
                  <c:v>3.0814279999999996E-2</c:v>
                </c:pt>
                <c:pt idx="521">
                  <c:v>3.0948879999999998E-2</c:v>
                </c:pt>
                <c:pt idx="522">
                  <c:v>3.1083479999999997E-2</c:v>
                </c:pt>
                <c:pt idx="523">
                  <c:v>3.1197984999999998E-2</c:v>
                </c:pt>
                <c:pt idx="524">
                  <c:v>3.1312489999999998E-2</c:v>
                </c:pt>
                <c:pt idx="525">
                  <c:v>3.1388464999999997E-2</c:v>
                </c:pt>
                <c:pt idx="526">
                  <c:v>3.1464439999999996E-2</c:v>
                </c:pt>
                <c:pt idx="527">
                  <c:v>3.1246014999999995E-2</c:v>
                </c:pt>
                <c:pt idx="528">
                  <c:v>3.1027589999999997E-2</c:v>
                </c:pt>
                <c:pt idx="529">
                  <c:v>3.0866149999999995E-2</c:v>
                </c:pt>
                <c:pt idx="530">
                  <c:v>3.0704709999999993E-2</c:v>
                </c:pt>
                <c:pt idx="531">
                  <c:v>3.0571569999999992E-2</c:v>
                </c:pt>
                <c:pt idx="532">
                  <c:v>3.0438429999999995E-2</c:v>
                </c:pt>
                <c:pt idx="533">
                  <c:v>3.0378709999999996E-2</c:v>
                </c:pt>
                <c:pt idx="534">
                  <c:v>3.0318989999999994E-2</c:v>
                </c:pt>
                <c:pt idx="535">
                  <c:v>3.0269499999999994E-2</c:v>
                </c:pt>
                <c:pt idx="536">
                  <c:v>3.0220009999999995E-2</c:v>
                </c:pt>
                <c:pt idx="537">
                  <c:v>3.0116089999999995E-2</c:v>
                </c:pt>
                <c:pt idx="538">
                  <c:v>3.0012169999999994E-2</c:v>
                </c:pt>
                <c:pt idx="539">
                  <c:v>2.9865154999999994E-2</c:v>
                </c:pt>
                <c:pt idx="540">
                  <c:v>2.9718139999999994E-2</c:v>
                </c:pt>
                <c:pt idx="541">
                  <c:v>2.9413514999999998E-2</c:v>
                </c:pt>
                <c:pt idx="542">
                  <c:v>2.9108890000000002E-2</c:v>
                </c:pt>
                <c:pt idx="543">
                  <c:v>2.8719345E-2</c:v>
                </c:pt>
                <c:pt idx="544">
                  <c:v>2.8329799999999995E-2</c:v>
                </c:pt>
                <c:pt idx="545">
                  <c:v>2.8590589999999996E-2</c:v>
                </c:pt>
                <c:pt idx="546">
                  <c:v>2.8851379999999996E-2</c:v>
                </c:pt>
                <c:pt idx="547">
                  <c:v>2.8857589999999995E-2</c:v>
                </c:pt>
                <c:pt idx="548">
                  <c:v>2.8863799999999998E-2</c:v>
                </c:pt>
                <c:pt idx="549">
                  <c:v>2.8965524999999999E-2</c:v>
                </c:pt>
                <c:pt idx="550">
                  <c:v>2.9067249999999996E-2</c:v>
                </c:pt>
                <c:pt idx="551">
                  <c:v>2.8692494999999995E-2</c:v>
                </c:pt>
                <c:pt idx="552">
                  <c:v>2.8317739999999994E-2</c:v>
                </c:pt>
                <c:pt idx="553">
                  <c:v>2.8599904999999995E-2</c:v>
                </c:pt>
                <c:pt idx="554">
                  <c:v>2.8882069999999996E-2</c:v>
                </c:pt>
                <c:pt idx="555">
                  <c:v>2.8895584999999994E-2</c:v>
                </c:pt>
                <c:pt idx="556">
                  <c:v>2.8909099999999997E-2</c:v>
                </c:pt>
                <c:pt idx="557">
                  <c:v>2.8685009999999993E-2</c:v>
                </c:pt>
                <c:pt idx="558">
                  <c:v>2.846091999999999E-2</c:v>
                </c:pt>
                <c:pt idx="559">
                  <c:v>2.8288884999999993E-2</c:v>
                </c:pt>
                <c:pt idx="560">
                  <c:v>2.8116849999999995E-2</c:v>
                </c:pt>
                <c:pt idx="561">
                  <c:v>2.8594424999999993E-2</c:v>
                </c:pt>
                <c:pt idx="562">
                  <c:v>2.9071999999999994E-2</c:v>
                </c:pt>
                <c:pt idx="563">
                  <c:v>2.9544644999999994E-2</c:v>
                </c:pt>
                <c:pt idx="564">
                  <c:v>3.0017289999999999E-2</c:v>
                </c:pt>
                <c:pt idx="565">
                  <c:v>2.9460819999999999E-2</c:v>
                </c:pt>
                <c:pt idx="566">
                  <c:v>2.8904349999999995E-2</c:v>
                </c:pt>
                <c:pt idx="567">
                  <c:v>2.8626569999999997E-2</c:v>
                </c:pt>
                <c:pt idx="568">
                  <c:v>2.8348789999999995E-2</c:v>
                </c:pt>
                <c:pt idx="569">
                  <c:v>2.8048364999999995E-2</c:v>
                </c:pt>
                <c:pt idx="570">
                  <c:v>2.7747939999999995E-2</c:v>
                </c:pt>
                <c:pt idx="571">
                  <c:v>2.7450984999999997E-2</c:v>
                </c:pt>
                <c:pt idx="572">
                  <c:v>2.7154029999999999E-2</c:v>
                </c:pt>
                <c:pt idx="573">
                  <c:v>2.7537734999999994E-2</c:v>
                </c:pt>
                <c:pt idx="574">
                  <c:v>2.7921439999999992E-2</c:v>
                </c:pt>
                <c:pt idx="575">
                  <c:v>2.7585764999999995E-2</c:v>
                </c:pt>
                <c:pt idx="576">
                  <c:v>2.7250089999999998E-2</c:v>
                </c:pt>
                <c:pt idx="577">
                  <c:v>2.7167539999999997E-2</c:v>
                </c:pt>
                <c:pt idx="578">
                  <c:v>2.7084989999999993E-2</c:v>
                </c:pt>
                <c:pt idx="579">
                  <c:v>2.6874969999999998E-2</c:v>
                </c:pt>
                <c:pt idx="580">
                  <c:v>2.666495E-2</c:v>
                </c:pt>
                <c:pt idx="581">
                  <c:v>2.6689604999999998E-2</c:v>
                </c:pt>
                <c:pt idx="582">
                  <c:v>2.671426E-2</c:v>
                </c:pt>
                <c:pt idx="583">
                  <c:v>2.6474649999999999E-2</c:v>
                </c:pt>
                <c:pt idx="584">
                  <c:v>2.6235039999999998E-2</c:v>
                </c:pt>
                <c:pt idx="585">
                  <c:v>2.6616914999999998E-2</c:v>
                </c:pt>
                <c:pt idx="586">
                  <c:v>2.6998789999999998E-2</c:v>
                </c:pt>
                <c:pt idx="587">
                  <c:v>2.6902364999999998E-2</c:v>
                </c:pt>
                <c:pt idx="588">
                  <c:v>2.6805939999999997E-2</c:v>
                </c:pt>
                <c:pt idx="589">
                  <c:v>2.7277119999999995E-2</c:v>
                </c:pt>
                <c:pt idx="590">
                  <c:v>2.7748299999999997E-2</c:v>
                </c:pt>
                <c:pt idx="591">
                  <c:v>2.8073564999999998E-2</c:v>
                </c:pt>
                <c:pt idx="592">
                  <c:v>2.839883E-2</c:v>
                </c:pt>
                <c:pt idx="593">
                  <c:v>2.7763279999999998E-2</c:v>
                </c:pt>
                <c:pt idx="594">
                  <c:v>2.7127729999999996E-2</c:v>
                </c:pt>
                <c:pt idx="595">
                  <c:v>2.7078964999999997E-2</c:v>
                </c:pt>
                <c:pt idx="596">
                  <c:v>2.7030199999999997E-2</c:v>
                </c:pt>
                <c:pt idx="597">
                  <c:v>2.6680834999999996E-2</c:v>
                </c:pt>
                <c:pt idx="598">
                  <c:v>2.6331469999999996E-2</c:v>
                </c:pt>
                <c:pt idx="599">
                  <c:v>2.6330919999999994E-2</c:v>
                </c:pt>
                <c:pt idx="600">
                  <c:v>2.6330369999999995E-2</c:v>
                </c:pt>
                <c:pt idx="601">
                  <c:v>2.5825584999999998E-2</c:v>
                </c:pt>
                <c:pt idx="602">
                  <c:v>2.5320799999999997E-2</c:v>
                </c:pt>
                <c:pt idx="603">
                  <c:v>2.5224004999999994E-2</c:v>
                </c:pt>
                <c:pt idx="604">
                  <c:v>2.5127209999999994E-2</c:v>
                </c:pt>
                <c:pt idx="605">
                  <c:v>2.5007954999999995E-2</c:v>
                </c:pt>
                <c:pt idx="606">
                  <c:v>2.4888699999999996E-2</c:v>
                </c:pt>
                <c:pt idx="607">
                  <c:v>2.5636929999999995E-2</c:v>
                </c:pt>
                <c:pt idx="608">
                  <c:v>2.6385159999999994E-2</c:v>
                </c:pt>
                <c:pt idx="609">
                  <c:v>2.6376394999999997E-2</c:v>
                </c:pt>
                <c:pt idx="610">
                  <c:v>2.636763E-2</c:v>
                </c:pt>
                <c:pt idx="611">
                  <c:v>2.6776899999999999E-2</c:v>
                </c:pt>
                <c:pt idx="612">
                  <c:v>2.7186169999999999E-2</c:v>
                </c:pt>
                <c:pt idx="613">
                  <c:v>2.6684489999999998E-2</c:v>
                </c:pt>
                <c:pt idx="614">
                  <c:v>2.6182809999999997E-2</c:v>
                </c:pt>
                <c:pt idx="615">
                  <c:v>2.6277959999999996E-2</c:v>
                </c:pt>
                <c:pt idx="616">
                  <c:v>2.6373109999999998E-2</c:v>
                </c:pt>
                <c:pt idx="617">
                  <c:v>2.5605519999999996E-2</c:v>
                </c:pt>
                <c:pt idx="618">
                  <c:v>2.4837929999999994E-2</c:v>
                </c:pt>
                <c:pt idx="619">
                  <c:v>2.5360064999999994E-2</c:v>
                </c:pt>
                <c:pt idx="620">
                  <c:v>2.5882199999999994E-2</c:v>
                </c:pt>
                <c:pt idx="621">
                  <c:v>2.5961279999999996E-2</c:v>
                </c:pt>
                <c:pt idx="622">
                  <c:v>2.6040359999999999E-2</c:v>
                </c:pt>
                <c:pt idx="623">
                  <c:v>2.5632179999999997E-2</c:v>
                </c:pt>
                <c:pt idx="624">
                  <c:v>2.5223999999999996E-2</c:v>
                </c:pt>
                <c:pt idx="625">
                  <c:v>2.5202999999999996E-2</c:v>
                </c:pt>
                <c:pt idx="626">
                  <c:v>2.5181999999999993E-2</c:v>
                </c:pt>
                <c:pt idx="627">
                  <c:v>2.5613549999999995E-2</c:v>
                </c:pt>
                <c:pt idx="628">
                  <c:v>2.6045099999999998E-2</c:v>
                </c:pt>
                <c:pt idx="629">
                  <c:v>2.5284269999999998E-2</c:v>
                </c:pt>
                <c:pt idx="630">
                  <c:v>2.4523439999999997E-2</c:v>
                </c:pt>
                <c:pt idx="631">
                  <c:v>2.5159534999999997E-2</c:v>
                </c:pt>
                <c:pt idx="632">
                  <c:v>2.5795629999999996E-2</c:v>
                </c:pt>
                <c:pt idx="633">
                  <c:v>2.5375399999999996E-2</c:v>
                </c:pt>
                <c:pt idx="634">
                  <c:v>2.4955169999999995E-2</c:v>
                </c:pt>
                <c:pt idx="635">
                  <c:v>2.5562779999999997E-2</c:v>
                </c:pt>
                <c:pt idx="636">
                  <c:v>2.6170389999999998E-2</c:v>
                </c:pt>
                <c:pt idx="637">
                  <c:v>2.6055149999999999E-2</c:v>
                </c:pt>
                <c:pt idx="638">
                  <c:v>2.5939909999999997E-2</c:v>
                </c:pt>
                <c:pt idx="639">
                  <c:v>2.5566979999999996E-2</c:v>
                </c:pt>
                <c:pt idx="640">
                  <c:v>2.5194049999999999E-2</c:v>
                </c:pt>
                <c:pt idx="641">
                  <c:v>2.5716004999999997E-2</c:v>
                </c:pt>
                <c:pt idx="642">
                  <c:v>2.6237959999999994E-2</c:v>
                </c:pt>
                <c:pt idx="643">
                  <c:v>2.5013249999999997E-2</c:v>
                </c:pt>
                <c:pt idx="644">
                  <c:v>2.378854E-2</c:v>
                </c:pt>
                <c:pt idx="645">
                  <c:v>2.5262905000000002E-2</c:v>
                </c:pt>
                <c:pt idx="646">
                  <c:v>2.673727E-2</c:v>
                </c:pt>
                <c:pt idx="647">
                  <c:v>2.6278324999999998E-2</c:v>
                </c:pt>
                <c:pt idx="648">
                  <c:v>2.5819379999999996E-2</c:v>
                </c:pt>
                <c:pt idx="649">
                  <c:v>2.5550364999999998E-2</c:v>
                </c:pt>
                <c:pt idx="650">
                  <c:v>2.5281349999999998E-2</c:v>
                </c:pt>
                <c:pt idx="651">
                  <c:v>2.5518219999999998E-2</c:v>
                </c:pt>
                <c:pt idx="652">
                  <c:v>2.5755089999999998E-2</c:v>
                </c:pt>
                <c:pt idx="653">
                  <c:v>2.5881284999999997E-2</c:v>
                </c:pt>
                <c:pt idx="654">
                  <c:v>2.6007479999999993E-2</c:v>
                </c:pt>
                <c:pt idx="655">
                  <c:v>2.6018254999999997E-2</c:v>
                </c:pt>
                <c:pt idx="656">
                  <c:v>2.6029029999999998E-2</c:v>
                </c:pt>
                <c:pt idx="657">
                  <c:v>2.5123739999999999E-2</c:v>
                </c:pt>
                <c:pt idx="658">
                  <c:v>2.4218449999999996E-2</c:v>
                </c:pt>
                <c:pt idx="659">
                  <c:v>2.4660774999999996E-2</c:v>
                </c:pt>
                <c:pt idx="660">
                  <c:v>2.51031E-2</c:v>
                </c:pt>
                <c:pt idx="661">
                  <c:v>2.4755009999999997E-2</c:v>
                </c:pt>
                <c:pt idx="662">
                  <c:v>2.4406919999999995E-2</c:v>
                </c:pt>
                <c:pt idx="663">
                  <c:v>2.4552294999999998E-2</c:v>
                </c:pt>
                <c:pt idx="664">
                  <c:v>2.4697670000000001E-2</c:v>
                </c:pt>
                <c:pt idx="665">
                  <c:v>2.4399619999999997E-2</c:v>
                </c:pt>
                <c:pt idx="666">
                  <c:v>2.4101569999999996E-2</c:v>
                </c:pt>
                <c:pt idx="667">
                  <c:v>2.4055544999999998E-2</c:v>
                </c:pt>
                <c:pt idx="668">
                  <c:v>2.4009519999999996E-2</c:v>
                </c:pt>
                <c:pt idx="669">
                  <c:v>2.4291500000000001E-2</c:v>
                </c:pt>
                <c:pt idx="670">
                  <c:v>2.4573480000000002E-2</c:v>
                </c:pt>
                <c:pt idx="671">
                  <c:v>2.3932999999999996E-2</c:v>
                </c:pt>
                <c:pt idx="672">
                  <c:v>2.3292519999999994E-2</c:v>
                </c:pt>
                <c:pt idx="673">
                  <c:v>2.3281379999999997E-2</c:v>
                </c:pt>
                <c:pt idx="674">
                  <c:v>2.3270240000000001E-2</c:v>
                </c:pt>
                <c:pt idx="675">
                  <c:v>2.3342744999999998E-2</c:v>
                </c:pt>
                <c:pt idx="676">
                  <c:v>2.3415249999999995E-2</c:v>
                </c:pt>
                <c:pt idx="677">
                  <c:v>2.3094369999999996E-2</c:v>
                </c:pt>
                <c:pt idx="678">
                  <c:v>2.2773489999999997E-2</c:v>
                </c:pt>
                <c:pt idx="679">
                  <c:v>2.3397894999999998E-2</c:v>
                </c:pt>
                <c:pt idx="680">
                  <c:v>2.40223E-2</c:v>
                </c:pt>
                <c:pt idx="681">
                  <c:v>2.4635024999999998E-2</c:v>
                </c:pt>
                <c:pt idx="682">
                  <c:v>2.5247749999999999E-2</c:v>
                </c:pt>
                <c:pt idx="683">
                  <c:v>2.5664144999999999E-2</c:v>
                </c:pt>
                <c:pt idx="684">
                  <c:v>2.6080539999999999E-2</c:v>
                </c:pt>
                <c:pt idx="685">
                  <c:v>2.5435854999999997E-2</c:v>
                </c:pt>
                <c:pt idx="686">
                  <c:v>2.4791169999999994E-2</c:v>
                </c:pt>
                <c:pt idx="687">
                  <c:v>2.4700954999999997E-2</c:v>
                </c:pt>
                <c:pt idx="688">
                  <c:v>2.4610739999999999E-2</c:v>
                </c:pt>
                <c:pt idx="689">
                  <c:v>2.5047584999999997E-2</c:v>
                </c:pt>
                <c:pt idx="690">
                  <c:v>2.5484429999999995E-2</c:v>
                </c:pt>
                <c:pt idx="691">
                  <c:v>2.4393224999999998E-2</c:v>
                </c:pt>
                <c:pt idx="692">
                  <c:v>2.3302019999999996E-2</c:v>
                </c:pt>
                <c:pt idx="693">
                  <c:v>2.2798324999999994E-2</c:v>
                </c:pt>
                <c:pt idx="694">
                  <c:v>2.2294629999999996E-2</c:v>
                </c:pt>
                <c:pt idx="695">
                  <c:v>2.2755584999999998E-2</c:v>
                </c:pt>
                <c:pt idx="696">
                  <c:v>2.3216540000000001E-2</c:v>
                </c:pt>
                <c:pt idx="697">
                  <c:v>2.4056454999999997E-2</c:v>
                </c:pt>
                <c:pt idx="698">
                  <c:v>2.4896369999999998E-2</c:v>
                </c:pt>
                <c:pt idx="699">
                  <c:v>2.4100469999999999E-2</c:v>
                </c:pt>
                <c:pt idx="700">
                  <c:v>2.330457E-2</c:v>
                </c:pt>
                <c:pt idx="701">
                  <c:v>2.4938555000000001E-2</c:v>
                </c:pt>
                <c:pt idx="702">
                  <c:v>2.6572539999999999E-2</c:v>
                </c:pt>
                <c:pt idx="703">
                  <c:v>2.5261260000000001E-2</c:v>
                </c:pt>
                <c:pt idx="704">
                  <c:v>2.3949979999999999E-2</c:v>
                </c:pt>
                <c:pt idx="705">
                  <c:v>2.4785874999999999E-2</c:v>
                </c:pt>
                <c:pt idx="706">
                  <c:v>2.5621769999999995E-2</c:v>
                </c:pt>
                <c:pt idx="707">
                  <c:v>2.4517044999999998E-2</c:v>
                </c:pt>
                <c:pt idx="708">
                  <c:v>2.341232E-2</c:v>
                </c:pt>
                <c:pt idx="709">
                  <c:v>2.3417799999999999E-2</c:v>
                </c:pt>
                <c:pt idx="710">
                  <c:v>2.3423279999999998E-2</c:v>
                </c:pt>
                <c:pt idx="711">
                  <c:v>2.2769469999999997E-2</c:v>
                </c:pt>
                <c:pt idx="712">
                  <c:v>2.2115659999999995E-2</c:v>
                </c:pt>
                <c:pt idx="713">
                  <c:v>2.1980329999999996E-2</c:v>
                </c:pt>
                <c:pt idx="714">
                  <c:v>2.1844999999999996E-2</c:v>
                </c:pt>
                <c:pt idx="715">
                  <c:v>2.2162044999999998E-2</c:v>
                </c:pt>
                <c:pt idx="716">
                  <c:v>2.2479089999999997E-2</c:v>
                </c:pt>
                <c:pt idx="717">
                  <c:v>2.2853115E-2</c:v>
                </c:pt>
                <c:pt idx="718">
                  <c:v>2.322714E-2</c:v>
                </c:pt>
                <c:pt idx="719">
                  <c:v>2.2442564999999998E-2</c:v>
                </c:pt>
                <c:pt idx="720">
                  <c:v>2.1657989999999995E-2</c:v>
                </c:pt>
                <c:pt idx="721">
                  <c:v>2.1419294999999998E-2</c:v>
                </c:pt>
                <c:pt idx="722">
                  <c:v>2.1180599999999997E-2</c:v>
                </c:pt>
                <c:pt idx="723">
                  <c:v>2.1458739999999997E-2</c:v>
                </c:pt>
                <c:pt idx="724">
                  <c:v>2.1736879999999997E-2</c:v>
                </c:pt>
                <c:pt idx="725">
                  <c:v>2.1873125E-2</c:v>
                </c:pt>
                <c:pt idx="726">
                  <c:v>2.200937E-2</c:v>
                </c:pt>
                <c:pt idx="727">
                  <c:v>2.1737979999999997E-2</c:v>
                </c:pt>
                <c:pt idx="728">
                  <c:v>2.1466589999999994E-2</c:v>
                </c:pt>
                <c:pt idx="729">
                  <c:v>2.1677344999999994E-2</c:v>
                </c:pt>
                <c:pt idx="730">
                  <c:v>2.1888099999999997E-2</c:v>
                </c:pt>
                <c:pt idx="731">
                  <c:v>2.1429334999999997E-2</c:v>
                </c:pt>
                <c:pt idx="732">
                  <c:v>2.0970569999999997E-2</c:v>
                </c:pt>
                <c:pt idx="733">
                  <c:v>2.1157219999999997E-2</c:v>
                </c:pt>
                <c:pt idx="734">
                  <c:v>2.1343869999999994E-2</c:v>
                </c:pt>
                <c:pt idx="735">
                  <c:v>2.0924184999999998E-2</c:v>
                </c:pt>
                <c:pt idx="736">
                  <c:v>2.0504499999999998E-2</c:v>
                </c:pt>
                <c:pt idx="737">
                  <c:v>2.0553994999999999E-2</c:v>
                </c:pt>
                <c:pt idx="738">
                  <c:v>2.0603489999999995E-2</c:v>
                </c:pt>
                <c:pt idx="739">
                  <c:v>2.0748494999999995E-2</c:v>
                </c:pt>
                <c:pt idx="740">
                  <c:v>2.0893499999999995E-2</c:v>
                </c:pt>
                <c:pt idx="741">
                  <c:v>2.1189359999999997E-2</c:v>
                </c:pt>
                <c:pt idx="742">
                  <c:v>2.1485219999999996E-2</c:v>
                </c:pt>
                <c:pt idx="743">
                  <c:v>2.0931489999999997E-2</c:v>
                </c:pt>
                <c:pt idx="744">
                  <c:v>2.0377759999999998E-2</c:v>
                </c:pt>
                <c:pt idx="745">
                  <c:v>2.0392549999999995E-2</c:v>
                </c:pt>
                <c:pt idx="746">
                  <c:v>2.0407339999999996E-2</c:v>
                </c:pt>
                <c:pt idx="747">
                  <c:v>2.0650419999999996E-2</c:v>
                </c:pt>
                <c:pt idx="748">
                  <c:v>2.0893499999999995E-2</c:v>
                </c:pt>
                <c:pt idx="749">
                  <c:v>2.0901534999999995E-2</c:v>
                </c:pt>
                <c:pt idx="750">
                  <c:v>2.0909569999999995E-2</c:v>
                </c:pt>
                <c:pt idx="751">
                  <c:v>2.1243784999999998E-2</c:v>
                </c:pt>
                <c:pt idx="752">
                  <c:v>2.1578E-2</c:v>
                </c:pt>
                <c:pt idx="753">
                  <c:v>2.1061705E-2</c:v>
                </c:pt>
                <c:pt idx="754">
                  <c:v>2.054541E-2</c:v>
                </c:pt>
                <c:pt idx="755">
                  <c:v>2.0384514999999999E-2</c:v>
                </c:pt>
                <c:pt idx="756">
                  <c:v>2.0223619999999998E-2</c:v>
                </c:pt>
                <c:pt idx="757">
                  <c:v>2.0636359999999999E-2</c:v>
                </c:pt>
                <c:pt idx="758">
                  <c:v>2.1049099999999998E-2</c:v>
                </c:pt>
                <c:pt idx="759">
                  <c:v>2.1039784999999998E-2</c:v>
                </c:pt>
                <c:pt idx="760">
                  <c:v>2.1030469999999996E-2</c:v>
                </c:pt>
                <c:pt idx="761">
                  <c:v>2.0263429999999995E-2</c:v>
                </c:pt>
                <c:pt idx="762">
                  <c:v>1.9496389999999995E-2</c:v>
                </c:pt>
                <c:pt idx="763">
                  <c:v>1.9754809999999998E-2</c:v>
                </c:pt>
                <c:pt idx="764">
                  <c:v>2.001323E-2</c:v>
                </c:pt>
                <c:pt idx="765">
                  <c:v>1.9925564999999999E-2</c:v>
                </c:pt>
                <c:pt idx="766">
                  <c:v>1.9837899999999995E-2</c:v>
                </c:pt>
                <c:pt idx="767">
                  <c:v>1.9605964999999996E-2</c:v>
                </c:pt>
                <c:pt idx="768">
                  <c:v>1.9374029999999997E-2</c:v>
                </c:pt>
                <c:pt idx="769">
                  <c:v>1.9357774999999997E-2</c:v>
                </c:pt>
                <c:pt idx="770">
                  <c:v>1.9341519999999997E-2</c:v>
                </c:pt>
                <c:pt idx="771">
                  <c:v>1.9239609999999997E-2</c:v>
                </c:pt>
                <c:pt idx="772">
                  <c:v>1.9137700000000001E-2</c:v>
                </c:pt>
                <c:pt idx="773">
                  <c:v>1.8905035000000001E-2</c:v>
                </c:pt>
                <c:pt idx="774">
                  <c:v>1.8672369999999997E-2</c:v>
                </c:pt>
                <c:pt idx="775">
                  <c:v>1.9199619999999997E-2</c:v>
                </c:pt>
                <c:pt idx="776">
                  <c:v>1.9726869999999997E-2</c:v>
                </c:pt>
                <c:pt idx="777">
                  <c:v>1.9646509999999999E-2</c:v>
                </c:pt>
                <c:pt idx="778">
                  <c:v>1.9566149999999997E-2</c:v>
                </c:pt>
                <c:pt idx="779">
                  <c:v>1.9962089999999998E-2</c:v>
                </c:pt>
                <c:pt idx="780">
                  <c:v>2.0358029999999999E-2</c:v>
                </c:pt>
                <c:pt idx="781">
                  <c:v>2.0203894999999996E-2</c:v>
                </c:pt>
                <c:pt idx="782">
                  <c:v>2.0049759999999993E-2</c:v>
                </c:pt>
                <c:pt idx="783">
                  <c:v>1.9725954999999993E-2</c:v>
                </c:pt>
                <c:pt idx="784">
                  <c:v>1.9402149999999993E-2</c:v>
                </c:pt>
                <c:pt idx="785">
                  <c:v>2.0072399999999997E-2</c:v>
                </c:pt>
                <c:pt idx="786">
                  <c:v>2.0742650000000001E-2</c:v>
                </c:pt>
                <c:pt idx="787">
                  <c:v>2.0013045E-2</c:v>
                </c:pt>
                <c:pt idx="788">
                  <c:v>1.9283439999999995E-2</c:v>
                </c:pt>
                <c:pt idx="789">
                  <c:v>1.9661849999999998E-2</c:v>
                </c:pt>
                <c:pt idx="790">
                  <c:v>2.0040260000000001E-2</c:v>
                </c:pt>
                <c:pt idx="791">
                  <c:v>1.9848499999999998E-2</c:v>
                </c:pt>
                <c:pt idx="792">
                  <c:v>1.9656739999999995E-2</c:v>
                </c:pt>
                <c:pt idx="793">
                  <c:v>1.9802474999999993E-2</c:v>
                </c:pt>
                <c:pt idx="794">
                  <c:v>1.9948209999999994E-2</c:v>
                </c:pt>
                <c:pt idx="795">
                  <c:v>2.0290274999999997E-2</c:v>
                </c:pt>
                <c:pt idx="796">
                  <c:v>2.0632339999999996E-2</c:v>
                </c:pt>
                <c:pt idx="797">
                  <c:v>2.0188919999999999E-2</c:v>
                </c:pt>
                <c:pt idx="798">
                  <c:v>1.9745499999999999E-2</c:v>
                </c:pt>
                <c:pt idx="799">
                  <c:v>1.9964289999999996E-2</c:v>
                </c:pt>
                <c:pt idx="800">
                  <c:v>2.0183079999999996E-2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FE-4C71-A014-FF2ADB0F709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Spectra!$I$3:$I$803</c:f>
              <c:numCache>
                <c:formatCode>0.00E+00</c:formatCode>
                <c:ptCount val="801"/>
                <c:pt idx="0">
                  <c:v>7.3533509999999984E-5</c:v>
                </c:pt>
                <c:pt idx="1">
                  <c:v>6.759612999999999E-5</c:v>
                </c:pt>
                <c:pt idx="2">
                  <c:v>4.1148489999999993E-5</c:v>
                </c:pt>
                <c:pt idx="3">
                  <c:v>8.0889409999999992E-5</c:v>
                </c:pt>
                <c:pt idx="4">
                  <c:v>7.8534940000000002E-5</c:v>
                </c:pt>
                <c:pt idx="5">
                  <c:v>8.6238169999999995E-5</c:v>
                </c:pt>
                <c:pt idx="6">
                  <c:v>1.0774289999999999E-4</c:v>
                </c:pt>
                <c:pt idx="7">
                  <c:v>9.5692629999999981E-5</c:v>
                </c:pt>
                <c:pt idx="8">
                  <c:v>1.1688289999999999E-5</c:v>
                </c:pt>
                <c:pt idx="9">
                  <c:v>1.1038979999999998E-4</c:v>
                </c:pt>
                <c:pt idx="10">
                  <c:v>1.5206479999999999E-4</c:v>
                </c:pt>
                <c:pt idx="11">
                  <c:v>1.8620099999999999E-4</c:v>
                </c:pt>
                <c:pt idx="12">
                  <c:v>1.8506769999999996E-4</c:v>
                </c:pt>
                <c:pt idx="13">
                  <c:v>2.1339079999999994E-4</c:v>
                </c:pt>
                <c:pt idx="14">
                  <c:v>2.0135889999999999E-4</c:v>
                </c:pt>
                <c:pt idx="15">
                  <c:v>1.7283829999999997E-4</c:v>
                </c:pt>
                <c:pt idx="16">
                  <c:v>2.3868319999999999E-4</c:v>
                </c:pt>
                <c:pt idx="17">
                  <c:v>3.0448779999999999E-4</c:v>
                </c:pt>
                <c:pt idx="18">
                  <c:v>2.4905159999999996E-4</c:v>
                </c:pt>
                <c:pt idx="19">
                  <c:v>2.5149020000000001E-4</c:v>
                </c:pt>
                <c:pt idx="20">
                  <c:v>2.7641689999999996E-4</c:v>
                </c:pt>
                <c:pt idx="21">
                  <c:v>3.1107599999999997E-4</c:v>
                </c:pt>
                <c:pt idx="22">
                  <c:v>2.8299779999999995E-4</c:v>
                </c:pt>
                <c:pt idx="23">
                  <c:v>3.4853930000000003E-4</c:v>
                </c:pt>
                <c:pt idx="24">
                  <c:v>3.8658739999999995E-4</c:v>
                </c:pt>
                <c:pt idx="25">
                  <c:v>4.0015119999999997E-4</c:v>
                </c:pt>
                <c:pt idx="26">
                  <c:v>3.9488659999999993E-4</c:v>
                </c:pt>
                <c:pt idx="27">
                  <c:v>3.9463059999999991E-4</c:v>
                </c:pt>
                <c:pt idx="28">
                  <c:v>4.1108269999999997E-4</c:v>
                </c:pt>
                <c:pt idx="29">
                  <c:v>1.3011769999999999E-3</c:v>
                </c:pt>
                <c:pt idx="30">
                  <c:v>2.1302159999999999E-3</c:v>
                </c:pt>
                <c:pt idx="31">
                  <c:v>8.0319070000000009E-4</c:v>
                </c:pt>
                <c:pt idx="32">
                  <c:v>5.0347029999999989E-4</c:v>
                </c:pt>
                <c:pt idx="33">
                  <c:v>4.2278199999999996E-4</c:v>
                </c:pt>
                <c:pt idx="34">
                  <c:v>4.6234009999999997E-4</c:v>
                </c:pt>
                <c:pt idx="35">
                  <c:v>3.4162199999999998E-4</c:v>
                </c:pt>
                <c:pt idx="36">
                  <c:v>4.6504559999999996E-4</c:v>
                </c:pt>
                <c:pt idx="37">
                  <c:v>6.2558129999999983E-4</c:v>
                </c:pt>
                <c:pt idx="38">
                  <c:v>5.9560199999999987E-4</c:v>
                </c:pt>
                <c:pt idx="39">
                  <c:v>7.9821859999999983E-4</c:v>
                </c:pt>
                <c:pt idx="40">
                  <c:v>8.3269479999999987E-4</c:v>
                </c:pt>
                <c:pt idx="41">
                  <c:v>9.412419999999999E-4</c:v>
                </c:pt>
                <c:pt idx="42">
                  <c:v>1.0284749999999998E-3</c:v>
                </c:pt>
                <c:pt idx="43">
                  <c:v>9.9052509999999995E-4</c:v>
                </c:pt>
                <c:pt idx="44">
                  <c:v>9.6398239999999987E-4</c:v>
                </c:pt>
                <c:pt idx="45">
                  <c:v>1.0292419999999999E-3</c:v>
                </c:pt>
                <c:pt idx="46">
                  <c:v>1.0060629999999997E-3</c:v>
                </c:pt>
                <c:pt idx="47">
                  <c:v>9.5436709999999994E-4</c:v>
                </c:pt>
                <c:pt idx="48">
                  <c:v>1.0681789999999998E-3</c:v>
                </c:pt>
                <c:pt idx="49">
                  <c:v>1.1404219999999999E-3</c:v>
                </c:pt>
                <c:pt idx="50">
                  <c:v>1.1448459999999999E-3</c:v>
                </c:pt>
                <c:pt idx="51">
                  <c:v>1.2246199999999998E-3</c:v>
                </c:pt>
                <c:pt idx="52">
                  <c:v>1.1034230000000001E-3</c:v>
                </c:pt>
                <c:pt idx="53">
                  <c:v>1.5606449999999996E-3</c:v>
                </c:pt>
                <c:pt idx="54">
                  <c:v>1.5309579999999996E-3</c:v>
                </c:pt>
                <c:pt idx="55">
                  <c:v>1.5898929999999998E-3</c:v>
                </c:pt>
                <c:pt idx="56">
                  <c:v>1.4469789999999997E-3</c:v>
                </c:pt>
                <c:pt idx="57">
                  <c:v>1.6136199999999996E-3</c:v>
                </c:pt>
                <c:pt idx="58">
                  <c:v>1.9004719999999998E-3</c:v>
                </c:pt>
                <c:pt idx="59">
                  <c:v>1.8327989999999995E-3</c:v>
                </c:pt>
                <c:pt idx="60">
                  <c:v>2.1124109999999998E-3</c:v>
                </c:pt>
                <c:pt idx="61">
                  <c:v>2.808554E-3</c:v>
                </c:pt>
                <c:pt idx="62">
                  <c:v>2.6166119999999999E-3</c:v>
                </c:pt>
                <c:pt idx="63">
                  <c:v>2.8250789999999994E-3</c:v>
                </c:pt>
                <c:pt idx="64">
                  <c:v>3.2707839999999992E-3</c:v>
                </c:pt>
                <c:pt idx="65">
                  <c:v>3.3797329999999993E-3</c:v>
                </c:pt>
                <c:pt idx="66">
                  <c:v>3.7996999999999996E-3</c:v>
                </c:pt>
                <c:pt idx="67">
                  <c:v>4.7798789999999999E-3</c:v>
                </c:pt>
                <c:pt idx="68">
                  <c:v>4.9341630000000001E-3</c:v>
                </c:pt>
                <c:pt idx="69">
                  <c:v>4.4694829999999998E-3</c:v>
                </c:pt>
                <c:pt idx="70">
                  <c:v>4.2801009999999997E-3</c:v>
                </c:pt>
                <c:pt idx="71">
                  <c:v>4.0808479999999989E-3</c:v>
                </c:pt>
                <c:pt idx="72">
                  <c:v>3.8812289999999995E-3</c:v>
                </c:pt>
                <c:pt idx="73">
                  <c:v>4.4384070000000001E-3</c:v>
                </c:pt>
                <c:pt idx="74">
                  <c:v>4.9952180000000001E-3</c:v>
                </c:pt>
                <c:pt idx="75">
                  <c:v>5.3725194999999998E-3</c:v>
                </c:pt>
                <c:pt idx="76">
                  <c:v>5.7498209999999996E-3</c:v>
                </c:pt>
                <c:pt idx="77">
                  <c:v>5.9933109999999986E-3</c:v>
                </c:pt>
                <c:pt idx="78">
                  <c:v>5.7702940000000005E-3</c:v>
                </c:pt>
                <c:pt idx="79">
                  <c:v>6.4488509999999994E-3</c:v>
                </c:pt>
                <c:pt idx="80">
                  <c:v>7.2736489999999984E-3</c:v>
                </c:pt>
                <c:pt idx="81">
                  <c:v>6.2835989999999991E-3</c:v>
                </c:pt>
                <c:pt idx="82">
                  <c:v>6.5402519999999981E-3</c:v>
                </c:pt>
                <c:pt idx="83">
                  <c:v>6.4386149999999974E-3</c:v>
                </c:pt>
                <c:pt idx="84">
                  <c:v>6.6839330000000004E-3</c:v>
                </c:pt>
                <c:pt idx="85">
                  <c:v>7.2955850000000003E-3</c:v>
                </c:pt>
                <c:pt idx="86">
                  <c:v>6.0682589999999986E-3</c:v>
                </c:pt>
                <c:pt idx="87">
                  <c:v>5.6251500000000006E-3</c:v>
                </c:pt>
                <c:pt idx="88">
                  <c:v>5.892404999999999E-3</c:v>
                </c:pt>
                <c:pt idx="89">
                  <c:v>6.4737119999999987E-3</c:v>
                </c:pt>
                <c:pt idx="90">
                  <c:v>7.0151679999999987E-3</c:v>
                </c:pt>
                <c:pt idx="91">
                  <c:v>6.4726149999999993E-3</c:v>
                </c:pt>
                <c:pt idx="92">
                  <c:v>6.8246900000000004E-3</c:v>
                </c:pt>
                <c:pt idx="93">
                  <c:v>7.1811519999999988E-3</c:v>
                </c:pt>
                <c:pt idx="94">
                  <c:v>5.0208099999999997E-3</c:v>
                </c:pt>
                <c:pt idx="95">
                  <c:v>5.3589919999999999E-3</c:v>
                </c:pt>
                <c:pt idx="96">
                  <c:v>6.3614719999999982E-3</c:v>
                </c:pt>
                <c:pt idx="97">
                  <c:v>5.9351809999999994E-3</c:v>
                </c:pt>
                <c:pt idx="98">
                  <c:v>6.4579909999999989E-3</c:v>
                </c:pt>
                <c:pt idx="99">
                  <c:v>6.5409830000000002E-3</c:v>
                </c:pt>
                <c:pt idx="100">
                  <c:v>7.3416509999999994E-3</c:v>
                </c:pt>
                <c:pt idx="101">
                  <c:v>7.6889729999999983E-3</c:v>
                </c:pt>
                <c:pt idx="102">
                  <c:v>6.3497729999999995E-3</c:v>
                </c:pt>
                <c:pt idx="103">
                  <c:v>6.9515539999999987E-3</c:v>
                </c:pt>
                <c:pt idx="104">
                  <c:v>8.3419379999999984E-3</c:v>
                </c:pt>
                <c:pt idx="105">
                  <c:v>8.367529999999998E-3</c:v>
                </c:pt>
                <c:pt idx="106">
                  <c:v>6.7884949999999994E-3</c:v>
                </c:pt>
                <c:pt idx="107">
                  <c:v>5.5322869999999986E-3</c:v>
                </c:pt>
                <c:pt idx="108">
                  <c:v>4.3045959999999999E-3</c:v>
                </c:pt>
                <c:pt idx="109">
                  <c:v>5.2741729999999992E-3</c:v>
                </c:pt>
                <c:pt idx="110">
                  <c:v>6.6031349999999996E-3</c:v>
                </c:pt>
                <c:pt idx="111">
                  <c:v>6.764366E-3</c:v>
                </c:pt>
                <c:pt idx="112">
                  <c:v>6.7369449999999994E-3</c:v>
                </c:pt>
                <c:pt idx="113">
                  <c:v>7.3489629999999992E-3</c:v>
                </c:pt>
                <c:pt idx="114">
                  <c:v>7.1738399999999999E-3</c:v>
                </c:pt>
                <c:pt idx="115">
                  <c:v>8.5678799999999982E-3</c:v>
                </c:pt>
                <c:pt idx="116">
                  <c:v>1.0218569999999996E-2</c:v>
                </c:pt>
                <c:pt idx="117">
                  <c:v>1.02215E-2</c:v>
                </c:pt>
                <c:pt idx="118">
                  <c:v>8.5605679999999976E-3</c:v>
                </c:pt>
                <c:pt idx="119">
                  <c:v>8.8742539999999998E-3</c:v>
                </c:pt>
                <c:pt idx="120">
                  <c:v>8.7207009999999991E-3</c:v>
                </c:pt>
                <c:pt idx="121">
                  <c:v>8.1309849999999968E-3</c:v>
                </c:pt>
                <c:pt idx="122">
                  <c:v>6.8846489999999996E-3</c:v>
                </c:pt>
                <c:pt idx="123">
                  <c:v>5.2109229999999992E-3</c:v>
                </c:pt>
                <c:pt idx="124">
                  <c:v>4.6486279999999984E-3</c:v>
                </c:pt>
                <c:pt idx="125">
                  <c:v>5.404692E-3</c:v>
                </c:pt>
                <c:pt idx="126">
                  <c:v>6.1658749999999986E-3</c:v>
                </c:pt>
                <c:pt idx="127">
                  <c:v>8.1404909999999997E-3</c:v>
                </c:pt>
                <c:pt idx="128">
                  <c:v>9.3305249999999975E-3</c:v>
                </c:pt>
                <c:pt idx="129">
                  <c:v>7.9854759999999983E-3</c:v>
                </c:pt>
                <c:pt idx="130">
                  <c:v>7.6396169999999996E-3</c:v>
                </c:pt>
                <c:pt idx="131">
                  <c:v>7.0425889999999993E-3</c:v>
                </c:pt>
                <c:pt idx="132">
                  <c:v>5.1908149999999988E-3</c:v>
                </c:pt>
                <c:pt idx="133">
                  <c:v>4.2654769999999993E-3</c:v>
                </c:pt>
                <c:pt idx="134">
                  <c:v>5.2781939999999991E-3</c:v>
                </c:pt>
                <c:pt idx="135">
                  <c:v>5.6664629999999992E-3</c:v>
                </c:pt>
                <c:pt idx="136">
                  <c:v>5.5655569999999996E-3</c:v>
                </c:pt>
                <c:pt idx="137">
                  <c:v>5.652935999999999E-3</c:v>
                </c:pt>
                <c:pt idx="138">
                  <c:v>5.9903869999999998E-3</c:v>
                </c:pt>
                <c:pt idx="139">
                  <c:v>7.2677989999999984E-3</c:v>
                </c:pt>
                <c:pt idx="140">
                  <c:v>8.178879E-3</c:v>
                </c:pt>
                <c:pt idx="141">
                  <c:v>8.8442739999999992E-3</c:v>
                </c:pt>
                <c:pt idx="142">
                  <c:v>7.9650019999999988E-3</c:v>
                </c:pt>
                <c:pt idx="143">
                  <c:v>6.5705969999999992E-3</c:v>
                </c:pt>
                <c:pt idx="144">
                  <c:v>6.9208429999999986E-3</c:v>
                </c:pt>
                <c:pt idx="145">
                  <c:v>9.2376620000000007E-3</c:v>
                </c:pt>
                <c:pt idx="146">
                  <c:v>8.5656859999999977E-3</c:v>
                </c:pt>
                <c:pt idx="147">
                  <c:v>7.8929779999999984E-3</c:v>
                </c:pt>
                <c:pt idx="148">
                  <c:v>1.2110929999999997E-2</c:v>
                </c:pt>
                <c:pt idx="149">
                  <c:v>1.4773609999999998E-2</c:v>
                </c:pt>
                <c:pt idx="150">
                  <c:v>1.580753E-2</c:v>
                </c:pt>
                <c:pt idx="151">
                  <c:v>1.6907619999999998E-2</c:v>
                </c:pt>
                <c:pt idx="152">
                  <c:v>1.7444689999999999E-2</c:v>
                </c:pt>
                <c:pt idx="153">
                  <c:v>1.6047359999999997E-2</c:v>
                </c:pt>
                <c:pt idx="154">
                  <c:v>1.4663559999999999E-2</c:v>
                </c:pt>
                <c:pt idx="155">
                  <c:v>1.6004219999999996E-2</c:v>
                </c:pt>
                <c:pt idx="156">
                  <c:v>1.5919039999999999E-2</c:v>
                </c:pt>
                <c:pt idx="157">
                  <c:v>1.5114349999999997E-2</c:v>
                </c:pt>
                <c:pt idx="158">
                  <c:v>1.7283099999999996E-2</c:v>
                </c:pt>
                <c:pt idx="159">
                  <c:v>1.9997689999999999E-2</c:v>
                </c:pt>
                <c:pt idx="160">
                  <c:v>1.8846039999999998E-2</c:v>
                </c:pt>
                <c:pt idx="161">
                  <c:v>1.8971809999999999E-2</c:v>
                </c:pt>
                <c:pt idx="162">
                  <c:v>1.9523510000000001E-2</c:v>
                </c:pt>
                <c:pt idx="163">
                  <c:v>1.8501279999999998E-2</c:v>
                </c:pt>
                <c:pt idx="164">
                  <c:v>1.7235199999999999E-2</c:v>
                </c:pt>
                <c:pt idx="165">
                  <c:v>1.7255309999999999E-2</c:v>
                </c:pt>
                <c:pt idx="166">
                  <c:v>1.8248649999999998E-2</c:v>
                </c:pt>
                <c:pt idx="167">
                  <c:v>1.808413E-2</c:v>
                </c:pt>
                <c:pt idx="168">
                  <c:v>1.7257869999999998E-2</c:v>
                </c:pt>
                <c:pt idx="169">
                  <c:v>1.7270299999999995E-2</c:v>
                </c:pt>
                <c:pt idx="170">
                  <c:v>1.7472479999999995E-2</c:v>
                </c:pt>
                <c:pt idx="171">
                  <c:v>1.8427429999999995E-2</c:v>
                </c:pt>
                <c:pt idx="172">
                  <c:v>1.5204649999999998E-2</c:v>
                </c:pt>
                <c:pt idx="173">
                  <c:v>1.413527E-2</c:v>
                </c:pt>
                <c:pt idx="174">
                  <c:v>1.7082749999999997E-2</c:v>
                </c:pt>
                <c:pt idx="175">
                  <c:v>1.6989519999999998E-2</c:v>
                </c:pt>
                <c:pt idx="176">
                  <c:v>1.6787339999999998E-2</c:v>
                </c:pt>
                <c:pt idx="177">
                  <c:v>1.6806719999999997E-2</c:v>
                </c:pt>
                <c:pt idx="178">
                  <c:v>1.6241499999999999E-2</c:v>
                </c:pt>
                <c:pt idx="179">
                  <c:v>1.6619899999999996E-2</c:v>
                </c:pt>
                <c:pt idx="180">
                  <c:v>1.4818569999999998E-2</c:v>
                </c:pt>
                <c:pt idx="181">
                  <c:v>1.7336479999999998E-2</c:v>
                </c:pt>
                <c:pt idx="182">
                  <c:v>2.0260559999999997E-2</c:v>
                </c:pt>
                <c:pt idx="183">
                  <c:v>2.1772319999999998E-2</c:v>
                </c:pt>
                <c:pt idx="184">
                  <c:v>2.3382429999999996E-2</c:v>
                </c:pt>
                <c:pt idx="185">
                  <c:v>2.3168920000000003E-2</c:v>
                </c:pt>
                <c:pt idx="186">
                  <c:v>2.4511039999999998E-2</c:v>
                </c:pt>
                <c:pt idx="187">
                  <c:v>2.400213E-2</c:v>
                </c:pt>
                <c:pt idx="188">
                  <c:v>2.0063869999999998E-2</c:v>
                </c:pt>
                <c:pt idx="189">
                  <c:v>2.101333E-2</c:v>
                </c:pt>
                <c:pt idx="190">
                  <c:v>2.1614749999999995E-2</c:v>
                </c:pt>
                <c:pt idx="191">
                  <c:v>2.2129879999999998E-2</c:v>
                </c:pt>
                <c:pt idx="192">
                  <c:v>2.4375039999999997E-2</c:v>
                </c:pt>
                <c:pt idx="193">
                  <c:v>2.4742469999999996E-2</c:v>
                </c:pt>
                <c:pt idx="194">
                  <c:v>2.5320849999999999E-2</c:v>
                </c:pt>
                <c:pt idx="195">
                  <c:v>2.5123059999999996E-2</c:v>
                </c:pt>
                <c:pt idx="196">
                  <c:v>2.4679589999999998E-2</c:v>
                </c:pt>
                <c:pt idx="197">
                  <c:v>2.8541439999999994E-2</c:v>
                </c:pt>
                <c:pt idx="198">
                  <c:v>2.9947179999999997E-2</c:v>
                </c:pt>
                <c:pt idx="199">
                  <c:v>2.9105929999999999E-2</c:v>
                </c:pt>
                <c:pt idx="200">
                  <c:v>3.0871059999999999E-2</c:v>
                </c:pt>
                <c:pt idx="201">
                  <c:v>3.2695769999999999E-2</c:v>
                </c:pt>
                <c:pt idx="202">
                  <c:v>3.0554079999999997E-2</c:v>
                </c:pt>
                <c:pt idx="203">
                  <c:v>2.8089189999999993E-2</c:v>
                </c:pt>
                <c:pt idx="204">
                  <c:v>2.9350149999999998E-2</c:v>
                </c:pt>
                <c:pt idx="205">
                  <c:v>3.1821989999999994E-2</c:v>
                </c:pt>
                <c:pt idx="206">
                  <c:v>3.2272409999999994E-2</c:v>
                </c:pt>
                <c:pt idx="207">
                  <c:v>3.413807E-2</c:v>
                </c:pt>
                <c:pt idx="208">
                  <c:v>3.3043089999999997E-2</c:v>
                </c:pt>
                <c:pt idx="209">
                  <c:v>3.2979109999999999E-2</c:v>
                </c:pt>
                <c:pt idx="210">
                  <c:v>3.3162279999999995E-2</c:v>
                </c:pt>
                <c:pt idx="211">
                  <c:v>3.4078109999999995E-2</c:v>
                </c:pt>
                <c:pt idx="212">
                  <c:v>3.546118999999999E-2</c:v>
                </c:pt>
                <c:pt idx="213">
                  <c:v>3.5063409999999996E-2</c:v>
                </c:pt>
                <c:pt idx="214">
                  <c:v>3.3716169999999997E-2</c:v>
                </c:pt>
                <c:pt idx="215">
                  <c:v>3.2550999999999997E-2</c:v>
                </c:pt>
                <c:pt idx="216">
                  <c:v>3.2950229999999997E-2</c:v>
                </c:pt>
                <c:pt idx="217">
                  <c:v>3.3427709999999992E-2</c:v>
                </c:pt>
                <c:pt idx="218">
                  <c:v>3.3656579999999998E-2</c:v>
                </c:pt>
                <c:pt idx="219">
                  <c:v>3.4034969999999998E-2</c:v>
                </c:pt>
                <c:pt idx="220">
                  <c:v>3.2391959999999997E-2</c:v>
                </c:pt>
                <c:pt idx="221">
                  <c:v>3.3103789999999994E-2</c:v>
                </c:pt>
                <c:pt idx="222">
                  <c:v>3.409384E-2</c:v>
                </c:pt>
                <c:pt idx="223">
                  <c:v>3.4204249999999999E-2</c:v>
                </c:pt>
                <c:pt idx="224">
                  <c:v>3.4253599999999995E-2</c:v>
                </c:pt>
                <c:pt idx="225">
                  <c:v>3.4435669999999988E-2</c:v>
                </c:pt>
                <c:pt idx="226">
                  <c:v>3.2923539999999994E-2</c:v>
                </c:pt>
                <c:pt idx="227">
                  <c:v>3.2246819999999995E-2</c:v>
                </c:pt>
                <c:pt idx="228">
                  <c:v>3.2648610000000002E-2</c:v>
                </c:pt>
                <c:pt idx="229">
                  <c:v>3.3139249999999995E-2</c:v>
                </c:pt>
                <c:pt idx="230">
                  <c:v>3.4825039999999995E-2</c:v>
                </c:pt>
                <c:pt idx="231">
                  <c:v>3.5007839999999998E-2</c:v>
                </c:pt>
                <c:pt idx="232">
                  <c:v>3.5390629999999999E-2</c:v>
                </c:pt>
                <c:pt idx="233">
                  <c:v>3.4030589999999993E-2</c:v>
                </c:pt>
                <c:pt idx="234">
                  <c:v>3.4413739999999998E-2</c:v>
                </c:pt>
                <c:pt idx="235">
                  <c:v>3.4489779999999998E-2</c:v>
                </c:pt>
                <c:pt idx="236">
                  <c:v>3.281423E-2</c:v>
                </c:pt>
                <c:pt idx="237">
                  <c:v>3.2242429999999996E-2</c:v>
                </c:pt>
                <c:pt idx="238">
                  <c:v>3.138508999999999E-2</c:v>
                </c:pt>
                <c:pt idx="239">
                  <c:v>3.2809109999999995E-2</c:v>
                </c:pt>
                <c:pt idx="240">
                  <c:v>3.4142459999999993E-2</c:v>
                </c:pt>
                <c:pt idx="241">
                  <c:v>3.3397729999999994E-2</c:v>
                </c:pt>
                <c:pt idx="242">
                  <c:v>3.2216839999999997E-2</c:v>
                </c:pt>
                <c:pt idx="243">
                  <c:v>3.2783519999999997E-2</c:v>
                </c:pt>
                <c:pt idx="244">
                  <c:v>3.4564359999999995E-2</c:v>
                </c:pt>
                <c:pt idx="245">
                  <c:v>3.346975E-2</c:v>
                </c:pt>
                <c:pt idx="246">
                  <c:v>3.2338219999999994E-2</c:v>
                </c:pt>
                <c:pt idx="247">
                  <c:v>3.3236869999999995E-2</c:v>
                </c:pt>
                <c:pt idx="248">
                  <c:v>3.1966399999999992E-2</c:v>
                </c:pt>
                <c:pt idx="249">
                  <c:v>3.0988049999999996E-2</c:v>
                </c:pt>
                <c:pt idx="250">
                  <c:v>3.1006689999999996E-2</c:v>
                </c:pt>
                <c:pt idx="251">
                  <c:v>2.9786319999999995E-2</c:v>
                </c:pt>
                <c:pt idx="252">
                  <c:v>3.0074769999999994E-2</c:v>
                </c:pt>
                <c:pt idx="253">
                  <c:v>3.0752959999999992E-2</c:v>
                </c:pt>
                <c:pt idx="254">
                  <c:v>2.9103739999999999E-2</c:v>
                </c:pt>
                <c:pt idx="255">
                  <c:v>2.9429849999999997E-2</c:v>
                </c:pt>
                <c:pt idx="256">
                  <c:v>2.9870769999999994E-2</c:v>
                </c:pt>
                <c:pt idx="257">
                  <c:v>2.8860249999999997E-2</c:v>
                </c:pt>
                <c:pt idx="258">
                  <c:v>2.8331949999999998E-2</c:v>
                </c:pt>
                <c:pt idx="259">
                  <c:v>2.8930439999999998E-2</c:v>
                </c:pt>
                <c:pt idx="260">
                  <c:v>2.8199969999999998E-2</c:v>
                </c:pt>
                <c:pt idx="261">
                  <c:v>2.8033989999999998E-2</c:v>
                </c:pt>
                <c:pt idx="262">
                  <c:v>2.7699819999999997E-2</c:v>
                </c:pt>
                <c:pt idx="263">
                  <c:v>2.6820919999999995E-2</c:v>
                </c:pt>
                <c:pt idx="264">
                  <c:v>2.6737559999999994E-2</c:v>
                </c:pt>
                <c:pt idx="265">
                  <c:v>2.7297660000000001E-2</c:v>
                </c:pt>
                <c:pt idx="266">
                  <c:v>2.6019879999999995E-2</c:v>
                </c:pt>
                <c:pt idx="267">
                  <c:v>2.2349609999999992E-2</c:v>
                </c:pt>
                <c:pt idx="268">
                  <c:v>2.1702489999999998E-2</c:v>
                </c:pt>
                <c:pt idx="269">
                  <c:v>2.5194359999999996E-2</c:v>
                </c:pt>
                <c:pt idx="270">
                  <c:v>2.6210729999999995E-2</c:v>
                </c:pt>
                <c:pt idx="271">
                  <c:v>2.737883E-2</c:v>
                </c:pt>
                <c:pt idx="272">
                  <c:v>3.0485709999999996E-2</c:v>
                </c:pt>
                <c:pt idx="273">
                  <c:v>3.2052309999999994E-2</c:v>
                </c:pt>
                <c:pt idx="274">
                  <c:v>3.4134419999999992E-2</c:v>
                </c:pt>
                <c:pt idx="275">
                  <c:v>3.4384849999999995E-2</c:v>
                </c:pt>
                <c:pt idx="276">
                  <c:v>3.1123319999999996E-2</c:v>
                </c:pt>
                <c:pt idx="277">
                  <c:v>2.8669769999999994E-2</c:v>
                </c:pt>
                <c:pt idx="278">
                  <c:v>3.2135669999999991E-2</c:v>
                </c:pt>
                <c:pt idx="279">
                  <c:v>3.467514E-2</c:v>
                </c:pt>
                <c:pt idx="280">
                  <c:v>3.5441449999999999E-2</c:v>
                </c:pt>
                <c:pt idx="281">
                  <c:v>3.6768579999999995E-2</c:v>
                </c:pt>
                <c:pt idx="282">
                  <c:v>3.5309459999999994E-2</c:v>
                </c:pt>
                <c:pt idx="283">
                  <c:v>3.3269769999999997E-2</c:v>
                </c:pt>
                <c:pt idx="284">
                  <c:v>3.4064219999999999E-2</c:v>
                </c:pt>
                <c:pt idx="285">
                  <c:v>3.5860789999999997E-2</c:v>
                </c:pt>
                <c:pt idx="286">
                  <c:v>3.6965999999999992E-2</c:v>
                </c:pt>
                <c:pt idx="287">
                  <c:v>3.5791689999999994E-2</c:v>
                </c:pt>
                <c:pt idx="288">
                  <c:v>3.6220909999999995E-2</c:v>
                </c:pt>
                <c:pt idx="289">
                  <c:v>3.6618679999999994E-2</c:v>
                </c:pt>
                <c:pt idx="290">
                  <c:v>3.396917E-2</c:v>
                </c:pt>
                <c:pt idx="291">
                  <c:v>3.3873739999999999E-2</c:v>
                </c:pt>
                <c:pt idx="292">
                  <c:v>3.7828819999999999E-2</c:v>
                </c:pt>
                <c:pt idx="293">
                  <c:v>3.6911159999999991E-2</c:v>
                </c:pt>
                <c:pt idx="294">
                  <c:v>3.7123209999999997E-2</c:v>
                </c:pt>
                <c:pt idx="295">
                  <c:v>3.7752049999999995E-2</c:v>
                </c:pt>
                <c:pt idx="296">
                  <c:v>3.7316979999999993E-2</c:v>
                </c:pt>
                <c:pt idx="297">
                  <c:v>3.8373569999999996E-2</c:v>
                </c:pt>
                <c:pt idx="298">
                  <c:v>3.797507E-2</c:v>
                </c:pt>
                <c:pt idx="299">
                  <c:v>3.8574650000000002E-2</c:v>
                </c:pt>
                <c:pt idx="300">
                  <c:v>3.8618529999999998E-2</c:v>
                </c:pt>
                <c:pt idx="301">
                  <c:v>3.75985E-2</c:v>
                </c:pt>
                <c:pt idx="302">
                  <c:v>3.7276759999999992E-2</c:v>
                </c:pt>
                <c:pt idx="303">
                  <c:v>3.9583709999999987E-2</c:v>
                </c:pt>
                <c:pt idx="304">
                  <c:v>3.9623929999999995E-2</c:v>
                </c:pt>
                <c:pt idx="305">
                  <c:v>4.0749979999999998E-2</c:v>
                </c:pt>
                <c:pt idx="306">
                  <c:v>4.074632999999999E-2</c:v>
                </c:pt>
                <c:pt idx="307">
                  <c:v>3.909381E-2</c:v>
                </c:pt>
                <c:pt idx="308">
                  <c:v>3.8772079999999993E-2</c:v>
                </c:pt>
                <c:pt idx="309">
                  <c:v>3.7814199999999992E-2</c:v>
                </c:pt>
                <c:pt idx="310">
                  <c:v>3.7002559999999997E-2</c:v>
                </c:pt>
                <c:pt idx="311">
                  <c:v>3.8077429999999995E-2</c:v>
                </c:pt>
                <c:pt idx="312">
                  <c:v>3.9174239999999992E-2</c:v>
                </c:pt>
                <c:pt idx="313">
                  <c:v>3.9141339999999997E-2</c:v>
                </c:pt>
                <c:pt idx="314">
                  <c:v>4.0647610000000001E-2</c:v>
                </c:pt>
                <c:pt idx="315">
                  <c:v>4.0962029999999996E-2</c:v>
                </c:pt>
                <c:pt idx="316">
                  <c:v>4.0084589999999996E-2</c:v>
                </c:pt>
                <c:pt idx="317">
                  <c:v>4.0186959999999994E-2</c:v>
                </c:pt>
                <c:pt idx="318">
                  <c:v>4.0113839999999991E-2</c:v>
                </c:pt>
                <c:pt idx="319">
                  <c:v>4.038804E-2</c:v>
                </c:pt>
                <c:pt idx="320">
                  <c:v>4.0691489999999997E-2</c:v>
                </c:pt>
                <c:pt idx="321">
                  <c:v>3.9419189999999993E-2</c:v>
                </c:pt>
                <c:pt idx="322">
                  <c:v>4.0574489999999998E-2</c:v>
                </c:pt>
                <c:pt idx="323">
                  <c:v>4.2201419999999996E-2</c:v>
                </c:pt>
                <c:pt idx="324">
                  <c:v>4.2223359999999995E-2</c:v>
                </c:pt>
                <c:pt idx="325">
                  <c:v>4.2227014999999993E-2</c:v>
                </c:pt>
                <c:pt idx="326">
                  <c:v>4.2230669999999991E-2</c:v>
                </c:pt>
                <c:pt idx="327">
                  <c:v>4.2219704999999989E-2</c:v>
                </c:pt>
                <c:pt idx="328">
                  <c:v>4.2208739999999988E-2</c:v>
                </c:pt>
                <c:pt idx="329">
                  <c:v>4.2212394999999993E-2</c:v>
                </c:pt>
                <c:pt idx="330">
                  <c:v>4.2216049999999998E-2</c:v>
                </c:pt>
                <c:pt idx="331">
                  <c:v>4.2217875000000002E-2</c:v>
                </c:pt>
                <c:pt idx="332">
                  <c:v>4.2219699999999999E-2</c:v>
                </c:pt>
                <c:pt idx="333">
                  <c:v>4.2206904999999996E-2</c:v>
                </c:pt>
                <c:pt idx="334">
                  <c:v>4.2194109999999993E-2</c:v>
                </c:pt>
                <c:pt idx="335">
                  <c:v>4.2195939999999994E-2</c:v>
                </c:pt>
                <c:pt idx="336">
                  <c:v>4.2197769999999996E-2</c:v>
                </c:pt>
                <c:pt idx="337">
                  <c:v>4.2201424999999994E-2</c:v>
                </c:pt>
                <c:pt idx="338">
                  <c:v>4.2205079999999992E-2</c:v>
                </c:pt>
                <c:pt idx="339">
                  <c:v>4.2190454999999995E-2</c:v>
                </c:pt>
                <c:pt idx="340">
                  <c:v>4.2175829999999997E-2</c:v>
                </c:pt>
                <c:pt idx="341">
                  <c:v>4.2175829999999997E-2</c:v>
                </c:pt>
                <c:pt idx="342">
                  <c:v>4.2175829999999997E-2</c:v>
                </c:pt>
                <c:pt idx="343">
                  <c:v>4.2175829999999997E-2</c:v>
                </c:pt>
                <c:pt idx="344">
                  <c:v>4.2175829999999997E-2</c:v>
                </c:pt>
                <c:pt idx="345">
                  <c:v>4.2175829999999997E-2</c:v>
                </c:pt>
                <c:pt idx="346">
                  <c:v>4.2175829999999997E-2</c:v>
                </c:pt>
                <c:pt idx="347">
                  <c:v>4.2190454999999995E-2</c:v>
                </c:pt>
                <c:pt idx="348">
                  <c:v>4.2205079999999992E-2</c:v>
                </c:pt>
                <c:pt idx="349">
                  <c:v>4.0578149999999993E-2</c:v>
                </c:pt>
                <c:pt idx="350">
                  <c:v>3.8951220000000002E-2</c:v>
                </c:pt>
                <c:pt idx="351">
                  <c:v>4.0576319999999999E-2</c:v>
                </c:pt>
                <c:pt idx="352">
                  <c:v>4.2201419999999996E-2</c:v>
                </c:pt>
                <c:pt idx="353">
                  <c:v>4.2596274999999996E-2</c:v>
                </c:pt>
                <c:pt idx="354">
                  <c:v>4.2991129999999995E-2</c:v>
                </c:pt>
                <c:pt idx="355">
                  <c:v>4.3214144999999995E-2</c:v>
                </c:pt>
                <c:pt idx="356">
                  <c:v>4.3437160000000002E-2</c:v>
                </c:pt>
                <c:pt idx="357">
                  <c:v>4.3340274999999998E-2</c:v>
                </c:pt>
                <c:pt idx="358">
                  <c:v>4.324339E-2</c:v>
                </c:pt>
                <c:pt idx="359">
                  <c:v>4.2696814999999999E-2</c:v>
                </c:pt>
                <c:pt idx="360">
                  <c:v>4.2150239999999999E-2</c:v>
                </c:pt>
                <c:pt idx="361">
                  <c:v>4.1373334999999997E-2</c:v>
                </c:pt>
                <c:pt idx="362">
                  <c:v>4.0596429999999989E-2</c:v>
                </c:pt>
                <c:pt idx="363">
                  <c:v>3.9384459999999996E-2</c:v>
                </c:pt>
                <c:pt idx="364">
                  <c:v>3.8172490000000003E-2</c:v>
                </c:pt>
                <c:pt idx="365">
                  <c:v>3.7960439999999998E-2</c:v>
                </c:pt>
                <c:pt idx="366">
                  <c:v>3.7748389999999993E-2</c:v>
                </c:pt>
                <c:pt idx="367">
                  <c:v>3.8574649999999995E-2</c:v>
                </c:pt>
                <c:pt idx="368">
                  <c:v>3.9400909999999997E-2</c:v>
                </c:pt>
                <c:pt idx="369">
                  <c:v>4.0303944999999994E-2</c:v>
                </c:pt>
                <c:pt idx="370">
                  <c:v>4.120697999999999E-2</c:v>
                </c:pt>
                <c:pt idx="371">
                  <c:v>4.0874284999999989E-2</c:v>
                </c:pt>
                <c:pt idx="372">
                  <c:v>4.0541589999999988E-2</c:v>
                </c:pt>
                <c:pt idx="373">
                  <c:v>3.9896304999999993E-2</c:v>
                </c:pt>
                <c:pt idx="374">
                  <c:v>3.9251019999999991E-2</c:v>
                </c:pt>
                <c:pt idx="375">
                  <c:v>3.9481344999999987E-2</c:v>
                </c:pt>
                <c:pt idx="376">
                  <c:v>3.9711669999999991E-2</c:v>
                </c:pt>
                <c:pt idx="377">
                  <c:v>3.9102944999999993E-2</c:v>
                </c:pt>
                <c:pt idx="378">
                  <c:v>3.8494219999999996E-2</c:v>
                </c:pt>
                <c:pt idx="379">
                  <c:v>3.9033484999999993E-2</c:v>
                </c:pt>
                <c:pt idx="380">
                  <c:v>3.9572749999999997E-2</c:v>
                </c:pt>
                <c:pt idx="381">
                  <c:v>3.9921894999999999E-2</c:v>
                </c:pt>
                <c:pt idx="382">
                  <c:v>4.0271040000000001E-2</c:v>
                </c:pt>
                <c:pt idx="383">
                  <c:v>4.0892564999999999E-2</c:v>
                </c:pt>
                <c:pt idx="384">
                  <c:v>4.1514089999999997E-2</c:v>
                </c:pt>
                <c:pt idx="385">
                  <c:v>4.1053429999999995E-2</c:v>
                </c:pt>
                <c:pt idx="386">
                  <c:v>4.0592769999999993E-2</c:v>
                </c:pt>
                <c:pt idx="387">
                  <c:v>4.1095474999999992E-2</c:v>
                </c:pt>
                <c:pt idx="388">
                  <c:v>4.1598179999999998E-2</c:v>
                </c:pt>
                <c:pt idx="389">
                  <c:v>4.178280999999999E-2</c:v>
                </c:pt>
                <c:pt idx="390">
                  <c:v>4.1967439999999988E-2</c:v>
                </c:pt>
                <c:pt idx="391">
                  <c:v>4.2093569999999997E-2</c:v>
                </c:pt>
                <c:pt idx="392">
                  <c:v>4.2219699999999999E-2</c:v>
                </c:pt>
                <c:pt idx="393">
                  <c:v>4.2075290000000001E-2</c:v>
                </c:pt>
                <c:pt idx="394">
                  <c:v>4.1930879999999997E-2</c:v>
                </c:pt>
                <c:pt idx="395">
                  <c:v>4.2027764999999995E-2</c:v>
                </c:pt>
                <c:pt idx="396">
                  <c:v>4.2124649999999993E-2</c:v>
                </c:pt>
                <c:pt idx="397">
                  <c:v>4.170237999999999E-2</c:v>
                </c:pt>
                <c:pt idx="398">
                  <c:v>4.1280109999999988E-2</c:v>
                </c:pt>
                <c:pt idx="399">
                  <c:v>4.094192499999999E-2</c:v>
                </c:pt>
                <c:pt idx="400">
                  <c:v>4.0603739999999992E-2</c:v>
                </c:pt>
                <c:pt idx="401">
                  <c:v>4.1331289999999993E-2</c:v>
                </c:pt>
                <c:pt idx="402">
                  <c:v>4.2058839999999993E-2</c:v>
                </c:pt>
                <c:pt idx="403">
                  <c:v>4.2647459999999998E-2</c:v>
                </c:pt>
                <c:pt idx="404">
                  <c:v>4.3236079999999996E-2</c:v>
                </c:pt>
                <c:pt idx="405">
                  <c:v>4.2872304999999999E-2</c:v>
                </c:pt>
                <c:pt idx="406">
                  <c:v>4.2508529999999996E-2</c:v>
                </c:pt>
                <c:pt idx="407">
                  <c:v>4.2534124999999992E-2</c:v>
                </c:pt>
                <c:pt idx="408">
                  <c:v>4.2559719999999995E-2</c:v>
                </c:pt>
                <c:pt idx="409">
                  <c:v>4.2839404999999997E-2</c:v>
                </c:pt>
                <c:pt idx="410">
                  <c:v>4.3119089999999992E-2</c:v>
                </c:pt>
                <c:pt idx="411">
                  <c:v>4.308983999999999E-2</c:v>
                </c:pt>
                <c:pt idx="412">
                  <c:v>4.3060589999999996E-2</c:v>
                </c:pt>
                <c:pt idx="413">
                  <c:v>4.2300134999999996E-2</c:v>
                </c:pt>
                <c:pt idx="414">
                  <c:v>4.1539679999999995E-2</c:v>
                </c:pt>
                <c:pt idx="415">
                  <c:v>4.1490324999999995E-2</c:v>
                </c:pt>
                <c:pt idx="416">
                  <c:v>4.1440969999999994E-2</c:v>
                </c:pt>
                <c:pt idx="417">
                  <c:v>4.1678609999999991E-2</c:v>
                </c:pt>
                <c:pt idx="418">
                  <c:v>4.1916249999999995E-2</c:v>
                </c:pt>
                <c:pt idx="419">
                  <c:v>4.1592694999999999E-2</c:v>
                </c:pt>
                <c:pt idx="420">
                  <c:v>4.1269140000000003E-2</c:v>
                </c:pt>
                <c:pt idx="421">
                  <c:v>4.0888914999999998E-2</c:v>
                </c:pt>
                <c:pt idx="422">
                  <c:v>4.0508689999999993E-2</c:v>
                </c:pt>
                <c:pt idx="423">
                  <c:v>4.0768264999999998E-2</c:v>
                </c:pt>
                <c:pt idx="424">
                  <c:v>4.1027840000000003E-2</c:v>
                </c:pt>
                <c:pt idx="425">
                  <c:v>4.0810304999999998E-2</c:v>
                </c:pt>
                <c:pt idx="426">
                  <c:v>4.0592769999999993E-2</c:v>
                </c:pt>
                <c:pt idx="427">
                  <c:v>4.0569009999999996E-2</c:v>
                </c:pt>
                <c:pt idx="428">
                  <c:v>4.0545249999999998E-2</c:v>
                </c:pt>
                <c:pt idx="429">
                  <c:v>4.0570839999999997E-2</c:v>
                </c:pt>
                <c:pt idx="430">
                  <c:v>4.0596429999999989E-2</c:v>
                </c:pt>
                <c:pt idx="431">
                  <c:v>4.035695999999999E-2</c:v>
                </c:pt>
                <c:pt idx="432">
                  <c:v>4.0117489999999992E-2</c:v>
                </c:pt>
                <c:pt idx="433">
                  <c:v>4.0192439999999996E-2</c:v>
                </c:pt>
                <c:pt idx="434">
                  <c:v>4.0267389999999993E-2</c:v>
                </c:pt>
                <c:pt idx="435">
                  <c:v>3.9071869999999995E-2</c:v>
                </c:pt>
                <c:pt idx="436">
                  <c:v>3.7876349999999996E-2</c:v>
                </c:pt>
                <c:pt idx="437">
                  <c:v>3.7377304999999993E-2</c:v>
                </c:pt>
                <c:pt idx="438">
                  <c:v>3.6878259999999989E-2</c:v>
                </c:pt>
                <c:pt idx="439">
                  <c:v>3.7779469999999989E-2</c:v>
                </c:pt>
                <c:pt idx="440">
                  <c:v>3.8680679999999988E-2</c:v>
                </c:pt>
                <c:pt idx="441">
                  <c:v>3.8905524999999989E-2</c:v>
                </c:pt>
                <c:pt idx="442">
                  <c:v>3.9130369999999991E-2</c:v>
                </c:pt>
                <c:pt idx="443">
                  <c:v>3.9711674999999988E-2</c:v>
                </c:pt>
                <c:pt idx="444">
                  <c:v>4.0292979999999992E-2</c:v>
                </c:pt>
                <c:pt idx="445">
                  <c:v>4.0384379999999998E-2</c:v>
                </c:pt>
                <c:pt idx="446">
                  <c:v>4.0475779999999996E-2</c:v>
                </c:pt>
                <c:pt idx="447">
                  <c:v>4.0280184999999996E-2</c:v>
                </c:pt>
                <c:pt idx="448">
                  <c:v>4.0084589999999996E-2</c:v>
                </c:pt>
                <c:pt idx="449">
                  <c:v>3.9481349999999998E-2</c:v>
                </c:pt>
                <c:pt idx="450">
                  <c:v>3.8878109999999994E-2</c:v>
                </c:pt>
                <c:pt idx="451">
                  <c:v>3.9163274999999997E-2</c:v>
                </c:pt>
                <c:pt idx="452">
                  <c:v>3.9448439999999994E-2</c:v>
                </c:pt>
                <c:pt idx="453">
                  <c:v>3.9989529999999995E-2</c:v>
                </c:pt>
                <c:pt idx="454">
                  <c:v>4.0530619999999989E-2</c:v>
                </c:pt>
                <c:pt idx="455">
                  <c:v>4.0717079999999989E-2</c:v>
                </c:pt>
                <c:pt idx="456">
                  <c:v>4.0903539999999995E-2</c:v>
                </c:pt>
                <c:pt idx="457">
                  <c:v>4.0287499999999997E-2</c:v>
                </c:pt>
                <c:pt idx="458">
                  <c:v>3.9671459999999999E-2</c:v>
                </c:pt>
                <c:pt idx="459">
                  <c:v>3.9958454999999997E-2</c:v>
                </c:pt>
                <c:pt idx="460">
                  <c:v>4.0245449999999995E-2</c:v>
                </c:pt>
                <c:pt idx="461">
                  <c:v>3.9989529999999995E-2</c:v>
                </c:pt>
                <c:pt idx="462">
                  <c:v>3.9733610000000003E-2</c:v>
                </c:pt>
                <c:pt idx="463">
                  <c:v>3.945941E-2</c:v>
                </c:pt>
                <c:pt idx="464">
                  <c:v>3.9185209999999991E-2</c:v>
                </c:pt>
                <c:pt idx="465">
                  <c:v>3.9499624999999997E-2</c:v>
                </c:pt>
                <c:pt idx="466">
                  <c:v>3.9814039999999995E-2</c:v>
                </c:pt>
                <c:pt idx="467">
                  <c:v>3.9528874999999998E-2</c:v>
                </c:pt>
                <c:pt idx="468">
                  <c:v>3.9243710000000001E-2</c:v>
                </c:pt>
                <c:pt idx="469">
                  <c:v>3.8587449999999995E-2</c:v>
                </c:pt>
                <c:pt idx="470">
                  <c:v>3.7931189999999997E-2</c:v>
                </c:pt>
                <c:pt idx="471">
                  <c:v>3.7816024999999996E-2</c:v>
                </c:pt>
                <c:pt idx="472">
                  <c:v>3.7700859999999996E-2</c:v>
                </c:pt>
                <c:pt idx="473">
                  <c:v>3.8053669999999991E-2</c:v>
                </c:pt>
                <c:pt idx="474">
                  <c:v>3.8406479999999986E-2</c:v>
                </c:pt>
                <c:pt idx="475">
                  <c:v>3.8682509999999989E-2</c:v>
                </c:pt>
                <c:pt idx="476">
                  <c:v>3.895854E-2</c:v>
                </c:pt>
                <c:pt idx="477">
                  <c:v>3.9018859999999995E-2</c:v>
                </c:pt>
                <c:pt idx="478">
                  <c:v>3.9079179999999991E-2</c:v>
                </c:pt>
                <c:pt idx="479">
                  <c:v>3.9389944999999996E-2</c:v>
                </c:pt>
                <c:pt idx="480">
                  <c:v>3.9700709999999993E-2</c:v>
                </c:pt>
                <c:pt idx="481">
                  <c:v>3.9530704999999992E-2</c:v>
                </c:pt>
                <c:pt idx="482">
                  <c:v>3.9360699999999992E-2</c:v>
                </c:pt>
                <c:pt idx="483">
                  <c:v>3.9357039999999996E-2</c:v>
                </c:pt>
                <c:pt idx="484">
                  <c:v>3.935338E-2</c:v>
                </c:pt>
                <c:pt idx="485">
                  <c:v>3.8834229999999997E-2</c:v>
                </c:pt>
                <c:pt idx="486">
                  <c:v>3.8315080000000001E-2</c:v>
                </c:pt>
                <c:pt idx="487">
                  <c:v>3.8539919999999998E-2</c:v>
                </c:pt>
                <c:pt idx="488">
                  <c:v>3.8764759999999995E-2</c:v>
                </c:pt>
                <c:pt idx="489">
                  <c:v>3.8883584999999998E-2</c:v>
                </c:pt>
                <c:pt idx="490">
                  <c:v>3.9002409999999994E-2</c:v>
                </c:pt>
                <c:pt idx="491">
                  <c:v>3.9291234999999994E-2</c:v>
                </c:pt>
                <c:pt idx="492">
                  <c:v>3.9580059999999993E-2</c:v>
                </c:pt>
                <c:pt idx="493">
                  <c:v>3.9656835000000001E-2</c:v>
                </c:pt>
                <c:pt idx="494">
                  <c:v>3.9733610000000003E-2</c:v>
                </c:pt>
                <c:pt idx="495">
                  <c:v>3.9996845000000003E-2</c:v>
                </c:pt>
                <c:pt idx="496">
                  <c:v>4.0260079999999997E-2</c:v>
                </c:pt>
                <c:pt idx="497">
                  <c:v>4.0053509999999994E-2</c:v>
                </c:pt>
                <c:pt idx="498">
                  <c:v>3.984693999999999E-2</c:v>
                </c:pt>
                <c:pt idx="499">
                  <c:v>3.9810379999999992E-2</c:v>
                </c:pt>
                <c:pt idx="500">
                  <c:v>3.9773819999999994E-2</c:v>
                </c:pt>
                <c:pt idx="501">
                  <c:v>3.9706184999999998E-2</c:v>
                </c:pt>
                <c:pt idx="502">
                  <c:v>3.9638550000000002E-2</c:v>
                </c:pt>
                <c:pt idx="503">
                  <c:v>3.9651344999999998E-2</c:v>
                </c:pt>
                <c:pt idx="504">
                  <c:v>3.9664139999999994E-2</c:v>
                </c:pt>
                <c:pt idx="505">
                  <c:v>3.9267464999999994E-2</c:v>
                </c:pt>
                <c:pt idx="506">
                  <c:v>3.8870789999999995E-2</c:v>
                </c:pt>
                <c:pt idx="507">
                  <c:v>3.8583789999999993E-2</c:v>
                </c:pt>
                <c:pt idx="508">
                  <c:v>3.829678999999999E-2</c:v>
                </c:pt>
                <c:pt idx="509">
                  <c:v>3.6478654999999992E-2</c:v>
                </c:pt>
                <c:pt idx="510">
                  <c:v>3.4660519999999993E-2</c:v>
                </c:pt>
                <c:pt idx="511">
                  <c:v>3.4733094999999992E-2</c:v>
                </c:pt>
                <c:pt idx="512">
                  <c:v>3.480566999999999E-2</c:v>
                </c:pt>
                <c:pt idx="513">
                  <c:v>3.5975409999999992E-2</c:v>
                </c:pt>
                <c:pt idx="514">
                  <c:v>3.7145149999999995E-2</c:v>
                </c:pt>
                <c:pt idx="515">
                  <c:v>3.7514409999999998E-2</c:v>
                </c:pt>
                <c:pt idx="516">
                  <c:v>3.7883669999999994E-2</c:v>
                </c:pt>
                <c:pt idx="517">
                  <c:v>3.7197979999999992E-2</c:v>
                </c:pt>
                <c:pt idx="518">
                  <c:v>3.6512289999999996E-2</c:v>
                </c:pt>
                <c:pt idx="519">
                  <c:v>3.7649494999999998E-2</c:v>
                </c:pt>
                <c:pt idx="520">
                  <c:v>3.87867E-2</c:v>
                </c:pt>
                <c:pt idx="521">
                  <c:v>3.8293139999999996E-2</c:v>
                </c:pt>
                <c:pt idx="522">
                  <c:v>3.7799579999999992E-2</c:v>
                </c:pt>
                <c:pt idx="523">
                  <c:v>3.8176149999999992E-2</c:v>
                </c:pt>
                <c:pt idx="524">
                  <c:v>3.8552719999999999E-2</c:v>
                </c:pt>
                <c:pt idx="525">
                  <c:v>3.8611214999999997E-2</c:v>
                </c:pt>
                <c:pt idx="526">
                  <c:v>3.8669709999999996E-2</c:v>
                </c:pt>
                <c:pt idx="527">
                  <c:v>3.8644119999999997E-2</c:v>
                </c:pt>
                <c:pt idx="528">
                  <c:v>3.8618529999999998E-2</c:v>
                </c:pt>
                <c:pt idx="529">
                  <c:v>3.8592934999999995E-2</c:v>
                </c:pt>
                <c:pt idx="530">
                  <c:v>3.8567339999999992E-2</c:v>
                </c:pt>
                <c:pt idx="531">
                  <c:v>3.8934769999999994E-2</c:v>
                </c:pt>
                <c:pt idx="532">
                  <c:v>3.9302199999999995E-2</c:v>
                </c:pt>
                <c:pt idx="533">
                  <c:v>3.9128539999999996E-2</c:v>
                </c:pt>
                <c:pt idx="534">
                  <c:v>3.8954879999999997E-2</c:v>
                </c:pt>
                <c:pt idx="535">
                  <c:v>3.8856169999999995E-2</c:v>
                </c:pt>
                <c:pt idx="536">
                  <c:v>3.8757459999999994E-2</c:v>
                </c:pt>
                <c:pt idx="537">
                  <c:v>3.8605729999999991E-2</c:v>
                </c:pt>
                <c:pt idx="538">
                  <c:v>3.8453999999999995E-2</c:v>
                </c:pt>
                <c:pt idx="539">
                  <c:v>3.7964094999999996E-2</c:v>
                </c:pt>
                <c:pt idx="540">
                  <c:v>3.7474189999999998E-2</c:v>
                </c:pt>
                <c:pt idx="541">
                  <c:v>3.7022669999999994E-2</c:v>
                </c:pt>
                <c:pt idx="542">
                  <c:v>3.6571149999999997E-2</c:v>
                </c:pt>
                <c:pt idx="543">
                  <c:v>3.6197324999999995E-2</c:v>
                </c:pt>
                <c:pt idx="544">
                  <c:v>3.5823499999999994E-2</c:v>
                </c:pt>
                <c:pt idx="545">
                  <c:v>3.6427654999999989E-2</c:v>
                </c:pt>
                <c:pt idx="546">
                  <c:v>3.7031809999999991E-2</c:v>
                </c:pt>
                <c:pt idx="547">
                  <c:v>3.7516234999999995E-2</c:v>
                </c:pt>
                <c:pt idx="548">
                  <c:v>3.8000659999999992E-2</c:v>
                </c:pt>
                <c:pt idx="549">
                  <c:v>3.7863559999999991E-2</c:v>
                </c:pt>
                <c:pt idx="550">
                  <c:v>3.7726459999999989E-2</c:v>
                </c:pt>
                <c:pt idx="551">
                  <c:v>3.7580214999999986E-2</c:v>
                </c:pt>
                <c:pt idx="552">
                  <c:v>3.743396999999999E-2</c:v>
                </c:pt>
                <c:pt idx="553">
                  <c:v>3.7572899999999992E-2</c:v>
                </c:pt>
                <c:pt idx="554">
                  <c:v>3.7711829999999995E-2</c:v>
                </c:pt>
                <c:pt idx="555">
                  <c:v>3.7395584999999995E-2</c:v>
                </c:pt>
                <c:pt idx="556">
                  <c:v>3.7079339999999995E-2</c:v>
                </c:pt>
                <c:pt idx="557">
                  <c:v>3.6510464999999992E-2</c:v>
                </c:pt>
                <c:pt idx="558">
                  <c:v>3.5941589999999995E-2</c:v>
                </c:pt>
                <c:pt idx="559">
                  <c:v>3.6226574999999997E-2</c:v>
                </c:pt>
                <c:pt idx="560">
                  <c:v>3.6511559999999998E-2</c:v>
                </c:pt>
                <c:pt idx="561">
                  <c:v>3.709889999999999E-2</c:v>
                </c:pt>
                <c:pt idx="562">
                  <c:v>3.7686239999999989E-2</c:v>
                </c:pt>
                <c:pt idx="563">
                  <c:v>3.7786779999999992E-2</c:v>
                </c:pt>
                <c:pt idx="564">
                  <c:v>3.7887319999999995E-2</c:v>
                </c:pt>
                <c:pt idx="565">
                  <c:v>3.7149534999999997E-2</c:v>
                </c:pt>
                <c:pt idx="566">
                  <c:v>3.6411749999999993E-2</c:v>
                </c:pt>
                <c:pt idx="567">
                  <c:v>3.6030974999999993E-2</c:v>
                </c:pt>
                <c:pt idx="568">
                  <c:v>3.56502E-2</c:v>
                </c:pt>
                <c:pt idx="569">
                  <c:v>3.5563369999999997E-2</c:v>
                </c:pt>
                <c:pt idx="570">
                  <c:v>3.5476539999999994E-2</c:v>
                </c:pt>
                <c:pt idx="571">
                  <c:v>3.5877239999999991E-2</c:v>
                </c:pt>
                <c:pt idx="572">
                  <c:v>3.6277939999999995E-2</c:v>
                </c:pt>
                <c:pt idx="573">
                  <c:v>3.697843499999999E-2</c:v>
                </c:pt>
                <c:pt idx="574">
                  <c:v>3.7678929999999992E-2</c:v>
                </c:pt>
                <c:pt idx="575">
                  <c:v>3.7349884999999992E-2</c:v>
                </c:pt>
                <c:pt idx="576">
                  <c:v>3.7020839999999992E-2</c:v>
                </c:pt>
                <c:pt idx="577">
                  <c:v>3.6867289999999997E-2</c:v>
                </c:pt>
                <c:pt idx="578">
                  <c:v>3.6713739999999995E-2</c:v>
                </c:pt>
                <c:pt idx="579">
                  <c:v>3.6608809999999992E-2</c:v>
                </c:pt>
                <c:pt idx="580">
                  <c:v>3.6503879999999995E-2</c:v>
                </c:pt>
                <c:pt idx="581">
                  <c:v>3.5876689999999996E-2</c:v>
                </c:pt>
                <c:pt idx="582">
                  <c:v>3.5249499999999996E-2</c:v>
                </c:pt>
                <c:pt idx="583">
                  <c:v>3.5541980000000001E-2</c:v>
                </c:pt>
                <c:pt idx="584">
                  <c:v>3.5834459999999999E-2</c:v>
                </c:pt>
                <c:pt idx="585">
                  <c:v>3.5206724999999994E-2</c:v>
                </c:pt>
                <c:pt idx="586">
                  <c:v>3.457898999999999E-2</c:v>
                </c:pt>
                <c:pt idx="587">
                  <c:v>3.5862069999999996E-2</c:v>
                </c:pt>
                <c:pt idx="588">
                  <c:v>3.7145149999999995E-2</c:v>
                </c:pt>
                <c:pt idx="589">
                  <c:v>3.6329674999999992E-2</c:v>
                </c:pt>
                <c:pt idx="590">
                  <c:v>3.5514199999999996E-2</c:v>
                </c:pt>
                <c:pt idx="591">
                  <c:v>3.6209024999999992E-2</c:v>
                </c:pt>
                <c:pt idx="592">
                  <c:v>3.6903849999999995E-2</c:v>
                </c:pt>
                <c:pt idx="593">
                  <c:v>3.5571414999999995E-2</c:v>
                </c:pt>
                <c:pt idx="594">
                  <c:v>3.4238979999999995E-2</c:v>
                </c:pt>
                <c:pt idx="595">
                  <c:v>3.5388799999999991E-2</c:v>
                </c:pt>
                <c:pt idx="596">
                  <c:v>3.6538619999999987E-2</c:v>
                </c:pt>
                <c:pt idx="597">
                  <c:v>3.6452519999999988E-2</c:v>
                </c:pt>
                <c:pt idx="598">
                  <c:v>3.6366419999999997E-2</c:v>
                </c:pt>
                <c:pt idx="599">
                  <c:v>3.5548384999999995E-2</c:v>
                </c:pt>
                <c:pt idx="600">
                  <c:v>3.4730349999999993E-2</c:v>
                </c:pt>
                <c:pt idx="601">
                  <c:v>3.4356519999999995E-2</c:v>
                </c:pt>
                <c:pt idx="602">
                  <c:v>3.3982689999999996E-2</c:v>
                </c:pt>
                <c:pt idx="603">
                  <c:v>3.3482914999999995E-2</c:v>
                </c:pt>
                <c:pt idx="604">
                  <c:v>3.2983139999999994E-2</c:v>
                </c:pt>
                <c:pt idx="605">
                  <c:v>3.2997399999999996E-2</c:v>
                </c:pt>
                <c:pt idx="606">
                  <c:v>3.3011659999999998E-2</c:v>
                </c:pt>
                <c:pt idx="607">
                  <c:v>3.4260184999999999E-2</c:v>
                </c:pt>
                <c:pt idx="608">
                  <c:v>3.5508709999999999E-2</c:v>
                </c:pt>
                <c:pt idx="609">
                  <c:v>3.5938474999999998E-2</c:v>
                </c:pt>
                <c:pt idx="610">
                  <c:v>3.6368239999999996E-2</c:v>
                </c:pt>
                <c:pt idx="611">
                  <c:v>3.5714179999999998E-2</c:v>
                </c:pt>
                <c:pt idx="612">
                  <c:v>3.506012E-2</c:v>
                </c:pt>
                <c:pt idx="613">
                  <c:v>3.4486124999999999E-2</c:v>
                </c:pt>
                <c:pt idx="614">
                  <c:v>3.3912129999999999E-2</c:v>
                </c:pt>
                <c:pt idx="615">
                  <c:v>3.3298649999999999E-2</c:v>
                </c:pt>
                <c:pt idx="616">
                  <c:v>3.268517E-2</c:v>
                </c:pt>
                <c:pt idx="617">
                  <c:v>3.2329074999999999E-2</c:v>
                </c:pt>
                <c:pt idx="618">
                  <c:v>3.1972979999999991E-2</c:v>
                </c:pt>
                <c:pt idx="619">
                  <c:v>3.3688384999999987E-2</c:v>
                </c:pt>
                <c:pt idx="620">
                  <c:v>3.5403789999999991E-2</c:v>
                </c:pt>
                <c:pt idx="621">
                  <c:v>3.5579459999999993E-2</c:v>
                </c:pt>
                <c:pt idx="622">
                  <c:v>3.5755129999999996E-2</c:v>
                </c:pt>
                <c:pt idx="623">
                  <c:v>3.5841415000000001E-2</c:v>
                </c:pt>
                <c:pt idx="624">
                  <c:v>3.59277E-2</c:v>
                </c:pt>
                <c:pt idx="625">
                  <c:v>3.4727245000000004E-2</c:v>
                </c:pt>
                <c:pt idx="626">
                  <c:v>3.3526790000000001E-2</c:v>
                </c:pt>
                <c:pt idx="627">
                  <c:v>3.3884529999999996E-2</c:v>
                </c:pt>
                <c:pt idx="628">
                  <c:v>3.4242269999999998E-2</c:v>
                </c:pt>
                <c:pt idx="629">
                  <c:v>3.3343804999999997E-2</c:v>
                </c:pt>
                <c:pt idx="630">
                  <c:v>3.2445339999999996E-2</c:v>
                </c:pt>
                <c:pt idx="631">
                  <c:v>3.2321764999999995E-2</c:v>
                </c:pt>
                <c:pt idx="632">
                  <c:v>3.2198189999999995E-2</c:v>
                </c:pt>
                <c:pt idx="633">
                  <c:v>3.2538749999999991E-2</c:v>
                </c:pt>
                <c:pt idx="634">
                  <c:v>3.2879309999999995E-2</c:v>
                </c:pt>
                <c:pt idx="635">
                  <c:v>3.3593144999999991E-2</c:v>
                </c:pt>
                <c:pt idx="636">
                  <c:v>3.4306979999999994E-2</c:v>
                </c:pt>
                <c:pt idx="637">
                  <c:v>3.3608134999999997E-2</c:v>
                </c:pt>
                <c:pt idx="638">
                  <c:v>3.2909289999999994E-2</c:v>
                </c:pt>
                <c:pt idx="639">
                  <c:v>3.3433560000000001E-2</c:v>
                </c:pt>
                <c:pt idx="640">
                  <c:v>3.3957830000000001E-2</c:v>
                </c:pt>
                <c:pt idx="641">
                  <c:v>3.4253234999999993E-2</c:v>
                </c:pt>
                <c:pt idx="642">
                  <c:v>3.4548639999999992E-2</c:v>
                </c:pt>
                <c:pt idx="643">
                  <c:v>3.4310999999999994E-2</c:v>
                </c:pt>
                <c:pt idx="644">
                  <c:v>3.4073359999999997E-2</c:v>
                </c:pt>
                <c:pt idx="645">
                  <c:v>3.4017789999999992E-2</c:v>
                </c:pt>
                <c:pt idx="646">
                  <c:v>3.3962219999999994E-2</c:v>
                </c:pt>
                <c:pt idx="647">
                  <c:v>3.3652004999999999E-2</c:v>
                </c:pt>
                <c:pt idx="648">
                  <c:v>3.3341789999999996E-2</c:v>
                </c:pt>
                <c:pt idx="649">
                  <c:v>3.2620639999999992E-2</c:v>
                </c:pt>
                <c:pt idx="650">
                  <c:v>3.1899489999999996E-2</c:v>
                </c:pt>
                <c:pt idx="651">
                  <c:v>3.2219759999999993E-2</c:v>
                </c:pt>
                <c:pt idx="652">
                  <c:v>3.2540029999999991E-2</c:v>
                </c:pt>
                <c:pt idx="653">
                  <c:v>3.3708859999999993E-2</c:v>
                </c:pt>
                <c:pt idx="654">
                  <c:v>3.4877689999999996E-2</c:v>
                </c:pt>
                <c:pt idx="655">
                  <c:v>3.4264939999999994E-2</c:v>
                </c:pt>
                <c:pt idx="656">
                  <c:v>3.3652189999999998E-2</c:v>
                </c:pt>
                <c:pt idx="657">
                  <c:v>3.2915685E-2</c:v>
                </c:pt>
                <c:pt idx="658">
                  <c:v>3.2179180000000002E-2</c:v>
                </c:pt>
                <c:pt idx="659">
                  <c:v>3.2572749999999998E-2</c:v>
                </c:pt>
                <c:pt idx="660">
                  <c:v>3.2966319999999993E-2</c:v>
                </c:pt>
                <c:pt idx="661">
                  <c:v>3.2900694999999994E-2</c:v>
                </c:pt>
                <c:pt idx="662">
                  <c:v>3.2835069999999994E-2</c:v>
                </c:pt>
                <c:pt idx="663">
                  <c:v>3.2176439999999994E-2</c:v>
                </c:pt>
                <c:pt idx="664">
                  <c:v>3.1517809999999993E-2</c:v>
                </c:pt>
                <c:pt idx="665">
                  <c:v>3.0651694999999996E-2</c:v>
                </c:pt>
                <c:pt idx="666">
                  <c:v>2.9785579999999999E-2</c:v>
                </c:pt>
                <c:pt idx="667">
                  <c:v>3.0448234999999997E-2</c:v>
                </c:pt>
                <c:pt idx="668">
                  <c:v>3.1110889999999995E-2</c:v>
                </c:pt>
                <c:pt idx="669">
                  <c:v>3.1682324999999997E-2</c:v>
                </c:pt>
                <c:pt idx="670">
                  <c:v>3.2253759999999992E-2</c:v>
                </c:pt>
                <c:pt idx="671">
                  <c:v>3.2196729999999993E-2</c:v>
                </c:pt>
                <c:pt idx="672">
                  <c:v>3.2139699999999993E-2</c:v>
                </c:pt>
                <c:pt idx="673">
                  <c:v>3.2207699999999992E-2</c:v>
                </c:pt>
                <c:pt idx="674">
                  <c:v>3.2275699999999997E-2</c:v>
                </c:pt>
                <c:pt idx="675">
                  <c:v>3.1588184999999998E-2</c:v>
                </c:pt>
                <c:pt idx="676">
                  <c:v>3.0900669999999998E-2</c:v>
                </c:pt>
                <c:pt idx="677">
                  <c:v>3.0827729999999998E-2</c:v>
                </c:pt>
                <c:pt idx="678">
                  <c:v>3.0754789999999994E-2</c:v>
                </c:pt>
                <c:pt idx="679">
                  <c:v>3.0301994999999995E-2</c:v>
                </c:pt>
                <c:pt idx="680">
                  <c:v>2.9849199999999996E-2</c:v>
                </c:pt>
                <c:pt idx="681">
                  <c:v>3.0138204999999994E-2</c:v>
                </c:pt>
                <c:pt idx="682">
                  <c:v>3.0427209999999993E-2</c:v>
                </c:pt>
                <c:pt idx="683">
                  <c:v>3.0381509999999994E-2</c:v>
                </c:pt>
                <c:pt idx="684">
                  <c:v>3.0335809999999998E-2</c:v>
                </c:pt>
                <c:pt idx="685">
                  <c:v>2.8661174999999997E-2</c:v>
                </c:pt>
                <c:pt idx="686">
                  <c:v>2.6986539999999993E-2</c:v>
                </c:pt>
                <c:pt idx="687">
                  <c:v>2.7885734999999995E-2</c:v>
                </c:pt>
                <c:pt idx="688">
                  <c:v>2.8784929999999997E-2</c:v>
                </c:pt>
                <c:pt idx="689">
                  <c:v>3.0565779999999994E-2</c:v>
                </c:pt>
                <c:pt idx="690">
                  <c:v>3.2346629999999994E-2</c:v>
                </c:pt>
                <c:pt idx="691">
                  <c:v>3.0563039999999993E-2</c:v>
                </c:pt>
                <c:pt idx="692">
                  <c:v>2.8779449999999995E-2</c:v>
                </c:pt>
                <c:pt idx="693">
                  <c:v>2.8218249999999997E-2</c:v>
                </c:pt>
                <c:pt idx="694">
                  <c:v>2.7657049999999999E-2</c:v>
                </c:pt>
                <c:pt idx="695">
                  <c:v>2.8078589999999997E-2</c:v>
                </c:pt>
                <c:pt idx="696">
                  <c:v>2.8500129999999995E-2</c:v>
                </c:pt>
                <c:pt idx="697">
                  <c:v>2.8743799999999996E-2</c:v>
                </c:pt>
                <c:pt idx="698">
                  <c:v>2.8987469999999998E-2</c:v>
                </c:pt>
                <c:pt idx="699">
                  <c:v>2.9241384999999998E-2</c:v>
                </c:pt>
                <c:pt idx="700">
                  <c:v>2.9495299999999999E-2</c:v>
                </c:pt>
                <c:pt idx="701">
                  <c:v>2.9672979999999995E-2</c:v>
                </c:pt>
                <c:pt idx="702">
                  <c:v>2.9850659999999994E-2</c:v>
                </c:pt>
                <c:pt idx="703">
                  <c:v>2.9751399999999994E-2</c:v>
                </c:pt>
                <c:pt idx="704">
                  <c:v>2.9652139999999994E-2</c:v>
                </c:pt>
                <c:pt idx="705">
                  <c:v>2.9834389999999995E-2</c:v>
                </c:pt>
                <c:pt idx="706">
                  <c:v>3.0016639999999997E-2</c:v>
                </c:pt>
                <c:pt idx="707">
                  <c:v>3.0105849999999997E-2</c:v>
                </c:pt>
                <c:pt idx="708">
                  <c:v>3.0195059999999996E-2</c:v>
                </c:pt>
                <c:pt idx="709">
                  <c:v>2.9618139999999994E-2</c:v>
                </c:pt>
                <c:pt idx="710">
                  <c:v>2.9041219999999993E-2</c:v>
                </c:pt>
                <c:pt idx="711">
                  <c:v>2.9444844999999994E-2</c:v>
                </c:pt>
                <c:pt idx="712">
                  <c:v>2.9848469999999995E-2</c:v>
                </c:pt>
                <c:pt idx="713">
                  <c:v>2.9990139999999995E-2</c:v>
                </c:pt>
                <c:pt idx="714">
                  <c:v>3.0131809999999995E-2</c:v>
                </c:pt>
                <c:pt idx="715">
                  <c:v>3.0266899999999996E-2</c:v>
                </c:pt>
                <c:pt idx="716">
                  <c:v>3.0401989999999997E-2</c:v>
                </c:pt>
                <c:pt idx="717">
                  <c:v>2.9934385000000001E-2</c:v>
                </c:pt>
                <c:pt idx="718">
                  <c:v>2.9466780000000001E-2</c:v>
                </c:pt>
                <c:pt idx="719">
                  <c:v>2.9963264999999996E-2</c:v>
                </c:pt>
                <c:pt idx="720">
                  <c:v>3.0459749999999994E-2</c:v>
                </c:pt>
                <c:pt idx="721">
                  <c:v>3.0561934999999998E-2</c:v>
                </c:pt>
                <c:pt idx="722">
                  <c:v>3.066412E-2</c:v>
                </c:pt>
                <c:pt idx="723">
                  <c:v>2.993767E-2</c:v>
                </c:pt>
                <c:pt idx="724">
                  <c:v>2.921122E-2</c:v>
                </c:pt>
                <c:pt idx="725">
                  <c:v>2.8929160000000002E-2</c:v>
                </c:pt>
                <c:pt idx="726">
                  <c:v>2.8647100000000002E-2</c:v>
                </c:pt>
                <c:pt idx="727">
                  <c:v>2.9351614999999998E-2</c:v>
                </c:pt>
                <c:pt idx="728">
                  <c:v>3.0056129999999997E-2</c:v>
                </c:pt>
                <c:pt idx="729">
                  <c:v>2.9495844999999996E-2</c:v>
                </c:pt>
                <c:pt idx="730">
                  <c:v>2.8935559999999996E-2</c:v>
                </c:pt>
                <c:pt idx="731">
                  <c:v>2.9414134999999994E-2</c:v>
                </c:pt>
                <c:pt idx="732">
                  <c:v>2.9892709999999996E-2</c:v>
                </c:pt>
                <c:pt idx="733">
                  <c:v>2.9382874999999996E-2</c:v>
                </c:pt>
                <c:pt idx="734">
                  <c:v>2.8873039999999999E-2</c:v>
                </c:pt>
                <c:pt idx="735">
                  <c:v>2.9451424999999996E-2</c:v>
                </c:pt>
                <c:pt idx="736">
                  <c:v>3.0029809999999994E-2</c:v>
                </c:pt>
                <c:pt idx="737">
                  <c:v>2.9341014999999995E-2</c:v>
                </c:pt>
                <c:pt idx="738">
                  <c:v>2.8652219999999996E-2</c:v>
                </c:pt>
                <c:pt idx="739">
                  <c:v>2.9281969999999997E-2</c:v>
                </c:pt>
                <c:pt idx="740">
                  <c:v>2.9911719999999996E-2</c:v>
                </c:pt>
                <c:pt idx="741">
                  <c:v>2.9851574999999995E-2</c:v>
                </c:pt>
                <c:pt idx="742">
                  <c:v>2.9791429999999994E-2</c:v>
                </c:pt>
                <c:pt idx="743">
                  <c:v>2.9934564999999996E-2</c:v>
                </c:pt>
                <c:pt idx="744">
                  <c:v>3.0077699999999995E-2</c:v>
                </c:pt>
                <c:pt idx="745">
                  <c:v>3.0146799999999994E-2</c:v>
                </c:pt>
                <c:pt idx="746">
                  <c:v>3.0215899999999997E-2</c:v>
                </c:pt>
                <c:pt idx="747">
                  <c:v>3.0608554999999996E-2</c:v>
                </c:pt>
                <c:pt idx="748">
                  <c:v>3.1001209999999994E-2</c:v>
                </c:pt>
                <c:pt idx="749">
                  <c:v>3.0655169999999995E-2</c:v>
                </c:pt>
                <c:pt idx="750">
                  <c:v>3.0309129999999997E-2</c:v>
                </c:pt>
                <c:pt idx="751">
                  <c:v>3.0509844999999997E-2</c:v>
                </c:pt>
                <c:pt idx="752">
                  <c:v>3.0710559999999998E-2</c:v>
                </c:pt>
                <c:pt idx="753">
                  <c:v>3.0831569999999996E-2</c:v>
                </c:pt>
                <c:pt idx="754">
                  <c:v>3.0952579999999997E-2</c:v>
                </c:pt>
                <c:pt idx="755">
                  <c:v>3.0648949999999998E-2</c:v>
                </c:pt>
                <c:pt idx="756">
                  <c:v>3.0345319999999999E-2</c:v>
                </c:pt>
                <c:pt idx="757">
                  <c:v>3.0070935E-2</c:v>
                </c:pt>
                <c:pt idx="758">
                  <c:v>2.9796549999999998E-2</c:v>
                </c:pt>
                <c:pt idx="759">
                  <c:v>2.9792344999999998E-2</c:v>
                </c:pt>
                <c:pt idx="760">
                  <c:v>2.9788139999999994E-2</c:v>
                </c:pt>
                <c:pt idx="761">
                  <c:v>2.9522714999999998E-2</c:v>
                </c:pt>
                <c:pt idx="762">
                  <c:v>2.9257290000000002E-2</c:v>
                </c:pt>
                <c:pt idx="763">
                  <c:v>2.9595469999999999E-2</c:v>
                </c:pt>
                <c:pt idx="764">
                  <c:v>2.9933649999999996E-2</c:v>
                </c:pt>
                <c:pt idx="765">
                  <c:v>2.8821674999999998E-2</c:v>
                </c:pt>
                <c:pt idx="766">
                  <c:v>2.7709699999999997E-2</c:v>
                </c:pt>
                <c:pt idx="767">
                  <c:v>2.7822119999999999E-2</c:v>
                </c:pt>
                <c:pt idx="768">
                  <c:v>2.7934539999999997E-2</c:v>
                </c:pt>
                <c:pt idx="769">
                  <c:v>2.7933444999999998E-2</c:v>
                </c:pt>
                <c:pt idx="770">
                  <c:v>2.7932349999999998E-2</c:v>
                </c:pt>
                <c:pt idx="771">
                  <c:v>2.7840034999999999E-2</c:v>
                </c:pt>
                <c:pt idx="772">
                  <c:v>2.7747719999999997E-2</c:v>
                </c:pt>
                <c:pt idx="773">
                  <c:v>2.7289804999999997E-2</c:v>
                </c:pt>
                <c:pt idx="774">
                  <c:v>2.6831889999999997E-2</c:v>
                </c:pt>
                <c:pt idx="775">
                  <c:v>2.7325084999999995E-2</c:v>
                </c:pt>
                <c:pt idx="776">
                  <c:v>2.7818279999999994E-2</c:v>
                </c:pt>
                <c:pt idx="777">
                  <c:v>2.7532194999999995E-2</c:v>
                </c:pt>
                <c:pt idx="778">
                  <c:v>2.7246109999999997E-2</c:v>
                </c:pt>
                <c:pt idx="779">
                  <c:v>2.7970734999999997E-2</c:v>
                </c:pt>
                <c:pt idx="780">
                  <c:v>2.869536E-2</c:v>
                </c:pt>
                <c:pt idx="781">
                  <c:v>2.8676349999999996E-2</c:v>
                </c:pt>
                <c:pt idx="782">
                  <c:v>2.8657339999999996E-2</c:v>
                </c:pt>
                <c:pt idx="783">
                  <c:v>2.8586594999999999E-2</c:v>
                </c:pt>
                <c:pt idx="784">
                  <c:v>2.8515849999999999E-2</c:v>
                </c:pt>
                <c:pt idx="785">
                  <c:v>2.8746544999999998E-2</c:v>
                </c:pt>
                <c:pt idx="786">
                  <c:v>2.8977239999999998E-2</c:v>
                </c:pt>
                <c:pt idx="787">
                  <c:v>2.9412489999999999E-2</c:v>
                </c:pt>
                <c:pt idx="788">
                  <c:v>2.9847739999999998E-2</c:v>
                </c:pt>
                <c:pt idx="789">
                  <c:v>2.9409199999999996E-2</c:v>
                </c:pt>
                <c:pt idx="790">
                  <c:v>2.8970659999999999E-2</c:v>
                </c:pt>
                <c:pt idx="791">
                  <c:v>2.9125674999999997E-2</c:v>
                </c:pt>
                <c:pt idx="792">
                  <c:v>2.9280689999999998E-2</c:v>
                </c:pt>
                <c:pt idx="793">
                  <c:v>2.8733564999999999E-2</c:v>
                </c:pt>
                <c:pt idx="794">
                  <c:v>2.818644E-2</c:v>
                </c:pt>
                <c:pt idx="795">
                  <c:v>2.8249874999999997E-2</c:v>
                </c:pt>
                <c:pt idx="796">
                  <c:v>2.8313309999999994E-2</c:v>
                </c:pt>
                <c:pt idx="797">
                  <c:v>2.8315319999999991E-2</c:v>
                </c:pt>
                <c:pt idx="798">
                  <c:v>2.8317329999999991E-2</c:v>
                </c:pt>
                <c:pt idx="799">
                  <c:v>2.8566304999999993E-2</c:v>
                </c:pt>
                <c:pt idx="800">
                  <c:v>2.8815279999999992E-2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AFE-4C71-A014-FF2ADB0F709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Spectra!$J$3:$J$803</c:f>
              <c:numCache>
                <c:formatCode>0.00E+00</c:formatCode>
                <c:ptCount val="801"/>
                <c:pt idx="0">
                  <c:v>8.7033179999999991E-5</c:v>
                </c:pt>
                <c:pt idx="1">
                  <c:v>1.0786339999999998E-4</c:v>
                </c:pt>
                <c:pt idx="2">
                  <c:v>8.4434369999999997E-5</c:v>
                </c:pt>
                <c:pt idx="3">
                  <c:v>1.0627669999999999E-4</c:v>
                </c:pt>
                <c:pt idx="4">
                  <c:v>1.5571919999999998E-4</c:v>
                </c:pt>
                <c:pt idx="5">
                  <c:v>1.6154219999999999E-4</c:v>
                </c:pt>
                <c:pt idx="6">
                  <c:v>1.4953479999999997E-4</c:v>
                </c:pt>
                <c:pt idx="7">
                  <c:v>1.80211E-4</c:v>
                </c:pt>
                <c:pt idx="8">
                  <c:v>9.7858559999999982E-5</c:v>
                </c:pt>
                <c:pt idx="9">
                  <c:v>1.164659E-4</c:v>
                </c:pt>
                <c:pt idx="10">
                  <c:v>1.3112629999999998E-4</c:v>
                </c:pt>
                <c:pt idx="11">
                  <c:v>1.078671E-4</c:v>
                </c:pt>
                <c:pt idx="12">
                  <c:v>2.3601499999999998E-4</c:v>
                </c:pt>
                <c:pt idx="13">
                  <c:v>1.6984459999999998E-4</c:v>
                </c:pt>
                <c:pt idx="14">
                  <c:v>4.1150909999999999E-4</c:v>
                </c:pt>
                <c:pt idx="15">
                  <c:v>3.4483629999999994E-4</c:v>
                </c:pt>
                <c:pt idx="16">
                  <c:v>3.7952089999999993E-4</c:v>
                </c:pt>
                <c:pt idx="17">
                  <c:v>3.721834999999999E-4</c:v>
                </c:pt>
                <c:pt idx="18">
                  <c:v>3.3902419999999996E-4</c:v>
                </c:pt>
                <c:pt idx="19">
                  <c:v>3.4680259999999994E-4</c:v>
                </c:pt>
                <c:pt idx="20">
                  <c:v>3.5527849999999995E-4</c:v>
                </c:pt>
                <c:pt idx="21">
                  <c:v>3.5314239999999989E-4</c:v>
                </c:pt>
                <c:pt idx="22">
                  <c:v>2.8096469999999994E-4</c:v>
                </c:pt>
                <c:pt idx="23">
                  <c:v>2.7998159999999999E-4</c:v>
                </c:pt>
                <c:pt idx="24">
                  <c:v>3.5097009999999996E-4</c:v>
                </c:pt>
                <c:pt idx="25">
                  <c:v>3.6437619999999998E-4</c:v>
                </c:pt>
                <c:pt idx="26">
                  <c:v>4.9091929999999992E-4</c:v>
                </c:pt>
                <c:pt idx="27">
                  <c:v>5.197267E-4</c:v>
                </c:pt>
                <c:pt idx="28">
                  <c:v>5.6602829999999988E-4</c:v>
                </c:pt>
                <c:pt idx="29">
                  <c:v>8.4951229999999996E-4</c:v>
                </c:pt>
                <c:pt idx="30">
                  <c:v>2.4605239999999995E-3</c:v>
                </c:pt>
                <c:pt idx="31">
                  <c:v>1.1907199999999997E-3</c:v>
                </c:pt>
                <c:pt idx="32">
                  <c:v>4.4111169999999997E-4</c:v>
                </c:pt>
                <c:pt idx="33">
                  <c:v>5.3212439999999995E-4</c:v>
                </c:pt>
                <c:pt idx="34">
                  <c:v>5.5312459999999988E-4</c:v>
                </c:pt>
                <c:pt idx="35">
                  <c:v>6.8310149999999993E-4</c:v>
                </c:pt>
                <c:pt idx="36">
                  <c:v>6.697277999999999E-4</c:v>
                </c:pt>
                <c:pt idx="37">
                  <c:v>6.9427019999999994E-4</c:v>
                </c:pt>
                <c:pt idx="38">
                  <c:v>7.2752349999999984E-4</c:v>
                </c:pt>
                <c:pt idx="39">
                  <c:v>6.550169E-4</c:v>
                </c:pt>
                <c:pt idx="40">
                  <c:v>7.4263209999999994E-4</c:v>
                </c:pt>
                <c:pt idx="41">
                  <c:v>8.1300609999999983E-4</c:v>
                </c:pt>
                <c:pt idx="42">
                  <c:v>1.027526E-3</c:v>
                </c:pt>
                <c:pt idx="43">
                  <c:v>1.0436459999999999E-3</c:v>
                </c:pt>
                <c:pt idx="44">
                  <c:v>1.0840919999999998E-3</c:v>
                </c:pt>
                <c:pt idx="45">
                  <c:v>6.5555909999999993E-4</c:v>
                </c:pt>
                <c:pt idx="46">
                  <c:v>8.9498259999999988E-4</c:v>
                </c:pt>
                <c:pt idx="47">
                  <c:v>6.3564329999999997E-4</c:v>
                </c:pt>
                <c:pt idx="48">
                  <c:v>7.7096959999999992E-4</c:v>
                </c:pt>
                <c:pt idx="49">
                  <c:v>1.0273809999999997E-3</c:v>
                </c:pt>
                <c:pt idx="50">
                  <c:v>9.8671809999999974E-4</c:v>
                </c:pt>
                <c:pt idx="51">
                  <c:v>9.8144099999999978E-4</c:v>
                </c:pt>
                <c:pt idx="52">
                  <c:v>8.1994579999999982E-4</c:v>
                </c:pt>
                <c:pt idx="53">
                  <c:v>1.089984E-3</c:v>
                </c:pt>
                <c:pt idx="54">
                  <c:v>1.3302029999999996E-3</c:v>
                </c:pt>
                <c:pt idx="55">
                  <c:v>1.152515E-3</c:v>
                </c:pt>
                <c:pt idx="56">
                  <c:v>8.8001859999999998E-4</c:v>
                </c:pt>
                <c:pt idx="57">
                  <c:v>9.1988629999999985E-4</c:v>
                </c:pt>
                <c:pt idx="58">
                  <c:v>1.1542859999999998E-3</c:v>
                </c:pt>
                <c:pt idx="59">
                  <c:v>1.3200099999999995E-3</c:v>
                </c:pt>
                <c:pt idx="60">
                  <c:v>1.3747329999999999E-3</c:v>
                </c:pt>
                <c:pt idx="61">
                  <c:v>1.9422789999999997E-3</c:v>
                </c:pt>
                <c:pt idx="62">
                  <c:v>1.702711E-3</c:v>
                </c:pt>
                <c:pt idx="63">
                  <c:v>1.3962389999999999E-3</c:v>
                </c:pt>
                <c:pt idx="64">
                  <c:v>9.5682639999999995E-4</c:v>
                </c:pt>
                <c:pt idx="65">
                  <c:v>1.6706150000000001E-3</c:v>
                </c:pt>
                <c:pt idx="66">
                  <c:v>1.7001089999999998E-3</c:v>
                </c:pt>
                <c:pt idx="67">
                  <c:v>1.1004659999999998E-3</c:v>
                </c:pt>
                <c:pt idx="68">
                  <c:v>1.5119029999999998E-3</c:v>
                </c:pt>
                <c:pt idx="69">
                  <c:v>1.6589759999999997E-3</c:v>
                </c:pt>
                <c:pt idx="70">
                  <c:v>2.2072569999999998E-3</c:v>
                </c:pt>
                <c:pt idx="71">
                  <c:v>2.1044979999999998E-3</c:v>
                </c:pt>
                <c:pt idx="72">
                  <c:v>2.0017019999999997E-3</c:v>
                </c:pt>
                <c:pt idx="73">
                  <c:v>2.2889450000000001E-3</c:v>
                </c:pt>
                <c:pt idx="74">
                  <c:v>2.5761879999999997E-3</c:v>
                </c:pt>
                <c:pt idx="75">
                  <c:v>2.5048379999999997E-3</c:v>
                </c:pt>
                <c:pt idx="76">
                  <c:v>2.4334880000000001E-3</c:v>
                </c:pt>
                <c:pt idx="77">
                  <c:v>2.3495239999999995E-3</c:v>
                </c:pt>
                <c:pt idx="78">
                  <c:v>2.6919240000000001E-3</c:v>
                </c:pt>
                <c:pt idx="79">
                  <c:v>2.9503589999999996E-3</c:v>
                </c:pt>
                <c:pt idx="80">
                  <c:v>2.7109719999999999E-3</c:v>
                </c:pt>
                <c:pt idx="81">
                  <c:v>2.3494869999999999E-3</c:v>
                </c:pt>
                <c:pt idx="82">
                  <c:v>3.216928E-3</c:v>
                </c:pt>
                <c:pt idx="83">
                  <c:v>2.9921789999999993E-3</c:v>
                </c:pt>
                <c:pt idx="84">
                  <c:v>3.4450380000000001E-3</c:v>
                </c:pt>
                <c:pt idx="85">
                  <c:v>3.3295189999999995E-3</c:v>
                </c:pt>
                <c:pt idx="86">
                  <c:v>2.6746459999999993E-3</c:v>
                </c:pt>
                <c:pt idx="87">
                  <c:v>3.0233359999999997E-3</c:v>
                </c:pt>
                <c:pt idx="88">
                  <c:v>3.1165169999999996E-3</c:v>
                </c:pt>
                <c:pt idx="89">
                  <c:v>3.7709919999999999E-3</c:v>
                </c:pt>
                <c:pt idx="90">
                  <c:v>3.8931609999999996E-3</c:v>
                </c:pt>
                <c:pt idx="91">
                  <c:v>3.5993399999999995E-3</c:v>
                </c:pt>
                <c:pt idx="92">
                  <c:v>3.803884E-3</c:v>
                </c:pt>
                <c:pt idx="93">
                  <c:v>3.4945559999999994E-3</c:v>
                </c:pt>
                <c:pt idx="94">
                  <c:v>3.3671459999999997E-3</c:v>
                </c:pt>
                <c:pt idx="95">
                  <c:v>2.9394069999999994E-3</c:v>
                </c:pt>
                <c:pt idx="96">
                  <c:v>3.4764109999999996E-3</c:v>
                </c:pt>
                <c:pt idx="97">
                  <c:v>3.4163389999999996E-3</c:v>
                </c:pt>
                <c:pt idx="98">
                  <c:v>3.6303879999999992E-3</c:v>
                </c:pt>
                <c:pt idx="99">
                  <c:v>3.3800489999999991E-3</c:v>
                </c:pt>
                <c:pt idx="100">
                  <c:v>4.0724399999999992E-3</c:v>
                </c:pt>
                <c:pt idx="101">
                  <c:v>4.1075E-3</c:v>
                </c:pt>
                <c:pt idx="102">
                  <c:v>3.7283409999999996E-3</c:v>
                </c:pt>
                <c:pt idx="103">
                  <c:v>4.5177449999999992E-3</c:v>
                </c:pt>
                <c:pt idx="104">
                  <c:v>5.0114829999999997E-3</c:v>
                </c:pt>
                <c:pt idx="105">
                  <c:v>4.7208779999999995E-3</c:v>
                </c:pt>
                <c:pt idx="106">
                  <c:v>3.6318339999999991E-3</c:v>
                </c:pt>
                <c:pt idx="107">
                  <c:v>3.1176009999999998E-3</c:v>
                </c:pt>
                <c:pt idx="108">
                  <c:v>2.9233229999999998E-3</c:v>
                </c:pt>
                <c:pt idx="109">
                  <c:v>3.2135660000000002E-3</c:v>
                </c:pt>
                <c:pt idx="110">
                  <c:v>3.2130239999999997E-3</c:v>
                </c:pt>
                <c:pt idx="111">
                  <c:v>3.2554939999999994E-3</c:v>
                </c:pt>
                <c:pt idx="112">
                  <c:v>3.8635229999999998E-3</c:v>
                </c:pt>
                <c:pt idx="113">
                  <c:v>3.8158109999999992E-3</c:v>
                </c:pt>
                <c:pt idx="114">
                  <c:v>3.8805109999999997E-3</c:v>
                </c:pt>
                <c:pt idx="115">
                  <c:v>4.5506359999999994E-3</c:v>
                </c:pt>
                <c:pt idx="116">
                  <c:v>5.4965469999999992E-3</c:v>
                </c:pt>
                <c:pt idx="117">
                  <c:v>4.7143719999999997E-3</c:v>
                </c:pt>
                <c:pt idx="118">
                  <c:v>4.119789999999999E-3</c:v>
                </c:pt>
                <c:pt idx="119">
                  <c:v>4.6164199999999996E-3</c:v>
                </c:pt>
                <c:pt idx="120">
                  <c:v>4.411117E-3</c:v>
                </c:pt>
                <c:pt idx="121">
                  <c:v>4.0485839999999992E-3</c:v>
                </c:pt>
                <c:pt idx="122">
                  <c:v>3.7008709999999997E-3</c:v>
                </c:pt>
                <c:pt idx="123">
                  <c:v>3.3574949999999994E-3</c:v>
                </c:pt>
                <c:pt idx="124">
                  <c:v>2.9224189999999999E-3</c:v>
                </c:pt>
                <c:pt idx="125">
                  <c:v>3.5491709999999994E-3</c:v>
                </c:pt>
                <c:pt idx="126">
                  <c:v>3.5494239999999994E-3</c:v>
                </c:pt>
                <c:pt idx="127">
                  <c:v>4.860035999999999E-3</c:v>
                </c:pt>
                <c:pt idx="128">
                  <c:v>5.2348579999999994E-3</c:v>
                </c:pt>
                <c:pt idx="129">
                  <c:v>4.7620839999999989E-3</c:v>
                </c:pt>
                <c:pt idx="130">
                  <c:v>4.7967819999999994E-3</c:v>
                </c:pt>
                <c:pt idx="131">
                  <c:v>4.5636479999999991E-3</c:v>
                </c:pt>
                <c:pt idx="132">
                  <c:v>3.6802679999999996E-3</c:v>
                </c:pt>
                <c:pt idx="133">
                  <c:v>3.497375E-3</c:v>
                </c:pt>
                <c:pt idx="134">
                  <c:v>4.3832849999999998E-3</c:v>
                </c:pt>
                <c:pt idx="135">
                  <c:v>4.6005159999999998E-3</c:v>
                </c:pt>
                <c:pt idx="136">
                  <c:v>4.1555729999999992E-3</c:v>
                </c:pt>
                <c:pt idx="137">
                  <c:v>4.580635999999999E-3</c:v>
                </c:pt>
                <c:pt idx="138">
                  <c:v>3.3406869999999997E-3</c:v>
                </c:pt>
                <c:pt idx="139">
                  <c:v>4.5293109999999994E-3</c:v>
                </c:pt>
                <c:pt idx="140">
                  <c:v>5.007868999999999E-3</c:v>
                </c:pt>
                <c:pt idx="141">
                  <c:v>5.1318459999999998E-3</c:v>
                </c:pt>
                <c:pt idx="142">
                  <c:v>4.5538889999999993E-3</c:v>
                </c:pt>
                <c:pt idx="143">
                  <c:v>4.5152139999999992E-3</c:v>
                </c:pt>
                <c:pt idx="144">
                  <c:v>4.8669039999999992E-3</c:v>
                </c:pt>
                <c:pt idx="145">
                  <c:v>4.8199149999999993E-3</c:v>
                </c:pt>
                <c:pt idx="146">
                  <c:v>5.1202789999999984E-3</c:v>
                </c:pt>
                <c:pt idx="147">
                  <c:v>6.2920949999999993E-3</c:v>
                </c:pt>
                <c:pt idx="148">
                  <c:v>7.3883679999999985E-3</c:v>
                </c:pt>
                <c:pt idx="149">
                  <c:v>8.4929540000000005E-3</c:v>
                </c:pt>
                <c:pt idx="150">
                  <c:v>9.1240429999999983E-3</c:v>
                </c:pt>
                <c:pt idx="151">
                  <c:v>9.5534439999999995E-3</c:v>
                </c:pt>
                <c:pt idx="152">
                  <c:v>1.015128E-2</c:v>
                </c:pt>
                <c:pt idx="153">
                  <c:v>9.6864570000000007E-3</c:v>
                </c:pt>
                <c:pt idx="154">
                  <c:v>9.2118759999999991E-3</c:v>
                </c:pt>
                <c:pt idx="155">
                  <c:v>1.0665259999999998E-2</c:v>
                </c:pt>
                <c:pt idx="156">
                  <c:v>1.0531159999999998E-2</c:v>
                </c:pt>
                <c:pt idx="157">
                  <c:v>1.070285E-2</c:v>
                </c:pt>
                <c:pt idx="158">
                  <c:v>1.1586949999999999E-2</c:v>
                </c:pt>
                <c:pt idx="159">
                  <c:v>1.2583829999999997E-2</c:v>
                </c:pt>
                <c:pt idx="160">
                  <c:v>1.1348039999999998E-2</c:v>
                </c:pt>
                <c:pt idx="161">
                  <c:v>1.157828E-2</c:v>
                </c:pt>
                <c:pt idx="162">
                  <c:v>1.2169969999999999E-2</c:v>
                </c:pt>
                <c:pt idx="163">
                  <c:v>1.2479369999999998E-2</c:v>
                </c:pt>
                <c:pt idx="164">
                  <c:v>1.1797319999999998E-2</c:v>
                </c:pt>
                <c:pt idx="165">
                  <c:v>1.2385749999999999E-2</c:v>
                </c:pt>
                <c:pt idx="166">
                  <c:v>1.2553109999999998E-2</c:v>
                </c:pt>
                <c:pt idx="167">
                  <c:v>1.2221660000000001E-2</c:v>
                </c:pt>
                <c:pt idx="168">
                  <c:v>1.2131659999999999E-2</c:v>
                </c:pt>
                <c:pt idx="169">
                  <c:v>1.2162739999999998E-2</c:v>
                </c:pt>
                <c:pt idx="170">
                  <c:v>1.2079609999999999E-2</c:v>
                </c:pt>
                <c:pt idx="171">
                  <c:v>1.1762979999999998E-2</c:v>
                </c:pt>
                <c:pt idx="172">
                  <c:v>8.1531929999999996E-3</c:v>
                </c:pt>
                <c:pt idx="173">
                  <c:v>7.286800999999999E-3</c:v>
                </c:pt>
                <c:pt idx="174">
                  <c:v>1.0348629999999998E-2</c:v>
                </c:pt>
                <c:pt idx="175">
                  <c:v>1.0449469999999999E-2</c:v>
                </c:pt>
                <c:pt idx="176">
                  <c:v>1.1525509999999999E-2</c:v>
                </c:pt>
                <c:pt idx="177">
                  <c:v>1.1607200000000002E-2</c:v>
                </c:pt>
                <c:pt idx="178">
                  <c:v>1.0823569999999999E-2</c:v>
                </c:pt>
                <c:pt idx="179">
                  <c:v>1.1456109999999999E-2</c:v>
                </c:pt>
                <c:pt idx="180">
                  <c:v>1.133611E-2</c:v>
                </c:pt>
                <c:pt idx="181">
                  <c:v>1.3566969999999999E-2</c:v>
                </c:pt>
                <c:pt idx="182">
                  <c:v>1.540421E-2</c:v>
                </c:pt>
                <c:pt idx="183">
                  <c:v>1.5584209999999999E-2</c:v>
                </c:pt>
                <c:pt idx="184">
                  <c:v>1.6900969999999998E-2</c:v>
                </c:pt>
                <c:pt idx="185">
                  <c:v>1.6514579999999997E-2</c:v>
                </c:pt>
                <c:pt idx="186">
                  <c:v>1.7224459999999997E-2</c:v>
                </c:pt>
                <c:pt idx="187">
                  <c:v>1.6757839999999996E-2</c:v>
                </c:pt>
                <c:pt idx="188">
                  <c:v>1.5242279999999997E-2</c:v>
                </c:pt>
                <c:pt idx="189">
                  <c:v>1.7013019999999997E-2</c:v>
                </c:pt>
                <c:pt idx="190">
                  <c:v>1.672711E-2</c:v>
                </c:pt>
                <c:pt idx="191">
                  <c:v>1.7620609999999998E-2</c:v>
                </c:pt>
                <c:pt idx="192">
                  <c:v>1.8126999999999997E-2</c:v>
                </c:pt>
                <c:pt idx="193">
                  <c:v>1.7856279999999995E-2</c:v>
                </c:pt>
                <c:pt idx="194">
                  <c:v>1.9842439999999999E-2</c:v>
                </c:pt>
                <c:pt idx="195">
                  <c:v>1.8484109999999998E-2</c:v>
                </c:pt>
                <c:pt idx="196">
                  <c:v>1.9884719999999998E-2</c:v>
                </c:pt>
                <c:pt idx="197">
                  <c:v>2.3614509999999998E-2</c:v>
                </c:pt>
                <c:pt idx="198">
                  <c:v>2.4252829999999996E-2</c:v>
                </c:pt>
                <c:pt idx="199">
                  <c:v>2.4862959999999996E-2</c:v>
                </c:pt>
                <c:pt idx="200">
                  <c:v>2.5284399999999999E-2</c:v>
                </c:pt>
                <c:pt idx="201">
                  <c:v>2.6480079999999996E-2</c:v>
                </c:pt>
                <c:pt idx="202">
                  <c:v>2.4501149999999996E-2</c:v>
                </c:pt>
                <c:pt idx="203">
                  <c:v>2.1943169999999994E-2</c:v>
                </c:pt>
                <c:pt idx="204">
                  <c:v>2.3713909999999994E-2</c:v>
                </c:pt>
                <c:pt idx="205">
                  <c:v>2.7159959999999997E-2</c:v>
                </c:pt>
                <c:pt idx="206">
                  <c:v>2.9091899999999997E-2</c:v>
                </c:pt>
                <c:pt idx="207">
                  <c:v>2.9072019999999994E-2</c:v>
                </c:pt>
                <c:pt idx="208">
                  <c:v>2.9041299999999996E-2</c:v>
                </c:pt>
                <c:pt idx="209">
                  <c:v>2.9069489999999993E-2</c:v>
                </c:pt>
                <c:pt idx="210">
                  <c:v>2.9722629999999996E-2</c:v>
                </c:pt>
                <c:pt idx="211">
                  <c:v>3.1251559999999998E-2</c:v>
                </c:pt>
                <c:pt idx="212">
                  <c:v>3.0759259999999997E-2</c:v>
                </c:pt>
                <c:pt idx="213">
                  <c:v>3.109758E-2</c:v>
                </c:pt>
                <c:pt idx="214">
                  <c:v>2.9671310000000003E-2</c:v>
                </c:pt>
                <c:pt idx="215">
                  <c:v>2.9346719999999996E-2</c:v>
                </c:pt>
                <c:pt idx="216">
                  <c:v>2.9608409999999998E-2</c:v>
                </c:pt>
                <c:pt idx="217">
                  <c:v>2.9296119999999995E-2</c:v>
                </c:pt>
                <c:pt idx="218">
                  <c:v>2.9570820000000001E-2</c:v>
                </c:pt>
                <c:pt idx="219">
                  <c:v>3.0138659999999994E-2</c:v>
                </c:pt>
                <c:pt idx="220">
                  <c:v>2.8953829999999996E-2</c:v>
                </c:pt>
                <c:pt idx="221">
                  <c:v>2.9442869999999996E-2</c:v>
                </c:pt>
                <c:pt idx="222">
                  <c:v>2.9857809999999995E-2</c:v>
                </c:pt>
                <c:pt idx="223">
                  <c:v>2.9023949999999993E-2</c:v>
                </c:pt>
                <c:pt idx="224">
                  <c:v>2.8582259999999995E-2</c:v>
                </c:pt>
                <c:pt idx="225">
                  <c:v>2.8024549999999995E-2</c:v>
                </c:pt>
                <c:pt idx="226">
                  <c:v>2.5083799999999993E-2</c:v>
                </c:pt>
                <c:pt idx="227">
                  <c:v>2.3154029999999992E-2</c:v>
                </c:pt>
                <c:pt idx="228">
                  <c:v>2.3297879999999997E-2</c:v>
                </c:pt>
                <c:pt idx="229">
                  <c:v>2.478054E-2</c:v>
                </c:pt>
                <c:pt idx="230">
                  <c:v>2.7058759999999998E-2</c:v>
                </c:pt>
                <c:pt idx="231">
                  <c:v>2.8348039999999994E-2</c:v>
                </c:pt>
                <c:pt idx="232">
                  <c:v>2.7448029999999995E-2</c:v>
                </c:pt>
                <c:pt idx="233">
                  <c:v>2.6478269999999998E-2</c:v>
                </c:pt>
                <c:pt idx="234">
                  <c:v>2.7202610000000002E-2</c:v>
                </c:pt>
                <c:pt idx="235">
                  <c:v>2.8612259999999994E-2</c:v>
                </c:pt>
                <c:pt idx="236">
                  <c:v>2.7972139999999996E-2</c:v>
                </c:pt>
                <c:pt idx="237">
                  <c:v>2.7242009999999997E-2</c:v>
                </c:pt>
                <c:pt idx="238">
                  <c:v>2.6508629999999995E-2</c:v>
                </c:pt>
                <c:pt idx="239">
                  <c:v>2.7193209999999995E-2</c:v>
                </c:pt>
                <c:pt idx="240">
                  <c:v>2.8839609999999995E-2</c:v>
                </c:pt>
                <c:pt idx="241">
                  <c:v>2.8252259999999998E-2</c:v>
                </c:pt>
                <c:pt idx="242">
                  <c:v>2.8972259999999993E-2</c:v>
                </c:pt>
                <c:pt idx="243">
                  <c:v>2.9828539999999997E-2</c:v>
                </c:pt>
                <c:pt idx="244">
                  <c:v>3.0089859999999996E-2</c:v>
                </c:pt>
                <c:pt idx="245">
                  <c:v>2.9171419999999997E-2</c:v>
                </c:pt>
                <c:pt idx="246">
                  <c:v>2.7229359999999998E-2</c:v>
                </c:pt>
                <c:pt idx="247">
                  <c:v>2.7847069999999995E-2</c:v>
                </c:pt>
                <c:pt idx="248">
                  <c:v>2.6649229999999999E-2</c:v>
                </c:pt>
                <c:pt idx="249">
                  <c:v>2.5537779999999996E-2</c:v>
                </c:pt>
                <c:pt idx="250">
                  <c:v>2.5395369999999997E-2</c:v>
                </c:pt>
                <c:pt idx="251">
                  <c:v>2.4091259999999996E-2</c:v>
                </c:pt>
                <c:pt idx="252">
                  <c:v>2.5037170000000001E-2</c:v>
                </c:pt>
                <c:pt idx="253">
                  <c:v>2.5128619999999997E-2</c:v>
                </c:pt>
                <c:pt idx="254">
                  <c:v>2.4666689999999998E-2</c:v>
                </c:pt>
                <c:pt idx="255">
                  <c:v>2.4793919999999997E-2</c:v>
                </c:pt>
                <c:pt idx="256">
                  <c:v>2.4156689999999991E-2</c:v>
                </c:pt>
                <c:pt idx="257">
                  <c:v>2.3184029999999994E-2</c:v>
                </c:pt>
                <c:pt idx="258">
                  <c:v>2.2714869999999998E-2</c:v>
                </c:pt>
                <c:pt idx="259">
                  <c:v>2.2842099999999994E-2</c:v>
                </c:pt>
                <c:pt idx="260">
                  <c:v>2.2420289999999996E-2</c:v>
                </c:pt>
                <c:pt idx="261">
                  <c:v>2.1838349999999996E-2</c:v>
                </c:pt>
                <c:pt idx="262">
                  <c:v>2.1761729999999996E-2</c:v>
                </c:pt>
                <c:pt idx="263">
                  <c:v>2.1655819999999996E-2</c:v>
                </c:pt>
                <c:pt idx="264">
                  <c:v>2.3266079999999995E-2</c:v>
                </c:pt>
                <c:pt idx="265">
                  <c:v>2.2397509999999995E-2</c:v>
                </c:pt>
                <c:pt idx="266">
                  <c:v>2.2133659999999999E-2</c:v>
                </c:pt>
                <c:pt idx="267">
                  <c:v>1.930279E-2</c:v>
                </c:pt>
                <c:pt idx="268">
                  <c:v>1.8968819999999997E-2</c:v>
                </c:pt>
                <c:pt idx="269">
                  <c:v>2.2028479999999996E-2</c:v>
                </c:pt>
                <c:pt idx="270">
                  <c:v>2.1910639999999999E-2</c:v>
                </c:pt>
                <c:pt idx="271">
                  <c:v>2.3078849999999998E-2</c:v>
                </c:pt>
                <c:pt idx="272">
                  <c:v>2.8303219999999994E-2</c:v>
                </c:pt>
                <c:pt idx="273">
                  <c:v>2.9466359999999997E-2</c:v>
                </c:pt>
                <c:pt idx="274">
                  <c:v>3.1369029999999992E-2</c:v>
                </c:pt>
                <c:pt idx="275">
                  <c:v>3.1107339999999994E-2</c:v>
                </c:pt>
                <c:pt idx="276">
                  <c:v>2.7553939999999999E-2</c:v>
                </c:pt>
                <c:pt idx="277">
                  <c:v>2.6738509999999997E-2</c:v>
                </c:pt>
                <c:pt idx="278">
                  <c:v>3.1209269999999997E-2</c:v>
                </c:pt>
                <c:pt idx="279">
                  <c:v>3.2162049999999998E-2</c:v>
                </c:pt>
                <c:pt idx="280">
                  <c:v>3.2536139999999991E-2</c:v>
                </c:pt>
                <c:pt idx="281">
                  <c:v>3.4515079999999997E-2</c:v>
                </c:pt>
                <c:pt idx="282">
                  <c:v>3.2569759999999996E-2</c:v>
                </c:pt>
                <c:pt idx="283">
                  <c:v>3.0986259999999998E-2</c:v>
                </c:pt>
                <c:pt idx="284">
                  <c:v>3.1606139999999998E-2</c:v>
                </c:pt>
                <c:pt idx="285">
                  <c:v>3.3542059999999992E-2</c:v>
                </c:pt>
                <c:pt idx="286">
                  <c:v>3.5506889999999992E-2</c:v>
                </c:pt>
                <c:pt idx="287">
                  <c:v>3.5308459999999993E-2</c:v>
                </c:pt>
                <c:pt idx="288">
                  <c:v>3.601472E-2</c:v>
                </c:pt>
                <c:pt idx="289">
                  <c:v>3.5842309999999995E-2</c:v>
                </c:pt>
                <c:pt idx="290">
                  <c:v>3.3512779999999999E-2</c:v>
                </c:pt>
                <c:pt idx="291">
                  <c:v>3.4389649999999994E-2</c:v>
                </c:pt>
                <c:pt idx="292">
                  <c:v>3.7767749999999989E-2</c:v>
                </c:pt>
                <c:pt idx="293">
                  <c:v>3.6874969999999993E-2</c:v>
                </c:pt>
                <c:pt idx="294">
                  <c:v>3.5767129999999994E-2</c:v>
                </c:pt>
                <c:pt idx="295">
                  <c:v>3.6650869999999995E-2</c:v>
                </c:pt>
                <c:pt idx="296">
                  <c:v>3.6799069999999989E-2</c:v>
                </c:pt>
                <c:pt idx="297">
                  <c:v>3.7167749999999999E-2</c:v>
                </c:pt>
                <c:pt idx="298">
                  <c:v>3.7348469999999995E-2</c:v>
                </c:pt>
                <c:pt idx="299">
                  <c:v>3.886655E-2</c:v>
                </c:pt>
                <c:pt idx="300">
                  <c:v>3.8465339999999994E-2</c:v>
                </c:pt>
                <c:pt idx="301">
                  <c:v>3.6574969999999991E-2</c:v>
                </c:pt>
                <c:pt idx="302">
                  <c:v>3.7821969999999996E-2</c:v>
                </c:pt>
                <c:pt idx="303">
                  <c:v>3.9994269999999991E-2</c:v>
                </c:pt>
                <c:pt idx="304">
                  <c:v>4.0182229999999992E-2</c:v>
                </c:pt>
                <c:pt idx="305">
                  <c:v>4.149067E-2</c:v>
                </c:pt>
                <c:pt idx="306">
                  <c:v>4.087259E-2</c:v>
                </c:pt>
                <c:pt idx="307">
                  <c:v>3.9528000000000001E-2</c:v>
                </c:pt>
                <c:pt idx="308">
                  <c:v>3.910149999999999E-2</c:v>
                </c:pt>
                <c:pt idx="309">
                  <c:v>3.7561719999999993E-2</c:v>
                </c:pt>
                <c:pt idx="310">
                  <c:v>3.599484E-2</c:v>
                </c:pt>
                <c:pt idx="311">
                  <c:v>3.9144869999999998E-2</c:v>
                </c:pt>
                <c:pt idx="312">
                  <c:v>3.9647279999999986E-2</c:v>
                </c:pt>
                <c:pt idx="313">
                  <c:v>3.9719569999999996E-2</c:v>
                </c:pt>
                <c:pt idx="314">
                  <c:v>4.1519589999999995E-2</c:v>
                </c:pt>
                <c:pt idx="315">
                  <c:v>4.2354529999999994E-2</c:v>
                </c:pt>
                <c:pt idx="316">
                  <c:v>4.2101519999999996E-2</c:v>
                </c:pt>
                <c:pt idx="317">
                  <c:v>4.1465370000000001E-2</c:v>
                </c:pt>
                <c:pt idx="318">
                  <c:v>4.3196709999999992E-2</c:v>
                </c:pt>
                <c:pt idx="319">
                  <c:v>4.3146099999999993E-2</c:v>
                </c:pt>
                <c:pt idx="320">
                  <c:v>4.2549709999999991E-2</c:v>
                </c:pt>
                <c:pt idx="321">
                  <c:v>4.1678619999999993E-2</c:v>
                </c:pt>
                <c:pt idx="322">
                  <c:v>4.3554539999999996E-2</c:v>
                </c:pt>
                <c:pt idx="323">
                  <c:v>4.4566599999999991E-2</c:v>
                </c:pt>
                <c:pt idx="324">
                  <c:v>4.6485889999999988E-2</c:v>
                </c:pt>
                <c:pt idx="325">
                  <c:v>4.6798539999999986E-2</c:v>
                </c:pt>
                <c:pt idx="326">
                  <c:v>4.7111189999999983E-2</c:v>
                </c:pt>
                <c:pt idx="327">
                  <c:v>4.7234084999999988E-2</c:v>
                </c:pt>
                <c:pt idx="328">
                  <c:v>4.7356979999999993E-2</c:v>
                </c:pt>
                <c:pt idx="329">
                  <c:v>4.7429269999999996E-2</c:v>
                </c:pt>
                <c:pt idx="330">
                  <c:v>4.7501559999999991E-2</c:v>
                </c:pt>
                <c:pt idx="331">
                  <c:v>4.8497349999999995E-2</c:v>
                </c:pt>
                <c:pt idx="332">
                  <c:v>4.9493139999999991E-2</c:v>
                </c:pt>
                <c:pt idx="333">
                  <c:v>4.8714219999999989E-2</c:v>
                </c:pt>
                <c:pt idx="334">
                  <c:v>4.7935299999999993E-2</c:v>
                </c:pt>
                <c:pt idx="335">
                  <c:v>4.6937699999999999E-2</c:v>
                </c:pt>
                <c:pt idx="336">
                  <c:v>4.5940099999999998E-2</c:v>
                </c:pt>
                <c:pt idx="337">
                  <c:v>4.1096689999999991E-2</c:v>
                </c:pt>
                <c:pt idx="338">
                  <c:v>3.6253279999999992E-2</c:v>
                </c:pt>
                <c:pt idx="339">
                  <c:v>3.4921344999999993E-2</c:v>
                </c:pt>
                <c:pt idx="340">
                  <c:v>3.3589409999999993E-2</c:v>
                </c:pt>
                <c:pt idx="341">
                  <c:v>3.7590644999999992E-2</c:v>
                </c:pt>
                <c:pt idx="342">
                  <c:v>4.1591879999999998E-2</c:v>
                </c:pt>
                <c:pt idx="343">
                  <c:v>4.3565384999999998E-2</c:v>
                </c:pt>
                <c:pt idx="344">
                  <c:v>4.5538889999999999E-2</c:v>
                </c:pt>
                <c:pt idx="345">
                  <c:v>4.6129860000000002E-2</c:v>
                </c:pt>
                <c:pt idx="346">
                  <c:v>4.6720830000000005E-2</c:v>
                </c:pt>
                <c:pt idx="347">
                  <c:v>4.7239505000000001E-2</c:v>
                </c:pt>
                <c:pt idx="348">
                  <c:v>4.775817999999999E-2</c:v>
                </c:pt>
                <c:pt idx="349">
                  <c:v>4.7785289999999994E-2</c:v>
                </c:pt>
                <c:pt idx="350">
                  <c:v>4.7812400000000005E-2</c:v>
                </c:pt>
                <c:pt idx="351">
                  <c:v>4.8117824999999996E-2</c:v>
                </c:pt>
                <c:pt idx="352">
                  <c:v>4.8423249999999987E-2</c:v>
                </c:pt>
                <c:pt idx="353">
                  <c:v>4.9511209999999993E-2</c:v>
                </c:pt>
                <c:pt idx="354">
                  <c:v>5.0599169999999999E-2</c:v>
                </c:pt>
                <c:pt idx="355">
                  <c:v>5.1011219999999996E-2</c:v>
                </c:pt>
                <c:pt idx="356">
                  <c:v>5.1423269999999993E-2</c:v>
                </c:pt>
                <c:pt idx="357">
                  <c:v>5.0769049999999996E-2</c:v>
                </c:pt>
                <c:pt idx="358">
                  <c:v>5.0114829999999992E-2</c:v>
                </c:pt>
                <c:pt idx="359">
                  <c:v>4.9332294999999991E-2</c:v>
                </c:pt>
                <c:pt idx="360">
                  <c:v>4.854975999999999E-2</c:v>
                </c:pt>
                <c:pt idx="361">
                  <c:v>4.7597344999999985E-2</c:v>
                </c:pt>
                <c:pt idx="362">
                  <c:v>4.6644929999999987E-2</c:v>
                </c:pt>
                <c:pt idx="363">
                  <c:v>4.784854999999999E-2</c:v>
                </c:pt>
                <c:pt idx="364">
                  <c:v>4.9052169999999992E-2</c:v>
                </c:pt>
                <c:pt idx="365">
                  <c:v>4.7103964999999998E-2</c:v>
                </c:pt>
                <c:pt idx="366">
                  <c:v>4.5155759999999996E-2</c:v>
                </c:pt>
                <c:pt idx="367">
                  <c:v>4.4832264999999996E-2</c:v>
                </c:pt>
                <c:pt idx="368">
                  <c:v>4.4508769999999996E-2</c:v>
                </c:pt>
                <c:pt idx="369">
                  <c:v>4.5432264999999993E-2</c:v>
                </c:pt>
                <c:pt idx="370">
                  <c:v>4.6355759999999989E-2</c:v>
                </c:pt>
                <c:pt idx="371">
                  <c:v>4.5220814999999991E-2</c:v>
                </c:pt>
                <c:pt idx="372">
                  <c:v>4.4085869999999992E-2</c:v>
                </c:pt>
                <c:pt idx="373">
                  <c:v>4.3409959999999997E-2</c:v>
                </c:pt>
                <c:pt idx="374">
                  <c:v>4.2734049999999996E-2</c:v>
                </c:pt>
                <c:pt idx="375">
                  <c:v>4.3185864999999997E-2</c:v>
                </c:pt>
                <c:pt idx="376">
                  <c:v>4.3637679999999998E-2</c:v>
                </c:pt>
                <c:pt idx="377">
                  <c:v>4.4481659999999992E-2</c:v>
                </c:pt>
                <c:pt idx="378">
                  <c:v>4.5325639999999986E-2</c:v>
                </c:pt>
                <c:pt idx="379">
                  <c:v>4.6142509999999984E-2</c:v>
                </c:pt>
                <c:pt idx="380">
                  <c:v>4.6959379999999988E-2</c:v>
                </c:pt>
                <c:pt idx="381">
                  <c:v>4.7611794999999991E-2</c:v>
                </c:pt>
                <c:pt idx="382">
                  <c:v>4.8264209999999995E-2</c:v>
                </c:pt>
                <c:pt idx="383">
                  <c:v>4.8725060000000001E-2</c:v>
                </c:pt>
                <c:pt idx="384">
                  <c:v>4.9185909999999999E-2</c:v>
                </c:pt>
                <c:pt idx="385">
                  <c:v>4.9142535000000001E-2</c:v>
                </c:pt>
                <c:pt idx="386">
                  <c:v>4.9099159999999996E-2</c:v>
                </c:pt>
                <c:pt idx="387">
                  <c:v>4.8256984999999995E-2</c:v>
                </c:pt>
                <c:pt idx="388">
                  <c:v>4.7414809999999995E-2</c:v>
                </c:pt>
                <c:pt idx="389">
                  <c:v>4.7582884999999991E-2</c:v>
                </c:pt>
                <c:pt idx="390">
                  <c:v>4.7750959999999988E-2</c:v>
                </c:pt>
                <c:pt idx="391">
                  <c:v>4.8936509999999989E-2</c:v>
                </c:pt>
                <c:pt idx="392">
                  <c:v>5.0122059999999989E-2</c:v>
                </c:pt>
                <c:pt idx="393">
                  <c:v>5.0358809999999997E-2</c:v>
                </c:pt>
                <c:pt idx="394">
                  <c:v>5.0595560000000005E-2</c:v>
                </c:pt>
                <c:pt idx="395">
                  <c:v>5.0816039999999993E-2</c:v>
                </c:pt>
                <c:pt idx="396">
                  <c:v>5.1036519999999988E-2</c:v>
                </c:pt>
                <c:pt idx="397">
                  <c:v>5.0984109999999992E-2</c:v>
                </c:pt>
                <c:pt idx="398">
                  <c:v>5.0931699999999996E-2</c:v>
                </c:pt>
                <c:pt idx="399">
                  <c:v>5.1293149999999996E-2</c:v>
                </c:pt>
                <c:pt idx="400">
                  <c:v>5.1654599999999988E-2</c:v>
                </c:pt>
                <c:pt idx="401">
                  <c:v>5.289617499999999E-2</c:v>
                </c:pt>
                <c:pt idx="402">
                  <c:v>5.4137749999999991E-2</c:v>
                </c:pt>
                <c:pt idx="403">
                  <c:v>5.4575104999999992E-2</c:v>
                </c:pt>
                <c:pt idx="404">
                  <c:v>5.5012459999999992E-2</c:v>
                </c:pt>
                <c:pt idx="405">
                  <c:v>5.4468479999999993E-2</c:v>
                </c:pt>
                <c:pt idx="406">
                  <c:v>5.3924499999999993E-2</c:v>
                </c:pt>
                <c:pt idx="407">
                  <c:v>5.3799799999999995E-2</c:v>
                </c:pt>
                <c:pt idx="408">
                  <c:v>5.3675099999999989E-2</c:v>
                </c:pt>
                <c:pt idx="409">
                  <c:v>5.4349199999999993E-2</c:v>
                </c:pt>
                <c:pt idx="410">
                  <c:v>5.5023299999999997E-2</c:v>
                </c:pt>
                <c:pt idx="411">
                  <c:v>5.4844384999999996E-2</c:v>
                </c:pt>
                <c:pt idx="412">
                  <c:v>5.4665469999999994E-2</c:v>
                </c:pt>
                <c:pt idx="413">
                  <c:v>5.457691499999999E-2</c:v>
                </c:pt>
                <c:pt idx="414">
                  <c:v>5.4488359999999993E-2</c:v>
                </c:pt>
                <c:pt idx="415">
                  <c:v>5.3844980000000001E-2</c:v>
                </c:pt>
                <c:pt idx="416">
                  <c:v>5.3201600000000002E-2</c:v>
                </c:pt>
                <c:pt idx="417">
                  <c:v>5.2489544999999999E-2</c:v>
                </c:pt>
                <c:pt idx="418">
                  <c:v>5.1777490000000002E-2</c:v>
                </c:pt>
                <c:pt idx="419">
                  <c:v>5.1334715000000003E-2</c:v>
                </c:pt>
                <c:pt idx="420">
                  <c:v>5.0891939999999997E-2</c:v>
                </c:pt>
                <c:pt idx="421">
                  <c:v>5.0555794999999994E-2</c:v>
                </c:pt>
                <c:pt idx="422">
                  <c:v>5.0219649999999991E-2</c:v>
                </c:pt>
                <c:pt idx="423">
                  <c:v>4.9934104999999993E-2</c:v>
                </c:pt>
                <c:pt idx="424">
                  <c:v>4.9648559999999987E-2</c:v>
                </c:pt>
                <c:pt idx="425">
                  <c:v>4.9220244999999996E-2</c:v>
                </c:pt>
                <c:pt idx="426">
                  <c:v>4.8791929999999997E-2</c:v>
                </c:pt>
                <c:pt idx="427">
                  <c:v>4.8305779999999993E-2</c:v>
                </c:pt>
                <c:pt idx="428">
                  <c:v>4.7819629999999988E-2</c:v>
                </c:pt>
                <c:pt idx="429">
                  <c:v>4.7338904999999994E-2</c:v>
                </c:pt>
                <c:pt idx="430">
                  <c:v>4.6858179999999999E-2</c:v>
                </c:pt>
                <c:pt idx="431">
                  <c:v>4.7071434999999995E-2</c:v>
                </c:pt>
                <c:pt idx="432">
                  <c:v>4.728468999999999E-2</c:v>
                </c:pt>
                <c:pt idx="433">
                  <c:v>4.7711199999999995E-2</c:v>
                </c:pt>
                <c:pt idx="434">
                  <c:v>4.8137709999999993E-2</c:v>
                </c:pt>
                <c:pt idx="435">
                  <c:v>4.7078664999999992E-2</c:v>
                </c:pt>
                <c:pt idx="436">
                  <c:v>4.601961999999999E-2</c:v>
                </c:pt>
                <c:pt idx="437">
                  <c:v>4.5067204999999999E-2</c:v>
                </c:pt>
                <c:pt idx="438">
                  <c:v>4.4114790000000001E-2</c:v>
                </c:pt>
                <c:pt idx="439">
                  <c:v>4.5578654999999996E-2</c:v>
                </c:pt>
                <c:pt idx="440">
                  <c:v>4.7042519999999997E-2</c:v>
                </c:pt>
                <c:pt idx="441">
                  <c:v>4.8078069999999994E-2</c:v>
                </c:pt>
                <c:pt idx="442">
                  <c:v>4.911361999999999E-2</c:v>
                </c:pt>
                <c:pt idx="443">
                  <c:v>5.0078684999999998E-2</c:v>
                </c:pt>
                <c:pt idx="444">
                  <c:v>5.1043749999999999E-2</c:v>
                </c:pt>
                <c:pt idx="445">
                  <c:v>5.1929299999999998E-2</c:v>
                </c:pt>
                <c:pt idx="446">
                  <c:v>5.281484999999999E-2</c:v>
                </c:pt>
                <c:pt idx="447">
                  <c:v>5.2328699999999992E-2</c:v>
                </c:pt>
                <c:pt idx="448">
                  <c:v>5.1842549999999987E-2</c:v>
                </c:pt>
                <c:pt idx="449">
                  <c:v>5.2370264999999992E-2</c:v>
                </c:pt>
                <c:pt idx="450">
                  <c:v>5.2897979999999997E-2</c:v>
                </c:pt>
                <c:pt idx="451">
                  <c:v>5.3658829999999991E-2</c:v>
                </c:pt>
                <c:pt idx="452">
                  <c:v>5.4419679999999984E-2</c:v>
                </c:pt>
                <c:pt idx="453">
                  <c:v>5.5442579999999984E-2</c:v>
                </c:pt>
                <c:pt idx="454">
                  <c:v>5.6465479999999985E-2</c:v>
                </c:pt>
                <c:pt idx="455">
                  <c:v>5.6160054999999987E-2</c:v>
                </c:pt>
                <c:pt idx="456">
                  <c:v>5.5854629999999995E-2</c:v>
                </c:pt>
                <c:pt idx="457">
                  <c:v>5.5068479999999989E-2</c:v>
                </c:pt>
                <c:pt idx="458">
                  <c:v>5.4282329999999983E-2</c:v>
                </c:pt>
                <c:pt idx="459">
                  <c:v>5.3863049999999989E-2</c:v>
                </c:pt>
                <c:pt idx="460">
                  <c:v>5.3443769999999995E-2</c:v>
                </c:pt>
                <c:pt idx="461">
                  <c:v>5.2608824999999998E-2</c:v>
                </c:pt>
                <c:pt idx="462">
                  <c:v>5.1773879999999994E-2</c:v>
                </c:pt>
                <c:pt idx="463">
                  <c:v>5.1121464999999991E-2</c:v>
                </c:pt>
                <c:pt idx="464">
                  <c:v>5.0469049999999988E-2</c:v>
                </c:pt>
                <c:pt idx="465">
                  <c:v>5.1598574999999994E-2</c:v>
                </c:pt>
                <c:pt idx="466">
                  <c:v>5.2728099999999993E-2</c:v>
                </c:pt>
                <c:pt idx="467">
                  <c:v>5.3450999999999999E-2</c:v>
                </c:pt>
                <c:pt idx="468">
                  <c:v>5.4173899999999997E-2</c:v>
                </c:pt>
                <c:pt idx="469">
                  <c:v>5.2975695000000003E-2</c:v>
                </c:pt>
                <c:pt idx="470">
                  <c:v>5.1777490000000002E-2</c:v>
                </c:pt>
                <c:pt idx="471">
                  <c:v>5.2429904999999999E-2</c:v>
                </c:pt>
                <c:pt idx="472">
                  <c:v>5.3082319999999995E-2</c:v>
                </c:pt>
                <c:pt idx="473">
                  <c:v>5.387750999999999E-2</c:v>
                </c:pt>
                <c:pt idx="474">
                  <c:v>5.4672699999999991E-2</c:v>
                </c:pt>
                <c:pt idx="475">
                  <c:v>5.4725104999999996E-2</c:v>
                </c:pt>
                <c:pt idx="476">
                  <c:v>5.4777509999999995E-2</c:v>
                </c:pt>
                <c:pt idx="477">
                  <c:v>5.5368479999999998E-2</c:v>
                </c:pt>
                <c:pt idx="478">
                  <c:v>5.5959449999999994E-2</c:v>
                </c:pt>
                <c:pt idx="479">
                  <c:v>5.6720299999999994E-2</c:v>
                </c:pt>
                <c:pt idx="480">
                  <c:v>5.7481149999999995E-2</c:v>
                </c:pt>
                <c:pt idx="481">
                  <c:v>5.7096209999999994E-2</c:v>
                </c:pt>
                <c:pt idx="482">
                  <c:v>5.6711269999999994E-2</c:v>
                </c:pt>
                <c:pt idx="483">
                  <c:v>5.6743799999999997E-2</c:v>
                </c:pt>
                <c:pt idx="484">
                  <c:v>5.6776329999999993E-2</c:v>
                </c:pt>
                <c:pt idx="485">
                  <c:v>5.6962474999999992E-2</c:v>
                </c:pt>
                <c:pt idx="486">
                  <c:v>5.714861999999999E-2</c:v>
                </c:pt>
                <c:pt idx="487">
                  <c:v>5.7520909999999995E-2</c:v>
                </c:pt>
                <c:pt idx="488">
                  <c:v>5.7893199999999992E-2</c:v>
                </c:pt>
                <c:pt idx="489">
                  <c:v>5.7900429999999989E-2</c:v>
                </c:pt>
                <c:pt idx="490">
                  <c:v>5.7907659999999993E-2</c:v>
                </c:pt>
                <c:pt idx="491">
                  <c:v>5.801609499999999E-2</c:v>
                </c:pt>
                <c:pt idx="492">
                  <c:v>5.8124529999999994E-2</c:v>
                </c:pt>
                <c:pt idx="493">
                  <c:v>5.8263689999999993E-2</c:v>
                </c:pt>
                <c:pt idx="494">
                  <c:v>5.8402849999999999E-2</c:v>
                </c:pt>
                <c:pt idx="495">
                  <c:v>5.8578149999999996E-2</c:v>
                </c:pt>
                <c:pt idx="496">
                  <c:v>5.8753449999999992E-2</c:v>
                </c:pt>
                <c:pt idx="497">
                  <c:v>5.8576339999999991E-2</c:v>
                </c:pt>
                <c:pt idx="498">
                  <c:v>5.8399229999999989E-2</c:v>
                </c:pt>
                <c:pt idx="499">
                  <c:v>5.841368999999999E-2</c:v>
                </c:pt>
                <c:pt idx="500">
                  <c:v>5.8428149999999998E-2</c:v>
                </c:pt>
                <c:pt idx="501">
                  <c:v>5.8619715000000003E-2</c:v>
                </c:pt>
                <c:pt idx="502">
                  <c:v>5.8811280000000001E-2</c:v>
                </c:pt>
                <c:pt idx="503">
                  <c:v>5.9149234999999994E-2</c:v>
                </c:pt>
                <c:pt idx="504">
                  <c:v>5.9487189999999995E-2</c:v>
                </c:pt>
                <c:pt idx="505">
                  <c:v>5.964441999999999E-2</c:v>
                </c:pt>
                <c:pt idx="506">
                  <c:v>5.9801649999999991E-2</c:v>
                </c:pt>
                <c:pt idx="507">
                  <c:v>6.2339014999999998E-2</c:v>
                </c:pt>
                <c:pt idx="508">
                  <c:v>6.4876379999999997E-2</c:v>
                </c:pt>
                <c:pt idx="509">
                  <c:v>6.1189604999999994E-2</c:v>
                </c:pt>
                <c:pt idx="510">
                  <c:v>5.7502829999999998E-2</c:v>
                </c:pt>
                <c:pt idx="511">
                  <c:v>5.5767879999999992E-2</c:v>
                </c:pt>
                <c:pt idx="512">
                  <c:v>5.4032929999999993E-2</c:v>
                </c:pt>
                <c:pt idx="513">
                  <c:v>5.4880524999999999E-2</c:v>
                </c:pt>
                <c:pt idx="514">
                  <c:v>5.5728119999999999E-2</c:v>
                </c:pt>
                <c:pt idx="515">
                  <c:v>5.5612460000000002E-2</c:v>
                </c:pt>
                <c:pt idx="516">
                  <c:v>5.5496799999999999E-2</c:v>
                </c:pt>
                <c:pt idx="517">
                  <c:v>5.3669674999999993E-2</c:v>
                </c:pt>
                <c:pt idx="518">
                  <c:v>5.1842549999999987E-2</c:v>
                </c:pt>
                <c:pt idx="519">
                  <c:v>5.3391359999999992E-2</c:v>
                </c:pt>
                <c:pt idx="520">
                  <c:v>5.4940169999999997E-2</c:v>
                </c:pt>
                <c:pt idx="521">
                  <c:v>5.5137159999999991E-2</c:v>
                </c:pt>
                <c:pt idx="522">
                  <c:v>5.5334149999999992E-2</c:v>
                </c:pt>
                <c:pt idx="523">
                  <c:v>5.5771499999999988E-2</c:v>
                </c:pt>
                <c:pt idx="524">
                  <c:v>5.6208849999999991E-2</c:v>
                </c:pt>
                <c:pt idx="525">
                  <c:v>5.6521504999999993E-2</c:v>
                </c:pt>
                <c:pt idx="526">
                  <c:v>5.6834159999999995E-2</c:v>
                </c:pt>
                <c:pt idx="527">
                  <c:v>5.7143194999999994E-2</c:v>
                </c:pt>
                <c:pt idx="528">
                  <c:v>5.7452229999999993E-2</c:v>
                </c:pt>
                <c:pt idx="529">
                  <c:v>5.7238974999999991E-2</c:v>
                </c:pt>
                <c:pt idx="530">
                  <c:v>5.7025719999999988E-2</c:v>
                </c:pt>
                <c:pt idx="531">
                  <c:v>5.6825114999999989E-2</c:v>
                </c:pt>
                <c:pt idx="532">
                  <c:v>5.6624509999999989E-2</c:v>
                </c:pt>
                <c:pt idx="533">
                  <c:v>5.7246204999999994E-2</c:v>
                </c:pt>
                <c:pt idx="534">
                  <c:v>5.7867899999999993E-2</c:v>
                </c:pt>
                <c:pt idx="535">
                  <c:v>5.8066694999999995E-2</c:v>
                </c:pt>
                <c:pt idx="536">
                  <c:v>5.8265489999999996E-2</c:v>
                </c:pt>
                <c:pt idx="537">
                  <c:v>5.8254649999999991E-2</c:v>
                </c:pt>
                <c:pt idx="538">
                  <c:v>5.8243809999999986E-2</c:v>
                </c:pt>
                <c:pt idx="539">
                  <c:v>5.7799229999999993E-2</c:v>
                </c:pt>
                <c:pt idx="540">
                  <c:v>5.7354649999999993E-2</c:v>
                </c:pt>
                <c:pt idx="541">
                  <c:v>5.706729499999999E-2</c:v>
                </c:pt>
                <c:pt idx="542">
                  <c:v>5.6779939999999994E-2</c:v>
                </c:pt>
                <c:pt idx="543">
                  <c:v>5.6564879999999984E-2</c:v>
                </c:pt>
                <c:pt idx="544">
                  <c:v>5.6349819999999981E-2</c:v>
                </c:pt>
                <c:pt idx="545">
                  <c:v>5.6333549999999982E-2</c:v>
                </c:pt>
                <c:pt idx="546">
                  <c:v>5.631727999999999E-2</c:v>
                </c:pt>
                <c:pt idx="547">
                  <c:v>5.6915479999999991E-2</c:v>
                </c:pt>
                <c:pt idx="548">
                  <c:v>5.7513679999999998E-2</c:v>
                </c:pt>
                <c:pt idx="549">
                  <c:v>5.7651029999999992E-2</c:v>
                </c:pt>
                <c:pt idx="550">
                  <c:v>5.7788379999999986E-2</c:v>
                </c:pt>
                <c:pt idx="551">
                  <c:v>5.7923924999999987E-2</c:v>
                </c:pt>
                <c:pt idx="552">
                  <c:v>5.8059469999999995E-2</c:v>
                </c:pt>
                <c:pt idx="553">
                  <c:v>5.789681499999999E-2</c:v>
                </c:pt>
                <c:pt idx="554">
                  <c:v>5.7734159999999993E-2</c:v>
                </c:pt>
                <c:pt idx="555">
                  <c:v>5.8091994999999993E-2</c:v>
                </c:pt>
                <c:pt idx="556">
                  <c:v>5.8449829999999994E-2</c:v>
                </c:pt>
                <c:pt idx="557">
                  <c:v>5.8082959999999989E-2</c:v>
                </c:pt>
                <c:pt idx="558">
                  <c:v>5.7716089999999984E-2</c:v>
                </c:pt>
                <c:pt idx="559">
                  <c:v>5.7701634999999987E-2</c:v>
                </c:pt>
                <c:pt idx="560">
                  <c:v>5.7687179999999984E-2</c:v>
                </c:pt>
                <c:pt idx="561">
                  <c:v>5.848055499999999E-2</c:v>
                </c:pt>
                <c:pt idx="562">
                  <c:v>5.9273929999999989E-2</c:v>
                </c:pt>
                <c:pt idx="563">
                  <c:v>5.9637184999999995E-2</c:v>
                </c:pt>
                <c:pt idx="564">
                  <c:v>6.0000439999999995E-2</c:v>
                </c:pt>
                <c:pt idx="565">
                  <c:v>5.9306459999999991E-2</c:v>
                </c:pt>
                <c:pt idx="566">
                  <c:v>5.8612479999999995E-2</c:v>
                </c:pt>
                <c:pt idx="567">
                  <c:v>5.7202834999999994E-2</c:v>
                </c:pt>
                <c:pt idx="568">
                  <c:v>5.5793189999999986E-2</c:v>
                </c:pt>
                <c:pt idx="569">
                  <c:v>5.3863054999999986E-2</c:v>
                </c:pt>
                <c:pt idx="570">
                  <c:v>5.1932919999999987E-2</c:v>
                </c:pt>
                <c:pt idx="571">
                  <c:v>5.4107029999999993E-2</c:v>
                </c:pt>
                <c:pt idx="572">
                  <c:v>5.628114E-2</c:v>
                </c:pt>
                <c:pt idx="573">
                  <c:v>5.5771500000000002E-2</c:v>
                </c:pt>
                <c:pt idx="574">
                  <c:v>5.5261859999999996E-2</c:v>
                </c:pt>
                <c:pt idx="575">
                  <c:v>5.646186999999999E-2</c:v>
                </c:pt>
                <c:pt idx="576">
                  <c:v>5.7661879999999985E-2</c:v>
                </c:pt>
                <c:pt idx="577">
                  <c:v>5.722813999999999E-2</c:v>
                </c:pt>
                <c:pt idx="578">
                  <c:v>5.6794399999999995E-2</c:v>
                </c:pt>
                <c:pt idx="579">
                  <c:v>5.6241384999999991E-2</c:v>
                </c:pt>
                <c:pt idx="580">
                  <c:v>5.5688369999999994E-2</c:v>
                </c:pt>
                <c:pt idx="581">
                  <c:v>5.4784744999999996E-2</c:v>
                </c:pt>
                <c:pt idx="582">
                  <c:v>5.3881119999999991E-2</c:v>
                </c:pt>
                <c:pt idx="583">
                  <c:v>5.3720274999999991E-2</c:v>
                </c:pt>
                <c:pt idx="584">
                  <c:v>5.3559429999999991E-2</c:v>
                </c:pt>
                <c:pt idx="585">
                  <c:v>5.4491964999999989E-2</c:v>
                </c:pt>
                <c:pt idx="586">
                  <c:v>5.5424499999999981E-2</c:v>
                </c:pt>
                <c:pt idx="587">
                  <c:v>5.4741364999999986E-2</c:v>
                </c:pt>
                <c:pt idx="588">
                  <c:v>5.4058229999999999E-2</c:v>
                </c:pt>
                <c:pt idx="589">
                  <c:v>5.3937144999999992E-2</c:v>
                </c:pt>
                <c:pt idx="590">
                  <c:v>5.3816059999999985E-2</c:v>
                </c:pt>
                <c:pt idx="591">
                  <c:v>5.4004014999999989E-2</c:v>
                </c:pt>
                <c:pt idx="592">
                  <c:v>5.4191969999999999E-2</c:v>
                </c:pt>
                <c:pt idx="593">
                  <c:v>5.4647394999999994E-2</c:v>
                </c:pt>
                <c:pt idx="594">
                  <c:v>5.510281999999999E-2</c:v>
                </c:pt>
                <c:pt idx="595">
                  <c:v>5.4533539999999991E-2</c:v>
                </c:pt>
                <c:pt idx="596">
                  <c:v>5.3964259999999993E-2</c:v>
                </c:pt>
                <c:pt idx="597">
                  <c:v>5.3922689999999995E-2</c:v>
                </c:pt>
                <c:pt idx="598">
                  <c:v>5.3881119999999991E-2</c:v>
                </c:pt>
                <c:pt idx="599">
                  <c:v>5.3761844999999989E-2</c:v>
                </c:pt>
                <c:pt idx="600">
                  <c:v>5.3642569999999994E-2</c:v>
                </c:pt>
                <c:pt idx="601">
                  <c:v>5.3261239999999994E-2</c:v>
                </c:pt>
                <c:pt idx="602">
                  <c:v>5.2879909999999995E-2</c:v>
                </c:pt>
                <c:pt idx="603">
                  <c:v>5.1757609999999996E-2</c:v>
                </c:pt>
                <c:pt idx="604">
                  <c:v>5.0635309999999989E-2</c:v>
                </c:pt>
                <c:pt idx="605">
                  <c:v>5.050880499999999E-2</c:v>
                </c:pt>
                <c:pt idx="606">
                  <c:v>5.0382299999999984E-2</c:v>
                </c:pt>
                <c:pt idx="607">
                  <c:v>5.2733524999999989E-2</c:v>
                </c:pt>
                <c:pt idx="608">
                  <c:v>5.5084749999999988E-2</c:v>
                </c:pt>
                <c:pt idx="609">
                  <c:v>5.5299809999999991E-2</c:v>
                </c:pt>
                <c:pt idx="610">
                  <c:v>5.5514870000000001E-2</c:v>
                </c:pt>
                <c:pt idx="611">
                  <c:v>5.4667275000000001E-2</c:v>
                </c:pt>
                <c:pt idx="612">
                  <c:v>5.3819680000000002E-2</c:v>
                </c:pt>
                <c:pt idx="613">
                  <c:v>5.4108834999999994E-2</c:v>
                </c:pt>
                <c:pt idx="614">
                  <c:v>5.4397989999999986E-2</c:v>
                </c:pt>
                <c:pt idx="615">
                  <c:v>5.3203404999999988E-2</c:v>
                </c:pt>
                <c:pt idx="616">
                  <c:v>5.200881999999999E-2</c:v>
                </c:pt>
                <c:pt idx="617">
                  <c:v>5.0056994999999993E-2</c:v>
                </c:pt>
                <c:pt idx="618">
                  <c:v>4.8105169999999996E-2</c:v>
                </c:pt>
                <c:pt idx="619">
                  <c:v>4.9861814999999997E-2</c:v>
                </c:pt>
                <c:pt idx="620">
                  <c:v>5.1618459999999998E-2</c:v>
                </c:pt>
                <c:pt idx="621">
                  <c:v>5.2534730000000002E-2</c:v>
                </c:pt>
                <c:pt idx="622">
                  <c:v>5.3450999999999999E-2</c:v>
                </c:pt>
                <c:pt idx="623">
                  <c:v>5.373834999999999E-2</c:v>
                </c:pt>
                <c:pt idx="624">
                  <c:v>5.4025699999999989E-2</c:v>
                </c:pt>
                <c:pt idx="625">
                  <c:v>5.3261239999999987E-2</c:v>
                </c:pt>
                <c:pt idx="626">
                  <c:v>5.2496779999999986E-2</c:v>
                </c:pt>
                <c:pt idx="627">
                  <c:v>5.2077499999999985E-2</c:v>
                </c:pt>
                <c:pt idx="628">
                  <c:v>5.1658219999999991E-2</c:v>
                </c:pt>
                <c:pt idx="629">
                  <c:v>5.2337739999999994E-2</c:v>
                </c:pt>
                <c:pt idx="630">
                  <c:v>5.301725999999999E-2</c:v>
                </c:pt>
                <c:pt idx="631">
                  <c:v>5.2097374999999994E-2</c:v>
                </c:pt>
                <c:pt idx="632">
                  <c:v>5.1177489999999999E-2</c:v>
                </c:pt>
                <c:pt idx="633">
                  <c:v>5.2175084999999996E-2</c:v>
                </c:pt>
                <c:pt idx="634">
                  <c:v>5.3172679999999986E-2</c:v>
                </c:pt>
                <c:pt idx="635">
                  <c:v>5.3252199999999986E-2</c:v>
                </c:pt>
                <c:pt idx="636">
                  <c:v>5.3331719999999992E-2</c:v>
                </c:pt>
                <c:pt idx="637">
                  <c:v>5.2728099999999993E-2</c:v>
                </c:pt>
                <c:pt idx="638">
                  <c:v>5.2124479999999994E-2</c:v>
                </c:pt>
                <c:pt idx="639">
                  <c:v>5.1873274999999996E-2</c:v>
                </c:pt>
                <c:pt idx="640">
                  <c:v>5.1622069999999999E-2</c:v>
                </c:pt>
                <c:pt idx="641">
                  <c:v>5.1562429999999999E-2</c:v>
                </c:pt>
                <c:pt idx="642">
                  <c:v>5.150279E-2</c:v>
                </c:pt>
                <c:pt idx="643">
                  <c:v>5.1408814999999997E-2</c:v>
                </c:pt>
                <c:pt idx="644">
                  <c:v>5.1314839999999994E-2</c:v>
                </c:pt>
                <c:pt idx="645">
                  <c:v>5.1996169999999994E-2</c:v>
                </c:pt>
                <c:pt idx="646">
                  <c:v>5.2677499999999988E-2</c:v>
                </c:pt>
                <c:pt idx="647">
                  <c:v>5.2596174999999988E-2</c:v>
                </c:pt>
                <c:pt idx="648">
                  <c:v>5.2514849999999988E-2</c:v>
                </c:pt>
                <c:pt idx="649">
                  <c:v>5.1316644999999994E-2</c:v>
                </c:pt>
                <c:pt idx="650">
                  <c:v>5.0118439999999993E-2</c:v>
                </c:pt>
                <c:pt idx="651">
                  <c:v>5.0752784999999995E-2</c:v>
                </c:pt>
                <c:pt idx="652">
                  <c:v>5.1387129999999996E-2</c:v>
                </c:pt>
                <c:pt idx="653">
                  <c:v>5.2872679999999991E-2</c:v>
                </c:pt>
                <c:pt idx="654">
                  <c:v>5.4358229999999987E-2</c:v>
                </c:pt>
                <c:pt idx="655">
                  <c:v>5.3904614999999989E-2</c:v>
                </c:pt>
                <c:pt idx="656">
                  <c:v>5.3450999999999999E-2</c:v>
                </c:pt>
                <c:pt idx="657">
                  <c:v>5.1795565000000002E-2</c:v>
                </c:pt>
                <c:pt idx="658">
                  <c:v>5.0140129999999998E-2</c:v>
                </c:pt>
                <c:pt idx="659">
                  <c:v>5.1195559999999994E-2</c:v>
                </c:pt>
                <c:pt idx="660">
                  <c:v>5.225098999999999E-2</c:v>
                </c:pt>
                <c:pt idx="661">
                  <c:v>5.1730504999999989E-2</c:v>
                </c:pt>
                <c:pt idx="662">
                  <c:v>5.1210019999999988E-2</c:v>
                </c:pt>
                <c:pt idx="663">
                  <c:v>4.9735309999999991E-2</c:v>
                </c:pt>
                <c:pt idx="664">
                  <c:v>4.8260599999999994E-2</c:v>
                </c:pt>
                <c:pt idx="665">
                  <c:v>4.8710604999999997E-2</c:v>
                </c:pt>
                <c:pt idx="666">
                  <c:v>4.916061E-2</c:v>
                </c:pt>
                <c:pt idx="667">
                  <c:v>4.9438924999999995E-2</c:v>
                </c:pt>
                <c:pt idx="668">
                  <c:v>4.9717239999999996E-2</c:v>
                </c:pt>
                <c:pt idx="669">
                  <c:v>5.0378689999999997E-2</c:v>
                </c:pt>
                <c:pt idx="670">
                  <c:v>5.1040139999999998E-2</c:v>
                </c:pt>
                <c:pt idx="671">
                  <c:v>5.1452189999999995E-2</c:v>
                </c:pt>
                <c:pt idx="672">
                  <c:v>5.1864239999999999E-2</c:v>
                </c:pt>
                <c:pt idx="673">
                  <c:v>5.0929894999999996E-2</c:v>
                </c:pt>
                <c:pt idx="674">
                  <c:v>4.9995549999999993E-2</c:v>
                </c:pt>
                <c:pt idx="675">
                  <c:v>4.9035904999999991E-2</c:v>
                </c:pt>
                <c:pt idx="676">
                  <c:v>4.8076259999999996E-2</c:v>
                </c:pt>
                <c:pt idx="677">
                  <c:v>5.0409409999999995E-2</c:v>
                </c:pt>
                <c:pt idx="678">
                  <c:v>5.2742559999999994E-2</c:v>
                </c:pt>
                <c:pt idx="679">
                  <c:v>5.2079299999999995E-2</c:v>
                </c:pt>
                <c:pt idx="680">
                  <c:v>5.1416039999999996E-2</c:v>
                </c:pt>
                <c:pt idx="681">
                  <c:v>5.1020254999999994E-2</c:v>
                </c:pt>
                <c:pt idx="682">
                  <c:v>5.0624469999999991E-2</c:v>
                </c:pt>
                <c:pt idx="683">
                  <c:v>5.2375689999999989E-2</c:v>
                </c:pt>
                <c:pt idx="684">
                  <c:v>5.4126909999999993E-2</c:v>
                </c:pt>
                <c:pt idx="685">
                  <c:v>5.0360614999999991E-2</c:v>
                </c:pt>
                <c:pt idx="686">
                  <c:v>4.6594319999999988E-2</c:v>
                </c:pt>
                <c:pt idx="687">
                  <c:v>4.7496134999999988E-2</c:v>
                </c:pt>
                <c:pt idx="688">
                  <c:v>4.8397949999999988E-2</c:v>
                </c:pt>
                <c:pt idx="689">
                  <c:v>5.2245569999999991E-2</c:v>
                </c:pt>
                <c:pt idx="690">
                  <c:v>5.6093189999999987E-2</c:v>
                </c:pt>
                <c:pt idx="691">
                  <c:v>5.300822999999999E-2</c:v>
                </c:pt>
                <c:pt idx="692">
                  <c:v>4.9923269999999999E-2</c:v>
                </c:pt>
                <c:pt idx="693">
                  <c:v>4.7355174999999999E-2</c:v>
                </c:pt>
                <c:pt idx="694">
                  <c:v>4.4787079999999993E-2</c:v>
                </c:pt>
                <c:pt idx="695">
                  <c:v>4.6574444999999992E-2</c:v>
                </c:pt>
                <c:pt idx="696">
                  <c:v>4.8361809999999991E-2</c:v>
                </c:pt>
                <c:pt idx="697">
                  <c:v>4.8708799999999997E-2</c:v>
                </c:pt>
                <c:pt idx="698">
                  <c:v>4.9055789999999995E-2</c:v>
                </c:pt>
                <c:pt idx="699">
                  <c:v>4.8213614999999994E-2</c:v>
                </c:pt>
                <c:pt idx="700">
                  <c:v>4.7371439999999994E-2</c:v>
                </c:pt>
                <c:pt idx="701">
                  <c:v>4.7649754999999995E-2</c:v>
                </c:pt>
                <c:pt idx="702">
                  <c:v>4.7928069999999996E-2</c:v>
                </c:pt>
                <c:pt idx="703">
                  <c:v>4.9485909999999994E-2</c:v>
                </c:pt>
                <c:pt idx="704">
                  <c:v>5.1043749999999999E-2</c:v>
                </c:pt>
                <c:pt idx="705">
                  <c:v>5.0340734999999998E-2</c:v>
                </c:pt>
                <c:pt idx="706">
                  <c:v>4.9637719999999996E-2</c:v>
                </c:pt>
                <c:pt idx="707">
                  <c:v>4.8616629999999994E-2</c:v>
                </c:pt>
                <c:pt idx="708">
                  <c:v>4.7595539999999992E-2</c:v>
                </c:pt>
                <c:pt idx="709">
                  <c:v>4.7539514999999991E-2</c:v>
                </c:pt>
                <c:pt idx="710">
                  <c:v>4.7483489999999996E-2</c:v>
                </c:pt>
                <c:pt idx="711">
                  <c:v>4.8168434999999996E-2</c:v>
                </c:pt>
                <c:pt idx="712">
                  <c:v>4.8853379999999995E-2</c:v>
                </c:pt>
                <c:pt idx="713">
                  <c:v>4.7514209999999994E-2</c:v>
                </c:pt>
                <c:pt idx="714">
                  <c:v>4.6175039999999994E-2</c:v>
                </c:pt>
                <c:pt idx="715">
                  <c:v>4.6053954999999994E-2</c:v>
                </c:pt>
                <c:pt idx="716">
                  <c:v>4.5932869999999994E-2</c:v>
                </c:pt>
                <c:pt idx="717">
                  <c:v>4.6216609999999991E-2</c:v>
                </c:pt>
                <c:pt idx="718">
                  <c:v>4.6500349999999989E-2</c:v>
                </c:pt>
                <c:pt idx="719">
                  <c:v>4.6451549999999994E-2</c:v>
                </c:pt>
                <c:pt idx="720">
                  <c:v>4.6402749999999993E-2</c:v>
                </c:pt>
                <c:pt idx="721">
                  <c:v>4.6207569999999989E-2</c:v>
                </c:pt>
                <c:pt idx="722">
                  <c:v>4.6012389999999993E-2</c:v>
                </c:pt>
                <c:pt idx="723">
                  <c:v>4.6431669999999994E-2</c:v>
                </c:pt>
                <c:pt idx="724">
                  <c:v>4.6850949999999995E-2</c:v>
                </c:pt>
                <c:pt idx="725">
                  <c:v>4.6119019999999997E-2</c:v>
                </c:pt>
                <c:pt idx="726">
                  <c:v>4.5387089999999991E-2</c:v>
                </c:pt>
                <c:pt idx="727">
                  <c:v>4.5734074999999992E-2</c:v>
                </c:pt>
                <c:pt idx="728">
                  <c:v>4.6081059999999993E-2</c:v>
                </c:pt>
                <c:pt idx="729">
                  <c:v>4.5940094999999993E-2</c:v>
                </c:pt>
                <c:pt idx="730">
                  <c:v>4.5799129999999993E-2</c:v>
                </c:pt>
                <c:pt idx="731">
                  <c:v>4.6323229999999993E-2</c:v>
                </c:pt>
                <c:pt idx="732">
                  <c:v>4.6847329999999993E-2</c:v>
                </c:pt>
                <c:pt idx="733">
                  <c:v>4.6467809999999991E-2</c:v>
                </c:pt>
                <c:pt idx="734">
                  <c:v>4.608828999999999E-2</c:v>
                </c:pt>
                <c:pt idx="735">
                  <c:v>4.5828049999999995E-2</c:v>
                </c:pt>
                <c:pt idx="736">
                  <c:v>4.5567809999999993E-2</c:v>
                </c:pt>
                <c:pt idx="737">
                  <c:v>4.5636484999999991E-2</c:v>
                </c:pt>
                <c:pt idx="738">
                  <c:v>4.5705159999999988E-2</c:v>
                </c:pt>
                <c:pt idx="739">
                  <c:v>4.5497329999999989E-2</c:v>
                </c:pt>
                <c:pt idx="740">
                  <c:v>4.5289499999999996E-2</c:v>
                </c:pt>
                <c:pt idx="741">
                  <c:v>4.526239E-2</c:v>
                </c:pt>
                <c:pt idx="742">
                  <c:v>4.5235279999999996E-2</c:v>
                </c:pt>
                <c:pt idx="743">
                  <c:v>4.5307569999999998E-2</c:v>
                </c:pt>
                <c:pt idx="744">
                  <c:v>4.5379860000000001E-2</c:v>
                </c:pt>
                <c:pt idx="745">
                  <c:v>4.5430459999999992E-2</c:v>
                </c:pt>
                <c:pt idx="746">
                  <c:v>4.548105999999999E-2</c:v>
                </c:pt>
                <c:pt idx="747">
                  <c:v>4.5311179999999993E-2</c:v>
                </c:pt>
                <c:pt idx="748">
                  <c:v>4.5141300000000002E-2</c:v>
                </c:pt>
                <c:pt idx="749">
                  <c:v>4.5119614999999995E-2</c:v>
                </c:pt>
                <c:pt idx="750">
                  <c:v>4.5097929999999987E-2</c:v>
                </c:pt>
                <c:pt idx="751">
                  <c:v>4.5560579999999989E-2</c:v>
                </c:pt>
                <c:pt idx="752">
                  <c:v>4.6023229999999998E-2</c:v>
                </c:pt>
                <c:pt idx="753">
                  <c:v>4.5542504999999997E-2</c:v>
                </c:pt>
                <c:pt idx="754">
                  <c:v>4.5061779999999989E-2</c:v>
                </c:pt>
                <c:pt idx="755">
                  <c:v>4.5426844999999993E-2</c:v>
                </c:pt>
                <c:pt idx="756">
                  <c:v>4.5791909999999991E-2</c:v>
                </c:pt>
                <c:pt idx="757">
                  <c:v>4.4817804999999995E-2</c:v>
                </c:pt>
                <c:pt idx="758">
                  <c:v>4.3843699999999999E-2</c:v>
                </c:pt>
                <c:pt idx="759">
                  <c:v>4.402623E-2</c:v>
                </c:pt>
                <c:pt idx="760">
                  <c:v>4.4208759999999993E-2</c:v>
                </c:pt>
                <c:pt idx="761">
                  <c:v>4.4624424999999995E-2</c:v>
                </c:pt>
                <c:pt idx="762">
                  <c:v>4.5040089999999991E-2</c:v>
                </c:pt>
                <c:pt idx="763">
                  <c:v>4.4870209999999994E-2</c:v>
                </c:pt>
                <c:pt idx="764">
                  <c:v>4.4700329999999996E-2</c:v>
                </c:pt>
                <c:pt idx="765">
                  <c:v>4.4102134999999994E-2</c:v>
                </c:pt>
                <c:pt idx="766">
                  <c:v>4.3503939999999991E-2</c:v>
                </c:pt>
                <c:pt idx="767">
                  <c:v>4.4116594999999995E-2</c:v>
                </c:pt>
                <c:pt idx="768">
                  <c:v>4.4729249999999991E-2</c:v>
                </c:pt>
                <c:pt idx="769">
                  <c:v>4.3903339999999999E-2</c:v>
                </c:pt>
                <c:pt idx="770">
                  <c:v>4.307743E-2</c:v>
                </c:pt>
                <c:pt idx="771">
                  <c:v>4.2649115000000001E-2</c:v>
                </c:pt>
                <c:pt idx="772">
                  <c:v>4.2220799999999996E-2</c:v>
                </c:pt>
                <c:pt idx="773">
                  <c:v>4.2320194999999991E-2</c:v>
                </c:pt>
                <c:pt idx="774">
                  <c:v>4.2419589999999993E-2</c:v>
                </c:pt>
                <c:pt idx="775">
                  <c:v>4.2943689999999993E-2</c:v>
                </c:pt>
                <c:pt idx="776">
                  <c:v>4.3467789999999992E-2</c:v>
                </c:pt>
                <c:pt idx="777">
                  <c:v>4.3883454999999995E-2</c:v>
                </c:pt>
                <c:pt idx="778">
                  <c:v>4.4299119999999997E-2</c:v>
                </c:pt>
                <c:pt idx="779">
                  <c:v>4.3879839999999996E-2</c:v>
                </c:pt>
                <c:pt idx="780">
                  <c:v>4.3460559999999995E-2</c:v>
                </c:pt>
                <c:pt idx="781">
                  <c:v>4.3075619999999995E-2</c:v>
                </c:pt>
                <c:pt idx="782">
                  <c:v>4.2690680000000002E-2</c:v>
                </c:pt>
                <c:pt idx="783">
                  <c:v>4.2430435000000002E-2</c:v>
                </c:pt>
                <c:pt idx="784">
                  <c:v>4.2170189999999996E-2</c:v>
                </c:pt>
                <c:pt idx="785">
                  <c:v>4.2255129999999988E-2</c:v>
                </c:pt>
                <c:pt idx="786">
                  <c:v>4.2340069999999987E-2</c:v>
                </c:pt>
                <c:pt idx="787">
                  <c:v>4.295091999999999E-2</c:v>
                </c:pt>
                <c:pt idx="788">
                  <c:v>4.3561769999999993E-2</c:v>
                </c:pt>
                <c:pt idx="789">
                  <c:v>4.3142489999999992E-2</c:v>
                </c:pt>
                <c:pt idx="790">
                  <c:v>4.2723209999999991E-2</c:v>
                </c:pt>
                <c:pt idx="791">
                  <c:v>4.3059354999999994E-2</c:v>
                </c:pt>
                <c:pt idx="792">
                  <c:v>4.339549999999999E-2</c:v>
                </c:pt>
                <c:pt idx="793">
                  <c:v>4.3404534999999994E-2</c:v>
                </c:pt>
                <c:pt idx="794">
                  <c:v>4.3413569999999999E-2</c:v>
                </c:pt>
                <c:pt idx="795">
                  <c:v>4.3023209999999992E-2</c:v>
                </c:pt>
                <c:pt idx="796">
                  <c:v>4.2632849999999986E-2</c:v>
                </c:pt>
                <c:pt idx="797">
                  <c:v>4.2327424999999988E-2</c:v>
                </c:pt>
                <c:pt idx="798">
                  <c:v>4.2021999999999997E-2</c:v>
                </c:pt>
                <c:pt idx="799">
                  <c:v>4.2490074999999995E-2</c:v>
                </c:pt>
                <c:pt idx="800">
                  <c:v>4.2958149999999994E-2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AFE-4C71-A014-FF2ADB0F709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Spectra!$A$3:$A$803</c:f>
              <c:numCache>
                <c:formatCode>0.00E+00</c:formatCode>
                <c:ptCount val="801"/>
                <c:pt idx="0">
                  <c:v>2.4999999999999999E-7</c:v>
                </c:pt>
                <c:pt idx="1">
                  <c:v>2.5100000000000001E-7</c:v>
                </c:pt>
                <c:pt idx="2">
                  <c:v>2.5200000000000003E-7</c:v>
                </c:pt>
                <c:pt idx="3">
                  <c:v>2.53E-7</c:v>
                </c:pt>
                <c:pt idx="4">
                  <c:v>2.5400000000000002E-7</c:v>
                </c:pt>
                <c:pt idx="5">
                  <c:v>2.5499999999999999E-7</c:v>
                </c:pt>
                <c:pt idx="6">
                  <c:v>2.5600000000000002E-7</c:v>
                </c:pt>
                <c:pt idx="7">
                  <c:v>2.5699999999999999E-7</c:v>
                </c:pt>
                <c:pt idx="8">
                  <c:v>2.5800000000000001E-7</c:v>
                </c:pt>
                <c:pt idx="9">
                  <c:v>2.5900000000000003E-7</c:v>
                </c:pt>
                <c:pt idx="10">
                  <c:v>2.6E-7</c:v>
                </c:pt>
                <c:pt idx="11">
                  <c:v>2.6100000000000002E-7</c:v>
                </c:pt>
                <c:pt idx="12">
                  <c:v>2.6199999999999999E-7</c:v>
                </c:pt>
                <c:pt idx="13">
                  <c:v>2.6300000000000001E-7</c:v>
                </c:pt>
                <c:pt idx="14">
                  <c:v>2.6400000000000003E-7</c:v>
                </c:pt>
                <c:pt idx="15">
                  <c:v>2.65E-7</c:v>
                </c:pt>
                <c:pt idx="16">
                  <c:v>2.6600000000000003E-7</c:v>
                </c:pt>
                <c:pt idx="17">
                  <c:v>2.67E-7</c:v>
                </c:pt>
                <c:pt idx="18">
                  <c:v>2.6800000000000002E-7</c:v>
                </c:pt>
                <c:pt idx="19">
                  <c:v>2.6899999999999999E-7</c:v>
                </c:pt>
                <c:pt idx="20">
                  <c:v>2.7000000000000001E-7</c:v>
                </c:pt>
                <c:pt idx="21">
                  <c:v>2.7100000000000003E-7</c:v>
                </c:pt>
                <c:pt idx="22">
                  <c:v>2.72E-7</c:v>
                </c:pt>
                <c:pt idx="23">
                  <c:v>2.7300000000000002E-7</c:v>
                </c:pt>
                <c:pt idx="24">
                  <c:v>2.7399999999999999E-7</c:v>
                </c:pt>
                <c:pt idx="25">
                  <c:v>2.7500000000000001E-7</c:v>
                </c:pt>
                <c:pt idx="26">
                  <c:v>2.7600000000000004E-7</c:v>
                </c:pt>
                <c:pt idx="27">
                  <c:v>2.7700000000000001E-7</c:v>
                </c:pt>
                <c:pt idx="28">
                  <c:v>2.7800000000000003E-7</c:v>
                </c:pt>
                <c:pt idx="29">
                  <c:v>2.79E-7</c:v>
                </c:pt>
                <c:pt idx="30">
                  <c:v>2.8000000000000002E-7</c:v>
                </c:pt>
                <c:pt idx="31">
                  <c:v>2.8099999999999999E-7</c:v>
                </c:pt>
                <c:pt idx="32">
                  <c:v>2.8200000000000001E-7</c:v>
                </c:pt>
                <c:pt idx="33">
                  <c:v>2.8300000000000003E-7</c:v>
                </c:pt>
                <c:pt idx="34">
                  <c:v>2.84E-7</c:v>
                </c:pt>
                <c:pt idx="35">
                  <c:v>2.8500000000000002E-7</c:v>
                </c:pt>
                <c:pt idx="36">
                  <c:v>2.8599999999999999E-7</c:v>
                </c:pt>
                <c:pt idx="37">
                  <c:v>2.8700000000000002E-7</c:v>
                </c:pt>
                <c:pt idx="38">
                  <c:v>2.8799999999999998E-7</c:v>
                </c:pt>
                <c:pt idx="39">
                  <c:v>2.8900000000000001E-7</c:v>
                </c:pt>
                <c:pt idx="40">
                  <c:v>2.9000000000000003E-7</c:v>
                </c:pt>
                <c:pt idx="41">
                  <c:v>2.91E-7</c:v>
                </c:pt>
                <c:pt idx="42">
                  <c:v>2.9200000000000002E-7</c:v>
                </c:pt>
                <c:pt idx="43">
                  <c:v>2.9299999999999999E-7</c:v>
                </c:pt>
                <c:pt idx="44">
                  <c:v>2.9400000000000001E-7</c:v>
                </c:pt>
                <c:pt idx="45">
                  <c:v>2.9500000000000003E-7</c:v>
                </c:pt>
                <c:pt idx="46">
                  <c:v>2.96E-7</c:v>
                </c:pt>
                <c:pt idx="47">
                  <c:v>2.9700000000000003E-7</c:v>
                </c:pt>
                <c:pt idx="48">
                  <c:v>2.9799999999999999E-7</c:v>
                </c:pt>
                <c:pt idx="49">
                  <c:v>2.9900000000000002E-7</c:v>
                </c:pt>
                <c:pt idx="50">
                  <c:v>2.9999999999999999E-7</c:v>
                </c:pt>
                <c:pt idx="51">
                  <c:v>3.0100000000000001E-7</c:v>
                </c:pt>
                <c:pt idx="52">
                  <c:v>3.0200000000000003E-7</c:v>
                </c:pt>
                <c:pt idx="53">
                  <c:v>3.03E-7</c:v>
                </c:pt>
                <c:pt idx="54">
                  <c:v>3.0400000000000002E-7</c:v>
                </c:pt>
                <c:pt idx="55">
                  <c:v>3.0499999999999999E-7</c:v>
                </c:pt>
                <c:pt idx="56">
                  <c:v>3.0600000000000001E-7</c:v>
                </c:pt>
                <c:pt idx="57">
                  <c:v>3.0700000000000004E-7</c:v>
                </c:pt>
                <c:pt idx="58">
                  <c:v>3.0800000000000001E-7</c:v>
                </c:pt>
                <c:pt idx="59">
                  <c:v>3.0900000000000003E-7</c:v>
                </c:pt>
                <c:pt idx="60">
                  <c:v>3.1E-7</c:v>
                </c:pt>
                <c:pt idx="61">
                  <c:v>3.1100000000000002E-7</c:v>
                </c:pt>
                <c:pt idx="62">
                  <c:v>3.1199999999999999E-7</c:v>
                </c:pt>
                <c:pt idx="63">
                  <c:v>3.1300000000000001E-7</c:v>
                </c:pt>
                <c:pt idx="64">
                  <c:v>3.1400000000000003E-7</c:v>
                </c:pt>
                <c:pt idx="65">
                  <c:v>3.15E-7</c:v>
                </c:pt>
                <c:pt idx="66">
                  <c:v>3.1600000000000002E-7</c:v>
                </c:pt>
                <c:pt idx="67">
                  <c:v>3.1699999999999999E-7</c:v>
                </c:pt>
                <c:pt idx="68">
                  <c:v>3.1800000000000002E-7</c:v>
                </c:pt>
                <c:pt idx="69">
                  <c:v>3.1900000000000004E-7</c:v>
                </c:pt>
                <c:pt idx="70">
                  <c:v>3.2000000000000001E-7</c:v>
                </c:pt>
                <c:pt idx="71">
                  <c:v>3.2100000000000003E-7</c:v>
                </c:pt>
                <c:pt idx="72">
                  <c:v>3.22E-7</c:v>
                </c:pt>
                <c:pt idx="73">
                  <c:v>3.2300000000000002E-7</c:v>
                </c:pt>
                <c:pt idx="74">
                  <c:v>3.2399999999999999E-7</c:v>
                </c:pt>
                <c:pt idx="75">
                  <c:v>3.2500000000000001E-7</c:v>
                </c:pt>
                <c:pt idx="76">
                  <c:v>3.2600000000000003E-7</c:v>
                </c:pt>
                <c:pt idx="77">
                  <c:v>3.27E-7</c:v>
                </c:pt>
                <c:pt idx="78">
                  <c:v>3.2800000000000003E-7</c:v>
                </c:pt>
                <c:pt idx="79">
                  <c:v>3.2899999999999999E-7</c:v>
                </c:pt>
                <c:pt idx="80">
                  <c:v>3.3000000000000002E-7</c:v>
                </c:pt>
                <c:pt idx="81">
                  <c:v>3.3099999999999999E-7</c:v>
                </c:pt>
                <c:pt idx="82">
                  <c:v>3.3200000000000001E-7</c:v>
                </c:pt>
                <c:pt idx="83">
                  <c:v>3.3300000000000003E-7</c:v>
                </c:pt>
                <c:pt idx="84">
                  <c:v>3.34E-7</c:v>
                </c:pt>
                <c:pt idx="85">
                  <c:v>3.3500000000000002E-7</c:v>
                </c:pt>
                <c:pt idx="86">
                  <c:v>3.3599999999999999E-7</c:v>
                </c:pt>
                <c:pt idx="87">
                  <c:v>3.3700000000000001E-7</c:v>
                </c:pt>
                <c:pt idx="88">
                  <c:v>3.3800000000000004E-7</c:v>
                </c:pt>
                <c:pt idx="89">
                  <c:v>3.39E-7</c:v>
                </c:pt>
                <c:pt idx="90">
                  <c:v>3.4000000000000003E-7</c:v>
                </c:pt>
                <c:pt idx="91">
                  <c:v>3.41E-7</c:v>
                </c:pt>
                <c:pt idx="92">
                  <c:v>3.4200000000000002E-7</c:v>
                </c:pt>
                <c:pt idx="93">
                  <c:v>3.4299999999999999E-7</c:v>
                </c:pt>
                <c:pt idx="94">
                  <c:v>3.4400000000000001E-7</c:v>
                </c:pt>
                <c:pt idx="95">
                  <c:v>3.4500000000000003E-7</c:v>
                </c:pt>
                <c:pt idx="96">
                  <c:v>3.46E-7</c:v>
                </c:pt>
                <c:pt idx="97">
                  <c:v>3.4700000000000002E-7</c:v>
                </c:pt>
                <c:pt idx="98">
                  <c:v>3.4799999999999999E-7</c:v>
                </c:pt>
                <c:pt idx="99">
                  <c:v>3.4900000000000001E-7</c:v>
                </c:pt>
                <c:pt idx="100">
                  <c:v>3.5000000000000004E-7</c:v>
                </c:pt>
                <c:pt idx="101">
                  <c:v>3.5100000000000001E-7</c:v>
                </c:pt>
                <c:pt idx="102">
                  <c:v>3.5200000000000003E-7</c:v>
                </c:pt>
                <c:pt idx="103">
                  <c:v>3.53E-7</c:v>
                </c:pt>
                <c:pt idx="104">
                  <c:v>3.5400000000000002E-7</c:v>
                </c:pt>
                <c:pt idx="105">
                  <c:v>3.5499999999999999E-7</c:v>
                </c:pt>
                <c:pt idx="106">
                  <c:v>3.5600000000000001E-7</c:v>
                </c:pt>
                <c:pt idx="107">
                  <c:v>3.5700000000000003E-7</c:v>
                </c:pt>
                <c:pt idx="108">
                  <c:v>3.58E-7</c:v>
                </c:pt>
                <c:pt idx="109">
                  <c:v>3.5900000000000003E-7</c:v>
                </c:pt>
                <c:pt idx="110">
                  <c:v>3.5999999999999999E-7</c:v>
                </c:pt>
                <c:pt idx="111">
                  <c:v>3.6100000000000002E-7</c:v>
                </c:pt>
                <c:pt idx="112">
                  <c:v>3.6200000000000004E-7</c:v>
                </c:pt>
                <c:pt idx="113">
                  <c:v>3.6300000000000001E-7</c:v>
                </c:pt>
                <c:pt idx="114">
                  <c:v>3.6400000000000003E-7</c:v>
                </c:pt>
                <c:pt idx="115">
                  <c:v>3.65E-7</c:v>
                </c:pt>
                <c:pt idx="116">
                  <c:v>3.6600000000000002E-7</c:v>
                </c:pt>
                <c:pt idx="117">
                  <c:v>3.6699999999999999E-7</c:v>
                </c:pt>
                <c:pt idx="118">
                  <c:v>3.6800000000000001E-7</c:v>
                </c:pt>
                <c:pt idx="119">
                  <c:v>3.6900000000000004E-7</c:v>
                </c:pt>
                <c:pt idx="120">
                  <c:v>3.7E-7</c:v>
                </c:pt>
                <c:pt idx="121">
                  <c:v>3.7100000000000003E-7</c:v>
                </c:pt>
                <c:pt idx="122">
                  <c:v>3.72E-7</c:v>
                </c:pt>
                <c:pt idx="123">
                  <c:v>3.7300000000000002E-7</c:v>
                </c:pt>
                <c:pt idx="124">
                  <c:v>3.7399999999999999E-7</c:v>
                </c:pt>
                <c:pt idx="125">
                  <c:v>3.7500000000000001E-7</c:v>
                </c:pt>
                <c:pt idx="126">
                  <c:v>3.7600000000000003E-7</c:v>
                </c:pt>
                <c:pt idx="127">
                  <c:v>3.77E-7</c:v>
                </c:pt>
                <c:pt idx="128">
                  <c:v>3.7800000000000002E-7</c:v>
                </c:pt>
                <c:pt idx="129">
                  <c:v>3.7899999999999999E-7</c:v>
                </c:pt>
                <c:pt idx="130">
                  <c:v>3.8000000000000001E-7</c:v>
                </c:pt>
                <c:pt idx="131">
                  <c:v>3.8100000000000004E-7</c:v>
                </c:pt>
                <c:pt idx="132">
                  <c:v>3.8200000000000001E-7</c:v>
                </c:pt>
                <c:pt idx="133">
                  <c:v>3.8300000000000003E-7</c:v>
                </c:pt>
                <c:pt idx="134">
                  <c:v>3.84E-7</c:v>
                </c:pt>
                <c:pt idx="135">
                  <c:v>3.8500000000000002E-7</c:v>
                </c:pt>
                <c:pt idx="136">
                  <c:v>3.8599999999999999E-7</c:v>
                </c:pt>
                <c:pt idx="137">
                  <c:v>3.8700000000000001E-7</c:v>
                </c:pt>
                <c:pt idx="138">
                  <c:v>3.8800000000000003E-7</c:v>
                </c:pt>
                <c:pt idx="139">
                  <c:v>3.89E-7</c:v>
                </c:pt>
                <c:pt idx="140">
                  <c:v>3.9000000000000002E-7</c:v>
                </c:pt>
                <c:pt idx="141">
                  <c:v>3.9099999999999999E-7</c:v>
                </c:pt>
                <c:pt idx="142">
                  <c:v>3.9200000000000002E-7</c:v>
                </c:pt>
                <c:pt idx="143">
                  <c:v>3.9300000000000004E-7</c:v>
                </c:pt>
                <c:pt idx="144">
                  <c:v>3.9400000000000001E-7</c:v>
                </c:pt>
                <c:pt idx="145">
                  <c:v>3.9500000000000003E-7</c:v>
                </c:pt>
                <c:pt idx="146">
                  <c:v>3.96E-7</c:v>
                </c:pt>
                <c:pt idx="147">
                  <c:v>3.9700000000000002E-7</c:v>
                </c:pt>
                <c:pt idx="148">
                  <c:v>3.9799999999999999E-7</c:v>
                </c:pt>
                <c:pt idx="149">
                  <c:v>3.9900000000000001E-7</c:v>
                </c:pt>
                <c:pt idx="150">
                  <c:v>4.0000000000000003E-7</c:v>
                </c:pt>
                <c:pt idx="151">
                  <c:v>4.01E-7</c:v>
                </c:pt>
                <c:pt idx="152">
                  <c:v>4.0200000000000003E-7</c:v>
                </c:pt>
                <c:pt idx="153">
                  <c:v>4.03E-7</c:v>
                </c:pt>
                <c:pt idx="154">
                  <c:v>4.0400000000000002E-7</c:v>
                </c:pt>
                <c:pt idx="155">
                  <c:v>4.0500000000000004E-7</c:v>
                </c:pt>
                <c:pt idx="156">
                  <c:v>4.0600000000000001E-7</c:v>
                </c:pt>
                <c:pt idx="157">
                  <c:v>4.0700000000000003E-7</c:v>
                </c:pt>
                <c:pt idx="158">
                  <c:v>4.08E-7</c:v>
                </c:pt>
                <c:pt idx="159">
                  <c:v>4.0900000000000002E-7</c:v>
                </c:pt>
                <c:pt idx="160">
                  <c:v>4.0999999999999999E-7</c:v>
                </c:pt>
                <c:pt idx="161">
                  <c:v>4.1100000000000001E-7</c:v>
                </c:pt>
                <c:pt idx="162">
                  <c:v>4.1200000000000004E-7</c:v>
                </c:pt>
                <c:pt idx="163">
                  <c:v>4.1300000000000001E-7</c:v>
                </c:pt>
                <c:pt idx="164">
                  <c:v>4.1400000000000003E-7</c:v>
                </c:pt>
                <c:pt idx="165">
                  <c:v>4.15E-7</c:v>
                </c:pt>
                <c:pt idx="166">
                  <c:v>4.1600000000000002E-7</c:v>
                </c:pt>
                <c:pt idx="167">
                  <c:v>4.1700000000000004E-7</c:v>
                </c:pt>
                <c:pt idx="168">
                  <c:v>4.1800000000000001E-7</c:v>
                </c:pt>
                <c:pt idx="169">
                  <c:v>4.1900000000000003E-7</c:v>
                </c:pt>
                <c:pt idx="170">
                  <c:v>4.2E-7</c:v>
                </c:pt>
                <c:pt idx="171">
                  <c:v>4.2100000000000002E-7</c:v>
                </c:pt>
                <c:pt idx="172">
                  <c:v>4.2199999999999999E-7</c:v>
                </c:pt>
                <c:pt idx="173">
                  <c:v>4.2300000000000002E-7</c:v>
                </c:pt>
                <c:pt idx="174">
                  <c:v>4.2400000000000004E-7</c:v>
                </c:pt>
                <c:pt idx="175">
                  <c:v>4.2500000000000001E-7</c:v>
                </c:pt>
                <c:pt idx="176">
                  <c:v>4.2600000000000003E-7</c:v>
                </c:pt>
                <c:pt idx="177">
                  <c:v>4.27E-7</c:v>
                </c:pt>
                <c:pt idx="178">
                  <c:v>4.2800000000000002E-7</c:v>
                </c:pt>
                <c:pt idx="179">
                  <c:v>4.2899999999999999E-7</c:v>
                </c:pt>
                <c:pt idx="180">
                  <c:v>4.3000000000000001E-7</c:v>
                </c:pt>
                <c:pt idx="181">
                  <c:v>4.3100000000000003E-7</c:v>
                </c:pt>
                <c:pt idx="182">
                  <c:v>4.32E-7</c:v>
                </c:pt>
                <c:pt idx="183">
                  <c:v>4.3300000000000003E-7</c:v>
                </c:pt>
                <c:pt idx="184">
                  <c:v>4.34E-7</c:v>
                </c:pt>
                <c:pt idx="185">
                  <c:v>4.3500000000000002E-7</c:v>
                </c:pt>
                <c:pt idx="186">
                  <c:v>4.3600000000000004E-7</c:v>
                </c:pt>
                <c:pt idx="187">
                  <c:v>4.3700000000000001E-7</c:v>
                </c:pt>
                <c:pt idx="188">
                  <c:v>4.3800000000000003E-7</c:v>
                </c:pt>
                <c:pt idx="189">
                  <c:v>4.39E-7</c:v>
                </c:pt>
                <c:pt idx="190">
                  <c:v>4.4000000000000002E-7</c:v>
                </c:pt>
                <c:pt idx="191">
                  <c:v>4.4099999999999999E-7</c:v>
                </c:pt>
                <c:pt idx="192">
                  <c:v>4.4200000000000001E-7</c:v>
                </c:pt>
                <c:pt idx="193">
                  <c:v>4.4300000000000004E-7</c:v>
                </c:pt>
                <c:pt idx="194">
                  <c:v>4.4400000000000001E-7</c:v>
                </c:pt>
                <c:pt idx="195">
                  <c:v>4.4500000000000003E-7</c:v>
                </c:pt>
                <c:pt idx="196">
                  <c:v>4.46E-7</c:v>
                </c:pt>
                <c:pt idx="197">
                  <c:v>4.4700000000000002E-7</c:v>
                </c:pt>
                <c:pt idx="198">
                  <c:v>4.4800000000000004E-7</c:v>
                </c:pt>
                <c:pt idx="199">
                  <c:v>4.4900000000000001E-7</c:v>
                </c:pt>
                <c:pt idx="200">
                  <c:v>4.5000000000000003E-7</c:v>
                </c:pt>
                <c:pt idx="201">
                  <c:v>4.51E-7</c:v>
                </c:pt>
                <c:pt idx="202">
                  <c:v>4.5200000000000002E-7</c:v>
                </c:pt>
                <c:pt idx="203">
                  <c:v>4.5299999999999999E-7</c:v>
                </c:pt>
                <c:pt idx="204">
                  <c:v>4.5400000000000002E-7</c:v>
                </c:pt>
                <c:pt idx="205">
                  <c:v>4.5500000000000004E-7</c:v>
                </c:pt>
                <c:pt idx="206">
                  <c:v>4.5600000000000001E-7</c:v>
                </c:pt>
                <c:pt idx="207">
                  <c:v>4.5700000000000003E-7</c:v>
                </c:pt>
                <c:pt idx="208">
                  <c:v>4.58E-7</c:v>
                </c:pt>
                <c:pt idx="209">
                  <c:v>4.5900000000000002E-7</c:v>
                </c:pt>
                <c:pt idx="210">
                  <c:v>4.6000000000000004E-7</c:v>
                </c:pt>
                <c:pt idx="211">
                  <c:v>4.6100000000000001E-7</c:v>
                </c:pt>
                <c:pt idx="212">
                  <c:v>4.6200000000000003E-7</c:v>
                </c:pt>
                <c:pt idx="213">
                  <c:v>4.63E-7</c:v>
                </c:pt>
                <c:pt idx="214">
                  <c:v>4.6400000000000003E-7</c:v>
                </c:pt>
                <c:pt idx="215">
                  <c:v>4.6499999999999999E-7</c:v>
                </c:pt>
                <c:pt idx="216">
                  <c:v>4.6600000000000002E-7</c:v>
                </c:pt>
                <c:pt idx="217">
                  <c:v>4.6700000000000004E-7</c:v>
                </c:pt>
                <c:pt idx="218">
                  <c:v>4.6800000000000001E-7</c:v>
                </c:pt>
                <c:pt idx="219">
                  <c:v>4.6900000000000003E-7</c:v>
                </c:pt>
                <c:pt idx="220">
                  <c:v>4.7E-7</c:v>
                </c:pt>
                <c:pt idx="221">
                  <c:v>4.7100000000000002E-7</c:v>
                </c:pt>
                <c:pt idx="222">
                  <c:v>4.7199999999999999E-7</c:v>
                </c:pt>
                <c:pt idx="223">
                  <c:v>4.7300000000000001E-7</c:v>
                </c:pt>
                <c:pt idx="224">
                  <c:v>4.7400000000000004E-7</c:v>
                </c:pt>
                <c:pt idx="225">
                  <c:v>4.75E-7</c:v>
                </c:pt>
                <c:pt idx="226">
                  <c:v>4.7600000000000003E-7</c:v>
                </c:pt>
                <c:pt idx="227">
                  <c:v>4.7700000000000005E-7</c:v>
                </c:pt>
                <c:pt idx="228">
                  <c:v>4.7800000000000002E-7</c:v>
                </c:pt>
                <c:pt idx="229">
                  <c:v>4.7899999999999999E-7</c:v>
                </c:pt>
                <c:pt idx="230">
                  <c:v>4.8000000000000006E-7</c:v>
                </c:pt>
                <c:pt idx="231">
                  <c:v>4.8100000000000003E-7</c:v>
                </c:pt>
                <c:pt idx="232">
                  <c:v>4.82E-7</c:v>
                </c:pt>
                <c:pt idx="233">
                  <c:v>4.8299999999999997E-7</c:v>
                </c:pt>
                <c:pt idx="234">
                  <c:v>4.8400000000000005E-7</c:v>
                </c:pt>
                <c:pt idx="235">
                  <c:v>4.8500000000000002E-7</c:v>
                </c:pt>
                <c:pt idx="236">
                  <c:v>4.8599999999999998E-7</c:v>
                </c:pt>
                <c:pt idx="237">
                  <c:v>4.8700000000000006E-7</c:v>
                </c:pt>
                <c:pt idx="238">
                  <c:v>4.8800000000000003E-7</c:v>
                </c:pt>
                <c:pt idx="239">
                  <c:v>4.89E-7</c:v>
                </c:pt>
                <c:pt idx="240">
                  <c:v>4.8999999999999997E-7</c:v>
                </c:pt>
                <c:pt idx="241">
                  <c:v>4.9100000000000004E-7</c:v>
                </c:pt>
                <c:pt idx="242">
                  <c:v>4.9200000000000001E-7</c:v>
                </c:pt>
                <c:pt idx="243">
                  <c:v>4.9299999999999998E-7</c:v>
                </c:pt>
                <c:pt idx="244">
                  <c:v>4.9400000000000006E-7</c:v>
                </c:pt>
                <c:pt idx="245">
                  <c:v>4.9500000000000003E-7</c:v>
                </c:pt>
                <c:pt idx="246">
                  <c:v>4.9599999999999999E-7</c:v>
                </c:pt>
                <c:pt idx="247">
                  <c:v>4.9700000000000007E-7</c:v>
                </c:pt>
                <c:pt idx="248">
                  <c:v>4.9800000000000004E-7</c:v>
                </c:pt>
                <c:pt idx="249">
                  <c:v>4.9900000000000001E-7</c:v>
                </c:pt>
                <c:pt idx="250">
                  <c:v>4.9999999999999998E-7</c:v>
                </c:pt>
                <c:pt idx="251">
                  <c:v>5.0100000000000005E-7</c:v>
                </c:pt>
                <c:pt idx="252">
                  <c:v>5.0200000000000002E-7</c:v>
                </c:pt>
                <c:pt idx="253">
                  <c:v>5.0299999999999999E-7</c:v>
                </c:pt>
                <c:pt idx="254">
                  <c:v>5.0400000000000007E-7</c:v>
                </c:pt>
                <c:pt idx="255">
                  <c:v>5.0500000000000004E-7</c:v>
                </c:pt>
                <c:pt idx="256">
                  <c:v>5.06E-7</c:v>
                </c:pt>
                <c:pt idx="257">
                  <c:v>5.0699999999999997E-7</c:v>
                </c:pt>
                <c:pt idx="258">
                  <c:v>5.0800000000000005E-7</c:v>
                </c:pt>
                <c:pt idx="259">
                  <c:v>5.0900000000000002E-7</c:v>
                </c:pt>
                <c:pt idx="260">
                  <c:v>5.0999999999999999E-7</c:v>
                </c:pt>
                <c:pt idx="261">
                  <c:v>5.1100000000000006E-7</c:v>
                </c:pt>
                <c:pt idx="262">
                  <c:v>5.1200000000000003E-7</c:v>
                </c:pt>
                <c:pt idx="263">
                  <c:v>5.13E-7</c:v>
                </c:pt>
                <c:pt idx="264">
                  <c:v>5.1399999999999997E-7</c:v>
                </c:pt>
                <c:pt idx="265">
                  <c:v>5.1500000000000005E-7</c:v>
                </c:pt>
                <c:pt idx="266">
                  <c:v>5.1600000000000001E-7</c:v>
                </c:pt>
                <c:pt idx="267">
                  <c:v>5.1699999999999998E-7</c:v>
                </c:pt>
                <c:pt idx="268">
                  <c:v>5.1800000000000006E-7</c:v>
                </c:pt>
                <c:pt idx="269">
                  <c:v>5.1900000000000003E-7</c:v>
                </c:pt>
                <c:pt idx="270">
                  <c:v>5.2E-7</c:v>
                </c:pt>
                <c:pt idx="271">
                  <c:v>5.2099999999999997E-7</c:v>
                </c:pt>
                <c:pt idx="272">
                  <c:v>5.2200000000000004E-7</c:v>
                </c:pt>
                <c:pt idx="273">
                  <c:v>5.2300000000000001E-7</c:v>
                </c:pt>
                <c:pt idx="274">
                  <c:v>5.2399999999999998E-7</c:v>
                </c:pt>
                <c:pt idx="275">
                  <c:v>5.2500000000000006E-7</c:v>
                </c:pt>
                <c:pt idx="276">
                  <c:v>5.2600000000000002E-7</c:v>
                </c:pt>
                <c:pt idx="277">
                  <c:v>5.2699999999999999E-7</c:v>
                </c:pt>
                <c:pt idx="278">
                  <c:v>5.2800000000000007E-7</c:v>
                </c:pt>
                <c:pt idx="279">
                  <c:v>5.2900000000000004E-7</c:v>
                </c:pt>
                <c:pt idx="280">
                  <c:v>5.3000000000000001E-7</c:v>
                </c:pt>
                <c:pt idx="281">
                  <c:v>5.3099999999999998E-7</c:v>
                </c:pt>
                <c:pt idx="282">
                  <c:v>5.3200000000000005E-7</c:v>
                </c:pt>
                <c:pt idx="283">
                  <c:v>5.3300000000000002E-7</c:v>
                </c:pt>
                <c:pt idx="284">
                  <c:v>5.3399999999999999E-7</c:v>
                </c:pt>
                <c:pt idx="285">
                  <c:v>5.3500000000000007E-7</c:v>
                </c:pt>
                <c:pt idx="286">
                  <c:v>5.3600000000000004E-7</c:v>
                </c:pt>
                <c:pt idx="287">
                  <c:v>5.37E-7</c:v>
                </c:pt>
                <c:pt idx="288">
                  <c:v>5.3799999999999997E-7</c:v>
                </c:pt>
                <c:pt idx="289">
                  <c:v>5.3900000000000005E-7</c:v>
                </c:pt>
                <c:pt idx="290">
                  <c:v>5.4000000000000002E-7</c:v>
                </c:pt>
                <c:pt idx="291">
                  <c:v>5.4099999999999999E-7</c:v>
                </c:pt>
                <c:pt idx="292">
                  <c:v>5.4200000000000006E-7</c:v>
                </c:pt>
                <c:pt idx="293">
                  <c:v>5.4300000000000003E-7</c:v>
                </c:pt>
                <c:pt idx="294">
                  <c:v>5.44E-7</c:v>
                </c:pt>
                <c:pt idx="295">
                  <c:v>5.4499999999999997E-7</c:v>
                </c:pt>
                <c:pt idx="296">
                  <c:v>5.4600000000000005E-7</c:v>
                </c:pt>
                <c:pt idx="297">
                  <c:v>5.4700000000000001E-7</c:v>
                </c:pt>
                <c:pt idx="298">
                  <c:v>5.4799999999999998E-7</c:v>
                </c:pt>
                <c:pt idx="299">
                  <c:v>5.4900000000000006E-7</c:v>
                </c:pt>
                <c:pt idx="300">
                  <c:v>5.5000000000000003E-7</c:v>
                </c:pt>
                <c:pt idx="301">
                  <c:v>5.51E-7</c:v>
                </c:pt>
                <c:pt idx="302">
                  <c:v>5.5200000000000007E-7</c:v>
                </c:pt>
                <c:pt idx="303">
                  <c:v>5.5300000000000004E-7</c:v>
                </c:pt>
                <c:pt idx="304">
                  <c:v>5.5400000000000001E-7</c:v>
                </c:pt>
                <c:pt idx="305">
                  <c:v>5.5499999999999998E-7</c:v>
                </c:pt>
                <c:pt idx="306">
                  <c:v>5.5600000000000006E-7</c:v>
                </c:pt>
                <c:pt idx="307">
                  <c:v>5.5700000000000002E-7</c:v>
                </c:pt>
                <c:pt idx="308">
                  <c:v>5.5799999999999999E-7</c:v>
                </c:pt>
                <c:pt idx="309">
                  <c:v>5.5900000000000007E-7</c:v>
                </c:pt>
                <c:pt idx="310">
                  <c:v>5.6000000000000004E-7</c:v>
                </c:pt>
                <c:pt idx="311">
                  <c:v>5.6100000000000001E-7</c:v>
                </c:pt>
                <c:pt idx="312">
                  <c:v>5.6199999999999998E-7</c:v>
                </c:pt>
                <c:pt idx="313">
                  <c:v>5.6300000000000005E-7</c:v>
                </c:pt>
                <c:pt idx="314">
                  <c:v>5.6400000000000002E-7</c:v>
                </c:pt>
                <c:pt idx="315">
                  <c:v>5.6499999999999999E-7</c:v>
                </c:pt>
                <c:pt idx="316">
                  <c:v>5.6600000000000007E-7</c:v>
                </c:pt>
                <c:pt idx="317">
                  <c:v>5.6700000000000003E-7</c:v>
                </c:pt>
                <c:pt idx="318">
                  <c:v>5.68E-7</c:v>
                </c:pt>
                <c:pt idx="319">
                  <c:v>5.6899999999999997E-7</c:v>
                </c:pt>
                <c:pt idx="320">
                  <c:v>5.7000000000000005E-7</c:v>
                </c:pt>
                <c:pt idx="321">
                  <c:v>5.7100000000000002E-7</c:v>
                </c:pt>
                <c:pt idx="322">
                  <c:v>5.7199999999999999E-7</c:v>
                </c:pt>
                <c:pt idx="323">
                  <c:v>5.7300000000000006E-7</c:v>
                </c:pt>
                <c:pt idx="324">
                  <c:v>5.7400000000000003E-7</c:v>
                </c:pt>
                <c:pt idx="325">
                  <c:v>5.75E-7</c:v>
                </c:pt>
                <c:pt idx="326">
                  <c:v>5.7599999999999997E-7</c:v>
                </c:pt>
                <c:pt idx="327">
                  <c:v>5.7700000000000004E-7</c:v>
                </c:pt>
                <c:pt idx="328">
                  <c:v>5.7800000000000001E-7</c:v>
                </c:pt>
                <c:pt idx="329">
                  <c:v>5.7899999999999998E-7</c:v>
                </c:pt>
                <c:pt idx="330">
                  <c:v>5.8000000000000006E-7</c:v>
                </c:pt>
                <c:pt idx="331">
                  <c:v>5.8100000000000003E-7</c:v>
                </c:pt>
                <c:pt idx="332">
                  <c:v>5.82E-7</c:v>
                </c:pt>
                <c:pt idx="333">
                  <c:v>5.8300000000000007E-7</c:v>
                </c:pt>
                <c:pt idx="334">
                  <c:v>5.8400000000000004E-7</c:v>
                </c:pt>
                <c:pt idx="335">
                  <c:v>5.8500000000000001E-7</c:v>
                </c:pt>
                <c:pt idx="336">
                  <c:v>5.8599999999999998E-7</c:v>
                </c:pt>
                <c:pt idx="337">
                  <c:v>5.8700000000000005E-7</c:v>
                </c:pt>
                <c:pt idx="338">
                  <c:v>5.8800000000000002E-7</c:v>
                </c:pt>
                <c:pt idx="339">
                  <c:v>5.8899999999999999E-7</c:v>
                </c:pt>
                <c:pt idx="340">
                  <c:v>5.9000000000000007E-7</c:v>
                </c:pt>
                <c:pt idx="341">
                  <c:v>5.9100000000000004E-7</c:v>
                </c:pt>
                <c:pt idx="342">
                  <c:v>5.9200000000000001E-7</c:v>
                </c:pt>
                <c:pt idx="343">
                  <c:v>5.9299999999999998E-7</c:v>
                </c:pt>
                <c:pt idx="344">
                  <c:v>5.9400000000000005E-7</c:v>
                </c:pt>
                <c:pt idx="345">
                  <c:v>5.9500000000000002E-7</c:v>
                </c:pt>
                <c:pt idx="346">
                  <c:v>5.9599999999999999E-7</c:v>
                </c:pt>
                <c:pt idx="347">
                  <c:v>5.9700000000000007E-7</c:v>
                </c:pt>
                <c:pt idx="348">
                  <c:v>5.9800000000000003E-7</c:v>
                </c:pt>
                <c:pt idx="349">
                  <c:v>5.99E-7</c:v>
                </c:pt>
                <c:pt idx="350">
                  <c:v>5.9999999999999997E-7</c:v>
                </c:pt>
                <c:pt idx="351">
                  <c:v>6.0100000000000005E-7</c:v>
                </c:pt>
                <c:pt idx="352">
                  <c:v>6.0200000000000002E-7</c:v>
                </c:pt>
                <c:pt idx="353">
                  <c:v>6.0299999999999999E-7</c:v>
                </c:pt>
                <c:pt idx="354">
                  <c:v>6.0400000000000006E-7</c:v>
                </c:pt>
                <c:pt idx="355">
                  <c:v>6.0500000000000003E-7</c:v>
                </c:pt>
                <c:pt idx="356">
                  <c:v>6.06E-7</c:v>
                </c:pt>
                <c:pt idx="357">
                  <c:v>6.0699999999999997E-7</c:v>
                </c:pt>
                <c:pt idx="358">
                  <c:v>6.0800000000000004E-7</c:v>
                </c:pt>
                <c:pt idx="359">
                  <c:v>6.0900000000000001E-7</c:v>
                </c:pt>
                <c:pt idx="360">
                  <c:v>6.0999999999999998E-7</c:v>
                </c:pt>
                <c:pt idx="361">
                  <c:v>6.1100000000000006E-7</c:v>
                </c:pt>
                <c:pt idx="362">
                  <c:v>6.1200000000000003E-7</c:v>
                </c:pt>
                <c:pt idx="363">
                  <c:v>6.13E-7</c:v>
                </c:pt>
                <c:pt idx="364">
                  <c:v>6.1400000000000007E-7</c:v>
                </c:pt>
                <c:pt idx="365">
                  <c:v>6.1500000000000004E-7</c:v>
                </c:pt>
                <c:pt idx="366">
                  <c:v>6.1600000000000001E-7</c:v>
                </c:pt>
                <c:pt idx="367">
                  <c:v>6.1699999999999998E-7</c:v>
                </c:pt>
                <c:pt idx="368">
                  <c:v>6.1800000000000005E-7</c:v>
                </c:pt>
                <c:pt idx="369">
                  <c:v>6.1900000000000002E-7</c:v>
                </c:pt>
                <c:pt idx="370">
                  <c:v>6.1999999999999999E-7</c:v>
                </c:pt>
                <c:pt idx="371">
                  <c:v>6.2100000000000007E-7</c:v>
                </c:pt>
                <c:pt idx="372">
                  <c:v>6.2200000000000004E-7</c:v>
                </c:pt>
                <c:pt idx="373">
                  <c:v>6.2300000000000001E-7</c:v>
                </c:pt>
                <c:pt idx="374">
                  <c:v>6.2399999999999998E-7</c:v>
                </c:pt>
                <c:pt idx="375">
                  <c:v>6.2500000000000005E-7</c:v>
                </c:pt>
                <c:pt idx="376">
                  <c:v>6.2600000000000002E-7</c:v>
                </c:pt>
                <c:pt idx="377">
                  <c:v>6.2699999999999999E-7</c:v>
                </c:pt>
                <c:pt idx="378">
                  <c:v>6.2800000000000006E-7</c:v>
                </c:pt>
                <c:pt idx="379">
                  <c:v>6.2900000000000003E-7</c:v>
                </c:pt>
                <c:pt idx="380">
                  <c:v>6.3E-7</c:v>
                </c:pt>
                <c:pt idx="381">
                  <c:v>6.3099999999999997E-7</c:v>
                </c:pt>
                <c:pt idx="382">
                  <c:v>6.3200000000000005E-7</c:v>
                </c:pt>
                <c:pt idx="383">
                  <c:v>6.3300000000000002E-7</c:v>
                </c:pt>
                <c:pt idx="384">
                  <c:v>6.3399999999999999E-7</c:v>
                </c:pt>
                <c:pt idx="385">
                  <c:v>6.3500000000000006E-7</c:v>
                </c:pt>
                <c:pt idx="386">
                  <c:v>6.3600000000000003E-7</c:v>
                </c:pt>
                <c:pt idx="387">
                  <c:v>6.37E-7</c:v>
                </c:pt>
                <c:pt idx="388">
                  <c:v>6.3800000000000007E-7</c:v>
                </c:pt>
                <c:pt idx="389">
                  <c:v>6.3900000000000004E-7</c:v>
                </c:pt>
                <c:pt idx="390">
                  <c:v>6.4000000000000001E-7</c:v>
                </c:pt>
                <c:pt idx="391">
                  <c:v>6.4099999999999998E-7</c:v>
                </c:pt>
                <c:pt idx="392">
                  <c:v>6.4200000000000006E-7</c:v>
                </c:pt>
                <c:pt idx="393">
                  <c:v>6.4300000000000003E-7</c:v>
                </c:pt>
                <c:pt idx="394">
                  <c:v>6.44E-7</c:v>
                </c:pt>
                <c:pt idx="395">
                  <c:v>6.4500000000000007E-7</c:v>
                </c:pt>
                <c:pt idx="396">
                  <c:v>6.4600000000000004E-7</c:v>
                </c:pt>
                <c:pt idx="397">
                  <c:v>6.4700000000000001E-7</c:v>
                </c:pt>
                <c:pt idx="398">
                  <c:v>6.4799999999999998E-7</c:v>
                </c:pt>
                <c:pt idx="399">
                  <c:v>6.4900000000000005E-7</c:v>
                </c:pt>
                <c:pt idx="400">
                  <c:v>6.5000000000000002E-7</c:v>
                </c:pt>
                <c:pt idx="401">
                  <c:v>6.5099999999999999E-7</c:v>
                </c:pt>
                <c:pt idx="402">
                  <c:v>6.5200000000000007E-7</c:v>
                </c:pt>
                <c:pt idx="403">
                  <c:v>6.5300000000000004E-7</c:v>
                </c:pt>
                <c:pt idx="404">
                  <c:v>6.5400000000000001E-7</c:v>
                </c:pt>
                <c:pt idx="405">
                  <c:v>6.5499999999999998E-7</c:v>
                </c:pt>
                <c:pt idx="406">
                  <c:v>6.5600000000000005E-7</c:v>
                </c:pt>
                <c:pt idx="407">
                  <c:v>6.5700000000000002E-7</c:v>
                </c:pt>
                <c:pt idx="408">
                  <c:v>6.5799999999999999E-7</c:v>
                </c:pt>
                <c:pt idx="409">
                  <c:v>6.5900000000000006E-7</c:v>
                </c:pt>
                <c:pt idx="410">
                  <c:v>6.6000000000000003E-7</c:v>
                </c:pt>
                <c:pt idx="411">
                  <c:v>6.61E-7</c:v>
                </c:pt>
                <c:pt idx="412">
                  <c:v>6.6199999999999997E-7</c:v>
                </c:pt>
                <c:pt idx="413">
                  <c:v>6.6300000000000005E-7</c:v>
                </c:pt>
                <c:pt idx="414">
                  <c:v>6.6400000000000002E-7</c:v>
                </c:pt>
                <c:pt idx="415">
                  <c:v>6.6499999999999999E-7</c:v>
                </c:pt>
                <c:pt idx="416">
                  <c:v>6.6600000000000006E-7</c:v>
                </c:pt>
                <c:pt idx="417">
                  <c:v>6.6700000000000003E-7</c:v>
                </c:pt>
                <c:pt idx="418">
                  <c:v>6.68E-7</c:v>
                </c:pt>
                <c:pt idx="419">
                  <c:v>6.6900000000000007E-7</c:v>
                </c:pt>
                <c:pt idx="420">
                  <c:v>6.7000000000000004E-7</c:v>
                </c:pt>
                <c:pt idx="421">
                  <c:v>6.7100000000000001E-7</c:v>
                </c:pt>
                <c:pt idx="422">
                  <c:v>6.7199999999999998E-7</c:v>
                </c:pt>
                <c:pt idx="423">
                  <c:v>6.7300000000000006E-7</c:v>
                </c:pt>
                <c:pt idx="424">
                  <c:v>6.7400000000000003E-7</c:v>
                </c:pt>
                <c:pt idx="425">
                  <c:v>6.75E-7</c:v>
                </c:pt>
                <c:pt idx="426">
                  <c:v>6.7600000000000007E-7</c:v>
                </c:pt>
                <c:pt idx="427">
                  <c:v>6.7700000000000004E-7</c:v>
                </c:pt>
                <c:pt idx="428">
                  <c:v>6.7800000000000001E-7</c:v>
                </c:pt>
                <c:pt idx="429">
                  <c:v>6.7899999999999998E-7</c:v>
                </c:pt>
                <c:pt idx="430">
                  <c:v>6.8000000000000005E-7</c:v>
                </c:pt>
                <c:pt idx="431">
                  <c:v>6.8100000000000002E-7</c:v>
                </c:pt>
                <c:pt idx="432">
                  <c:v>6.8199999999999999E-7</c:v>
                </c:pt>
                <c:pt idx="433">
                  <c:v>6.8300000000000007E-7</c:v>
                </c:pt>
                <c:pt idx="434">
                  <c:v>6.8400000000000004E-7</c:v>
                </c:pt>
                <c:pt idx="435">
                  <c:v>6.8500000000000001E-7</c:v>
                </c:pt>
                <c:pt idx="436">
                  <c:v>6.8599999999999998E-7</c:v>
                </c:pt>
                <c:pt idx="437">
                  <c:v>6.8700000000000005E-7</c:v>
                </c:pt>
                <c:pt idx="438">
                  <c:v>6.8800000000000002E-7</c:v>
                </c:pt>
                <c:pt idx="439">
                  <c:v>6.8899999999999999E-7</c:v>
                </c:pt>
                <c:pt idx="440">
                  <c:v>6.9000000000000006E-7</c:v>
                </c:pt>
                <c:pt idx="441">
                  <c:v>6.9100000000000003E-7</c:v>
                </c:pt>
                <c:pt idx="442">
                  <c:v>6.92E-7</c:v>
                </c:pt>
                <c:pt idx="443">
                  <c:v>6.9300000000000008E-7</c:v>
                </c:pt>
                <c:pt idx="444">
                  <c:v>6.9400000000000005E-7</c:v>
                </c:pt>
                <c:pt idx="445">
                  <c:v>6.9500000000000002E-7</c:v>
                </c:pt>
                <c:pt idx="446">
                  <c:v>6.9599999999999999E-7</c:v>
                </c:pt>
                <c:pt idx="447">
                  <c:v>6.9700000000000006E-7</c:v>
                </c:pt>
                <c:pt idx="448">
                  <c:v>6.9800000000000003E-7</c:v>
                </c:pt>
                <c:pt idx="449">
                  <c:v>6.99E-7</c:v>
                </c:pt>
                <c:pt idx="450">
                  <c:v>7.0000000000000007E-7</c:v>
                </c:pt>
                <c:pt idx="451">
                  <c:v>7.0100000000000004E-7</c:v>
                </c:pt>
                <c:pt idx="452">
                  <c:v>7.0200000000000001E-7</c:v>
                </c:pt>
                <c:pt idx="453">
                  <c:v>7.0299999999999998E-7</c:v>
                </c:pt>
                <c:pt idx="454">
                  <c:v>7.0400000000000006E-7</c:v>
                </c:pt>
                <c:pt idx="455">
                  <c:v>7.0500000000000003E-7</c:v>
                </c:pt>
                <c:pt idx="456">
                  <c:v>7.06E-7</c:v>
                </c:pt>
                <c:pt idx="457">
                  <c:v>7.0700000000000007E-7</c:v>
                </c:pt>
                <c:pt idx="458">
                  <c:v>7.0800000000000004E-7</c:v>
                </c:pt>
                <c:pt idx="459">
                  <c:v>7.0900000000000001E-7</c:v>
                </c:pt>
                <c:pt idx="460">
                  <c:v>7.0999999999999998E-7</c:v>
                </c:pt>
                <c:pt idx="461">
                  <c:v>7.1100000000000005E-7</c:v>
                </c:pt>
                <c:pt idx="462">
                  <c:v>7.1200000000000002E-7</c:v>
                </c:pt>
                <c:pt idx="463">
                  <c:v>7.1299999999999999E-7</c:v>
                </c:pt>
                <c:pt idx="464">
                  <c:v>7.1400000000000007E-7</c:v>
                </c:pt>
                <c:pt idx="465">
                  <c:v>7.1500000000000004E-7</c:v>
                </c:pt>
                <c:pt idx="466">
                  <c:v>7.1600000000000001E-7</c:v>
                </c:pt>
                <c:pt idx="467">
                  <c:v>7.1699999999999997E-7</c:v>
                </c:pt>
                <c:pt idx="468">
                  <c:v>7.1800000000000005E-7</c:v>
                </c:pt>
                <c:pt idx="469">
                  <c:v>7.1900000000000002E-7</c:v>
                </c:pt>
                <c:pt idx="470">
                  <c:v>7.1999999999999999E-7</c:v>
                </c:pt>
                <c:pt idx="471">
                  <c:v>7.2100000000000006E-7</c:v>
                </c:pt>
                <c:pt idx="472">
                  <c:v>7.2200000000000003E-7</c:v>
                </c:pt>
                <c:pt idx="473">
                  <c:v>7.23E-7</c:v>
                </c:pt>
                <c:pt idx="474">
                  <c:v>7.2400000000000008E-7</c:v>
                </c:pt>
                <c:pt idx="475">
                  <c:v>7.2500000000000005E-7</c:v>
                </c:pt>
                <c:pt idx="476">
                  <c:v>7.2600000000000002E-7</c:v>
                </c:pt>
                <c:pt idx="477">
                  <c:v>7.2699999999999999E-7</c:v>
                </c:pt>
                <c:pt idx="478">
                  <c:v>7.2800000000000006E-7</c:v>
                </c:pt>
                <c:pt idx="479">
                  <c:v>7.2900000000000003E-7</c:v>
                </c:pt>
                <c:pt idx="480">
                  <c:v>7.3E-7</c:v>
                </c:pt>
                <c:pt idx="481">
                  <c:v>7.3100000000000007E-7</c:v>
                </c:pt>
                <c:pt idx="482">
                  <c:v>7.3200000000000004E-7</c:v>
                </c:pt>
                <c:pt idx="483">
                  <c:v>7.3300000000000001E-7</c:v>
                </c:pt>
                <c:pt idx="484">
                  <c:v>7.3399999999999998E-7</c:v>
                </c:pt>
                <c:pt idx="485">
                  <c:v>7.3500000000000006E-7</c:v>
                </c:pt>
                <c:pt idx="486">
                  <c:v>7.3600000000000003E-7</c:v>
                </c:pt>
                <c:pt idx="487">
                  <c:v>7.37E-7</c:v>
                </c:pt>
                <c:pt idx="488">
                  <c:v>7.3800000000000007E-7</c:v>
                </c:pt>
                <c:pt idx="489">
                  <c:v>7.3900000000000004E-7</c:v>
                </c:pt>
                <c:pt idx="490">
                  <c:v>7.4000000000000001E-7</c:v>
                </c:pt>
                <c:pt idx="491">
                  <c:v>7.4099999999999998E-7</c:v>
                </c:pt>
                <c:pt idx="492">
                  <c:v>7.4200000000000005E-7</c:v>
                </c:pt>
                <c:pt idx="493">
                  <c:v>7.4300000000000002E-7</c:v>
                </c:pt>
                <c:pt idx="494">
                  <c:v>7.4399999999999999E-7</c:v>
                </c:pt>
                <c:pt idx="495">
                  <c:v>7.4500000000000007E-7</c:v>
                </c:pt>
                <c:pt idx="496">
                  <c:v>7.4600000000000004E-7</c:v>
                </c:pt>
                <c:pt idx="497">
                  <c:v>7.4700000000000001E-7</c:v>
                </c:pt>
                <c:pt idx="498">
                  <c:v>7.4799999999999997E-7</c:v>
                </c:pt>
                <c:pt idx="499">
                  <c:v>7.4900000000000005E-7</c:v>
                </c:pt>
                <c:pt idx="500">
                  <c:v>7.5000000000000002E-7</c:v>
                </c:pt>
                <c:pt idx="501">
                  <c:v>7.5099999999999999E-7</c:v>
                </c:pt>
                <c:pt idx="502">
                  <c:v>7.5200000000000006E-7</c:v>
                </c:pt>
                <c:pt idx="503">
                  <c:v>7.5300000000000003E-7</c:v>
                </c:pt>
                <c:pt idx="504">
                  <c:v>7.54E-7</c:v>
                </c:pt>
                <c:pt idx="505">
                  <c:v>7.5500000000000008E-7</c:v>
                </c:pt>
                <c:pt idx="506">
                  <c:v>7.5600000000000005E-7</c:v>
                </c:pt>
                <c:pt idx="507">
                  <c:v>7.5700000000000002E-7</c:v>
                </c:pt>
                <c:pt idx="508">
                  <c:v>7.5799999999999998E-7</c:v>
                </c:pt>
                <c:pt idx="509">
                  <c:v>7.5900000000000006E-7</c:v>
                </c:pt>
                <c:pt idx="510">
                  <c:v>7.6000000000000003E-7</c:v>
                </c:pt>
                <c:pt idx="511">
                  <c:v>7.61E-7</c:v>
                </c:pt>
                <c:pt idx="512">
                  <c:v>7.6200000000000007E-7</c:v>
                </c:pt>
                <c:pt idx="513">
                  <c:v>7.6300000000000004E-7</c:v>
                </c:pt>
                <c:pt idx="514">
                  <c:v>7.6400000000000001E-7</c:v>
                </c:pt>
                <c:pt idx="515">
                  <c:v>7.6499999999999998E-7</c:v>
                </c:pt>
                <c:pt idx="516">
                  <c:v>7.6600000000000006E-7</c:v>
                </c:pt>
                <c:pt idx="517">
                  <c:v>7.6700000000000003E-7</c:v>
                </c:pt>
                <c:pt idx="518">
                  <c:v>7.6799999999999999E-7</c:v>
                </c:pt>
                <c:pt idx="519">
                  <c:v>7.6900000000000007E-7</c:v>
                </c:pt>
                <c:pt idx="520">
                  <c:v>7.7000000000000004E-7</c:v>
                </c:pt>
                <c:pt idx="521">
                  <c:v>7.7100000000000001E-7</c:v>
                </c:pt>
                <c:pt idx="522">
                  <c:v>7.7199999999999998E-7</c:v>
                </c:pt>
                <c:pt idx="523">
                  <c:v>7.7300000000000005E-7</c:v>
                </c:pt>
                <c:pt idx="524">
                  <c:v>7.7400000000000002E-7</c:v>
                </c:pt>
                <c:pt idx="525">
                  <c:v>7.7499999999999999E-7</c:v>
                </c:pt>
                <c:pt idx="526">
                  <c:v>7.7600000000000007E-7</c:v>
                </c:pt>
                <c:pt idx="527">
                  <c:v>7.7700000000000004E-7</c:v>
                </c:pt>
                <c:pt idx="528">
                  <c:v>7.7800000000000001E-7</c:v>
                </c:pt>
                <c:pt idx="529">
                  <c:v>7.7900000000000008E-7</c:v>
                </c:pt>
                <c:pt idx="530">
                  <c:v>7.8000000000000005E-7</c:v>
                </c:pt>
                <c:pt idx="531">
                  <c:v>7.8100000000000002E-7</c:v>
                </c:pt>
                <c:pt idx="532">
                  <c:v>7.8199999999999999E-7</c:v>
                </c:pt>
                <c:pt idx="533">
                  <c:v>7.8300000000000006E-7</c:v>
                </c:pt>
                <c:pt idx="534">
                  <c:v>7.8400000000000003E-7</c:v>
                </c:pt>
                <c:pt idx="535">
                  <c:v>7.85E-7</c:v>
                </c:pt>
                <c:pt idx="536">
                  <c:v>7.8600000000000008E-7</c:v>
                </c:pt>
                <c:pt idx="537">
                  <c:v>7.8700000000000005E-7</c:v>
                </c:pt>
                <c:pt idx="538">
                  <c:v>7.8800000000000002E-7</c:v>
                </c:pt>
                <c:pt idx="539">
                  <c:v>7.8899999999999998E-7</c:v>
                </c:pt>
                <c:pt idx="540">
                  <c:v>7.9000000000000006E-7</c:v>
                </c:pt>
                <c:pt idx="541">
                  <c:v>7.9100000000000003E-7</c:v>
                </c:pt>
                <c:pt idx="542">
                  <c:v>7.92E-7</c:v>
                </c:pt>
                <c:pt idx="543">
                  <c:v>7.9300000000000007E-7</c:v>
                </c:pt>
                <c:pt idx="544">
                  <c:v>7.9400000000000004E-7</c:v>
                </c:pt>
                <c:pt idx="545">
                  <c:v>7.9500000000000001E-7</c:v>
                </c:pt>
                <c:pt idx="546">
                  <c:v>7.9599999999999998E-7</c:v>
                </c:pt>
                <c:pt idx="547">
                  <c:v>7.9700000000000006E-7</c:v>
                </c:pt>
                <c:pt idx="548">
                  <c:v>7.9800000000000003E-7</c:v>
                </c:pt>
                <c:pt idx="549">
                  <c:v>7.9899999999999999E-7</c:v>
                </c:pt>
                <c:pt idx="550">
                  <c:v>8.0000000000000007E-7</c:v>
                </c:pt>
                <c:pt idx="551">
                  <c:v>8.0100000000000004E-7</c:v>
                </c:pt>
                <c:pt idx="552">
                  <c:v>8.0200000000000001E-7</c:v>
                </c:pt>
                <c:pt idx="553">
                  <c:v>8.0299999999999998E-7</c:v>
                </c:pt>
                <c:pt idx="554">
                  <c:v>8.0400000000000005E-7</c:v>
                </c:pt>
                <c:pt idx="555">
                  <c:v>8.0500000000000002E-7</c:v>
                </c:pt>
                <c:pt idx="556">
                  <c:v>8.0599999999999999E-7</c:v>
                </c:pt>
                <c:pt idx="557">
                  <c:v>8.0700000000000007E-7</c:v>
                </c:pt>
                <c:pt idx="558">
                  <c:v>8.0800000000000004E-7</c:v>
                </c:pt>
                <c:pt idx="559">
                  <c:v>8.09E-7</c:v>
                </c:pt>
                <c:pt idx="560">
                  <c:v>8.1000000000000008E-7</c:v>
                </c:pt>
                <c:pt idx="561">
                  <c:v>8.1100000000000005E-7</c:v>
                </c:pt>
                <c:pt idx="562">
                  <c:v>8.1200000000000002E-7</c:v>
                </c:pt>
                <c:pt idx="563">
                  <c:v>8.1299999999999999E-7</c:v>
                </c:pt>
                <c:pt idx="564">
                  <c:v>8.1400000000000006E-7</c:v>
                </c:pt>
                <c:pt idx="565">
                  <c:v>8.1500000000000003E-7</c:v>
                </c:pt>
                <c:pt idx="566">
                  <c:v>8.16E-7</c:v>
                </c:pt>
                <c:pt idx="567">
                  <c:v>8.1700000000000008E-7</c:v>
                </c:pt>
                <c:pt idx="568">
                  <c:v>8.1800000000000005E-7</c:v>
                </c:pt>
                <c:pt idx="569">
                  <c:v>8.1900000000000001E-7</c:v>
                </c:pt>
                <c:pt idx="570">
                  <c:v>8.1999999999999998E-7</c:v>
                </c:pt>
                <c:pt idx="571">
                  <c:v>8.2100000000000006E-7</c:v>
                </c:pt>
                <c:pt idx="572">
                  <c:v>8.2200000000000003E-7</c:v>
                </c:pt>
                <c:pt idx="573">
                  <c:v>8.23E-7</c:v>
                </c:pt>
                <c:pt idx="574">
                  <c:v>8.2400000000000007E-7</c:v>
                </c:pt>
                <c:pt idx="575">
                  <c:v>8.2500000000000004E-7</c:v>
                </c:pt>
                <c:pt idx="576">
                  <c:v>8.2600000000000001E-7</c:v>
                </c:pt>
                <c:pt idx="577">
                  <c:v>8.2699999999999998E-7</c:v>
                </c:pt>
                <c:pt idx="578">
                  <c:v>8.2800000000000006E-7</c:v>
                </c:pt>
                <c:pt idx="579">
                  <c:v>8.2900000000000002E-7</c:v>
                </c:pt>
                <c:pt idx="580">
                  <c:v>8.2999999999999999E-7</c:v>
                </c:pt>
                <c:pt idx="581">
                  <c:v>8.3100000000000007E-7</c:v>
                </c:pt>
                <c:pt idx="582">
                  <c:v>8.3200000000000004E-7</c:v>
                </c:pt>
                <c:pt idx="583">
                  <c:v>8.3300000000000001E-7</c:v>
                </c:pt>
                <c:pt idx="584">
                  <c:v>8.3400000000000008E-7</c:v>
                </c:pt>
                <c:pt idx="585">
                  <c:v>8.3500000000000005E-7</c:v>
                </c:pt>
                <c:pt idx="586">
                  <c:v>8.3600000000000002E-7</c:v>
                </c:pt>
                <c:pt idx="587">
                  <c:v>8.3699999999999999E-7</c:v>
                </c:pt>
                <c:pt idx="588">
                  <c:v>8.3800000000000007E-7</c:v>
                </c:pt>
                <c:pt idx="589">
                  <c:v>8.3900000000000004E-7</c:v>
                </c:pt>
                <c:pt idx="590">
                  <c:v>8.4E-7</c:v>
                </c:pt>
                <c:pt idx="591">
                  <c:v>8.4100000000000008E-7</c:v>
                </c:pt>
                <c:pt idx="592">
                  <c:v>8.4200000000000005E-7</c:v>
                </c:pt>
                <c:pt idx="593">
                  <c:v>8.4300000000000002E-7</c:v>
                </c:pt>
                <c:pt idx="594">
                  <c:v>8.4399999999999999E-7</c:v>
                </c:pt>
                <c:pt idx="595">
                  <c:v>8.4500000000000006E-7</c:v>
                </c:pt>
                <c:pt idx="596">
                  <c:v>8.4600000000000003E-7</c:v>
                </c:pt>
                <c:pt idx="597">
                  <c:v>8.47E-7</c:v>
                </c:pt>
                <c:pt idx="598">
                  <c:v>8.4800000000000008E-7</c:v>
                </c:pt>
                <c:pt idx="599">
                  <c:v>8.4900000000000005E-7</c:v>
                </c:pt>
                <c:pt idx="600">
                  <c:v>8.5000000000000001E-7</c:v>
                </c:pt>
                <c:pt idx="601">
                  <c:v>8.5099999999999998E-7</c:v>
                </c:pt>
                <c:pt idx="602">
                  <c:v>8.5200000000000006E-7</c:v>
                </c:pt>
                <c:pt idx="603">
                  <c:v>8.5300000000000003E-7</c:v>
                </c:pt>
                <c:pt idx="604">
                  <c:v>8.54E-7</c:v>
                </c:pt>
                <c:pt idx="605">
                  <c:v>8.5500000000000007E-7</c:v>
                </c:pt>
                <c:pt idx="606">
                  <c:v>8.5600000000000004E-7</c:v>
                </c:pt>
                <c:pt idx="607">
                  <c:v>8.5700000000000001E-7</c:v>
                </c:pt>
                <c:pt idx="608">
                  <c:v>8.5799999999999998E-7</c:v>
                </c:pt>
                <c:pt idx="609">
                  <c:v>8.5900000000000006E-7</c:v>
                </c:pt>
                <c:pt idx="610">
                  <c:v>8.6000000000000002E-7</c:v>
                </c:pt>
                <c:pt idx="611">
                  <c:v>8.6099999999999999E-7</c:v>
                </c:pt>
                <c:pt idx="612">
                  <c:v>8.6200000000000007E-7</c:v>
                </c:pt>
                <c:pt idx="613">
                  <c:v>8.6300000000000004E-7</c:v>
                </c:pt>
                <c:pt idx="614">
                  <c:v>8.6400000000000001E-7</c:v>
                </c:pt>
                <c:pt idx="615">
                  <c:v>8.6500000000000008E-7</c:v>
                </c:pt>
                <c:pt idx="616">
                  <c:v>8.6600000000000005E-7</c:v>
                </c:pt>
                <c:pt idx="617">
                  <c:v>8.6700000000000002E-7</c:v>
                </c:pt>
                <c:pt idx="618">
                  <c:v>8.6799999999999999E-7</c:v>
                </c:pt>
                <c:pt idx="619">
                  <c:v>8.6900000000000007E-7</c:v>
                </c:pt>
                <c:pt idx="620">
                  <c:v>8.7000000000000003E-7</c:v>
                </c:pt>
                <c:pt idx="621">
                  <c:v>8.71E-7</c:v>
                </c:pt>
                <c:pt idx="622">
                  <c:v>8.7200000000000008E-7</c:v>
                </c:pt>
                <c:pt idx="623">
                  <c:v>8.7300000000000005E-7</c:v>
                </c:pt>
                <c:pt idx="624">
                  <c:v>8.7400000000000002E-7</c:v>
                </c:pt>
                <c:pt idx="625">
                  <c:v>8.7499999999999999E-7</c:v>
                </c:pt>
                <c:pt idx="626">
                  <c:v>8.7600000000000006E-7</c:v>
                </c:pt>
                <c:pt idx="627">
                  <c:v>8.7700000000000003E-7</c:v>
                </c:pt>
                <c:pt idx="628">
                  <c:v>8.78E-7</c:v>
                </c:pt>
                <c:pt idx="629">
                  <c:v>8.7900000000000008E-7</c:v>
                </c:pt>
                <c:pt idx="630">
                  <c:v>8.8000000000000004E-7</c:v>
                </c:pt>
                <c:pt idx="631">
                  <c:v>8.8100000000000001E-7</c:v>
                </c:pt>
                <c:pt idx="632">
                  <c:v>8.8199999999999998E-7</c:v>
                </c:pt>
                <c:pt idx="633">
                  <c:v>8.8300000000000006E-7</c:v>
                </c:pt>
                <c:pt idx="634">
                  <c:v>8.8400000000000003E-7</c:v>
                </c:pt>
                <c:pt idx="635">
                  <c:v>8.85E-7</c:v>
                </c:pt>
                <c:pt idx="636">
                  <c:v>8.8600000000000007E-7</c:v>
                </c:pt>
                <c:pt idx="637">
                  <c:v>8.8700000000000004E-7</c:v>
                </c:pt>
                <c:pt idx="638">
                  <c:v>8.8800000000000001E-7</c:v>
                </c:pt>
                <c:pt idx="639">
                  <c:v>8.8899999999999998E-7</c:v>
                </c:pt>
                <c:pt idx="640">
                  <c:v>8.9000000000000006E-7</c:v>
                </c:pt>
                <c:pt idx="641">
                  <c:v>8.9100000000000002E-7</c:v>
                </c:pt>
                <c:pt idx="642">
                  <c:v>8.9199999999999999E-7</c:v>
                </c:pt>
                <c:pt idx="643">
                  <c:v>8.9300000000000007E-7</c:v>
                </c:pt>
                <c:pt idx="644">
                  <c:v>8.9400000000000004E-7</c:v>
                </c:pt>
                <c:pt idx="645">
                  <c:v>8.9500000000000001E-7</c:v>
                </c:pt>
                <c:pt idx="646">
                  <c:v>8.9600000000000008E-7</c:v>
                </c:pt>
                <c:pt idx="647">
                  <c:v>8.9700000000000005E-7</c:v>
                </c:pt>
                <c:pt idx="648">
                  <c:v>8.9800000000000002E-7</c:v>
                </c:pt>
                <c:pt idx="649">
                  <c:v>8.9899999999999999E-7</c:v>
                </c:pt>
                <c:pt idx="650">
                  <c:v>9.0000000000000007E-7</c:v>
                </c:pt>
                <c:pt idx="651">
                  <c:v>9.0100000000000003E-7</c:v>
                </c:pt>
                <c:pt idx="652">
                  <c:v>9.02E-7</c:v>
                </c:pt>
                <c:pt idx="653">
                  <c:v>9.0300000000000008E-7</c:v>
                </c:pt>
                <c:pt idx="654">
                  <c:v>9.0400000000000005E-7</c:v>
                </c:pt>
                <c:pt idx="655">
                  <c:v>9.0500000000000002E-7</c:v>
                </c:pt>
                <c:pt idx="656">
                  <c:v>9.0599999999999999E-7</c:v>
                </c:pt>
                <c:pt idx="657">
                  <c:v>9.0700000000000006E-7</c:v>
                </c:pt>
                <c:pt idx="658">
                  <c:v>9.0800000000000003E-7</c:v>
                </c:pt>
                <c:pt idx="659">
                  <c:v>9.09E-7</c:v>
                </c:pt>
                <c:pt idx="660">
                  <c:v>9.1000000000000008E-7</c:v>
                </c:pt>
                <c:pt idx="661">
                  <c:v>9.1100000000000004E-7</c:v>
                </c:pt>
                <c:pt idx="662">
                  <c:v>9.1200000000000001E-7</c:v>
                </c:pt>
                <c:pt idx="663">
                  <c:v>9.1299999999999998E-7</c:v>
                </c:pt>
                <c:pt idx="664">
                  <c:v>9.1400000000000006E-7</c:v>
                </c:pt>
                <c:pt idx="665">
                  <c:v>9.1500000000000003E-7</c:v>
                </c:pt>
                <c:pt idx="666">
                  <c:v>9.16E-7</c:v>
                </c:pt>
                <c:pt idx="667">
                  <c:v>9.1700000000000007E-7</c:v>
                </c:pt>
                <c:pt idx="668">
                  <c:v>9.1800000000000004E-7</c:v>
                </c:pt>
                <c:pt idx="669">
                  <c:v>9.1900000000000001E-7</c:v>
                </c:pt>
                <c:pt idx="670">
                  <c:v>9.2000000000000009E-7</c:v>
                </c:pt>
                <c:pt idx="671">
                  <c:v>9.2100000000000005E-7</c:v>
                </c:pt>
                <c:pt idx="672">
                  <c:v>9.2200000000000002E-7</c:v>
                </c:pt>
                <c:pt idx="673">
                  <c:v>9.2299999999999999E-7</c:v>
                </c:pt>
                <c:pt idx="674">
                  <c:v>9.2400000000000007E-7</c:v>
                </c:pt>
                <c:pt idx="675">
                  <c:v>9.2500000000000004E-7</c:v>
                </c:pt>
                <c:pt idx="676">
                  <c:v>9.2600000000000001E-7</c:v>
                </c:pt>
                <c:pt idx="677">
                  <c:v>9.2700000000000008E-7</c:v>
                </c:pt>
                <c:pt idx="678">
                  <c:v>9.2800000000000005E-7</c:v>
                </c:pt>
                <c:pt idx="679">
                  <c:v>9.2900000000000002E-7</c:v>
                </c:pt>
                <c:pt idx="680">
                  <c:v>9.2999999999999999E-7</c:v>
                </c:pt>
                <c:pt idx="681">
                  <c:v>9.3100000000000006E-7</c:v>
                </c:pt>
                <c:pt idx="682">
                  <c:v>9.3200000000000003E-7</c:v>
                </c:pt>
                <c:pt idx="683">
                  <c:v>9.33E-7</c:v>
                </c:pt>
                <c:pt idx="684">
                  <c:v>9.3400000000000008E-7</c:v>
                </c:pt>
                <c:pt idx="685">
                  <c:v>9.3500000000000005E-7</c:v>
                </c:pt>
                <c:pt idx="686">
                  <c:v>9.3600000000000002E-7</c:v>
                </c:pt>
                <c:pt idx="687">
                  <c:v>9.3699999999999999E-7</c:v>
                </c:pt>
                <c:pt idx="688">
                  <c:v>9.3800000000000006E-7</c:v>
                </c:pt>
                <c:pt idx="689">
                  <c:v>9.3900000000000003E-7</c:v>
                </c:pt>
                <c:pt idx="690">
                  <c:v>9.4E-7</c:v>
                </c:pt>
                <c:pt idx="691">
                  <c:v>9.4100000000000007E-7</c:v>
                </c:pt>
                <c:pt idx="692">
                  <c:v>9.4200000000000004E-7</c:v>
                </c:pt>
                <c:pt idx="693">
                  <c:v>9.4300000000000001E-7</c:v>
                </c:pt>
                <c:pt idx="694">
                  <c:v>9.4399999999999998E-7</c:v>
                </c:pt>
                <c:pt idx="695">
                  <c:v>9.4500000000000006E-7</c:v>
                </c:pt>
                <c:pt idx="696">
                  <c:v>9.4600000000000003E-7</c:v>
                </c:pt>
                <c:pt idx="697">
                  <c:v>9.47E-7</c:v>
                </c:pt>
                <c:pt idx="698">
                  <c:v>9.4800000000000007E-7</c:v>
                </c:pt>
                <c:pt idx="699">
                  <c:v>9.4900000000000004E-7</c:v>
                </c:pt>
                <c:pt idx="700">
                  <c:v>9.5000000000000001E-7</c:v>
                </c:pt>
                <c:pt idx="701">
                  <c:v>9.5100000000000009E-7</c:v>
                </c:pt>
                <c:pt idx="702">
                  <c:v>9.5200000000000005E-7</c:v>
                </c:pt>
                <c:pt idx="703">
                  <c:v>9.5300000000000002E-7</c:v>
                </c:pt>
                <c:pt idx="704">
                  <c:v>9.540000000000001E-7</c:v>
                </c:pt>
                <c:pt idx="705">
                  <c:v>9.5499999999999996E-7</c:v>
                </c:pt>
                <c:pt idx="706">
                  <c:v>9.5600000000000004E-7</c:v>
                </c:pt>
                <c:pt idx="707">
                  <c:v>9.5700000000000011E-7</c:v>
                </c:pt>
                <c:pt idx="708">
                  <c:v>9.5799999999999998E-7</c:v>
                </c:pt>
                <c:pt idx="709">
                  <c:v>9.5900000000000005E-7</c:v>
                </c:pt>
                <c:pt idx="710">
                  <c:v>9.6000000000000013E-7</c:v>
                </c:pt>
                <c:pt idx="711">
                  <c:v>9.6099999999999999E-7</c:v>
                </c:pt>
                <c:pt idx="712">
                  <c:v>9.6200000000000006E-7</c:v>
                </c:pt>
                <c:pt idx="713">
                  <c:v>9.6300000000000014E-7</c:v>
                </c:pt>
                <c:pt idx="714">
                  <c:v>9.64E-7</c:v>
                </c:pt>
                <c:pt idx="715">
                  <c:v>9.6500000000000008E-7</c:v>
                </c:pt>
                <c:pt idx="716">
                  <c:v>9.6599999999999994E-7</c:v>
                </c:pt>
                <c:pt idx="717">
                  <c:v>9.6700000000000002E-7</c:v>
                </c:pt>
                <c:pt idx="718">
                  <c:v>9.6800000000000009E-7</c:v>
                </c:pt>
                <c:pt idx="719">
                  <c:v>9.6899999999999996E-7</c:v>
                </c:pt>
                <c:pt idx="720">
                  <c:v>9.7000000000000003E-7</c:v>
                </c:pt>
                <c:pt idx="721">
                  <c:v>9.7100000000000011E-7</c:v>
                </c:pt>
                <c:pt idx="722">
                  <c:v>9.7199999999999997E-7</c:v>
                </c:pt>
                <c:pt idx="723">
                  <c:v>9.7300000000000004E-7</c:v>
                </c:pt>
                <c:pt idx="724">
                  <c:v>9.7400000000000012E-7</c:v>
                </c:pt>
                <c:pt idx="725">
                  <c:v>9.7499999999999998E-7</c:v>
                </c:pt>
                <c:pt idx="726">
                  <c:v>9.7600000000000006E-7</c:v>
                </c:pt>
                <c:pt idx="727">
                  <c:v>9.7700000000000013E-7</c:v>
                </c:pt>
                <c:pt idx="728">
                  <c:v>9.78E-7</c:v>
                </c:pt>
                <c:pt idx="729">
                  <c:v>9.7900000000000007E-7</c:v>
                </c:pt>
                <c:pt idx="730">
                  <c:v>9.7999999999999993E-7</c:v>
                </c:pt>
                <c:pt idx="731">
                  <c:v>9.8100000000000001E-7</c:v>
                </c:pt>
                <c:pt idx="732">
                  <c:v>9.8200000000000008E-7</c:v>
                </c:pt>
                <c:pt idx="733">
                  <c:v>9.8299999999999995E-7</c:v>
                </c:pt>
                <c:pt idx="734">
                  <c:v>9.8400000000000002E-7</c:v>
                </c:pt>
                <c:pt idx="735">
                  <c:v>9.850000000000001E-7</c:v>
                </c:pt>
                <c:pt idx="736">
                  <c:v>9.8599999999999996E-7</c:v>
                </c:pt>
                <c:pt idx="737">
                  <c:v>9.8700000000000004E-7</c:v>
                </c:pt>
                <c:pt idx="738">
                  <c:v>9.8800000000000011E-7</c:v>
                </c:pt>
                <c:pt idx="739">
                  <c:v>9.8899999999999998E-7</c:v>
                </c:pt>
                <c:pt idx="740">
                  <c:v>9.9000000000000005E-7</c:v>
                </c:pt>
                <c:pt idx="741">
                  <c:v>9.9100000000000013E-7</c:v>
                </c:pt>
                <c:pt idx="742">
                  <c:v>9.9199999999999999E-7</c:v>
                </c:pt>
                <c:pt idx="743">
                  <c:v>9.9300000000000006E-7</c:v>
                </c:pt>
                <c:pt idx="744">
                  <c:v>9.9400000000000014E-7</c:v>
                </c:pt>
                <c:pt idx="745">
                  <c:v>9.95E-7</c:v>
                </c:pt>
                <c:pt idx="746">
                  <c:v>9.9600000000000008E-7</c:v>
                </c:pt>
                <c:pt idx="747">
                  <c:v>9.9699999999999994E-7</c:v>
                </c:pt>
                <c:pt idx="748">
                  <c:v>9.9800000000000002E-7</c:v>
                </c:pt>
                <c:pt idx="749">
                  <c:v>9.9900000000000009E-7</c:v>
                </c:pt>
                <c:pt idx="750">
                  <c:v>9.9999999999999995E-7</c:v>
                </c:pt>
                <c:pt idx="751">
                  <c:v>1.001E-6</c:v>
                </c:pt>
                <c:pt idx="752">
                  <c:v>1.0020000000000001E-6</c:v>
                </c:pt>
                <c:pt idx="753">
                  <c:v>1.003E-6</c:v>
                </c:pt>
                <c:pt idx="754">
                  <c:v>1.004E-6</c:v>
                </c:pt>
                <c:pt idx="755">
                  <c:v>1.0050000000000001E-6</c:v>
                </c:pt>
                <c:pt idx="756">
                  <c:v>1.006E-6</c:v>
                </c:pt>
                <c:pt idx="757">
                  <c:v>1.0070000000000001E-6</c:v>
                </c:pt>
                <c:pt idx="758">
                  <c:v>1.0080000000000001E-6</c:v>
                </c:pt>
                <c:pt idx="759">
                  <c:v>1.009E-6</c:v>
                </c:pt>
                <c:pt idx="760">
                  <c:v>1.0100000000000001E-6</c:v>
                </c:pt>
                <c:pt idx="761">
                  <c:v>1.0109999999999999E-6</c:v>
                </c:pt>
                <c:pt idx="762">
                  <c:v>1.012E-6</c:v>
                </c:pt>
                <c:pt idx="763">
                  <c:v>1.0130000000000001E-6</c:v>
                </c:pt>
                <c:pt idx="764">
                  <c:v>1.0139999999999999E-6</c:v>
                </c:pt>
                <c:pt idx="765">
                  <c:v>1.015E-6</c:v>
                </c:pt>
                <c:pt idx="766">
                  <c:v>1.0160000000000001E-6</c:v>
                </c:pt>
                <c:pt idx="767">
                  <c:v>1.017E-6</c:v>
                </c:pt>
                <c:pt idx="768">
                  <c:v>1.018E-6</c:v>
                </c:pt>
                <c:pt idx="769">
                  <c:v>1.0190000000000001E-6</c:v>
                </c:pt>
                <c:pt idx="770">
                  <c:v>1.02E-6</c:v>
                </c:pt>
                <c:pt idx="771">
                  <c:v>1.0210000000000001E-6</c:v>
                </c:pt>
                <c:pt idx="772">
                  <c:v>1.0220000000000001E-6</c:v>
                </c:pt>
                <c:pt idx="773">
                  <c:v>1.023E-6</c:v>
                </c:pt>
                <c:pt idx="774">
                  <c:v>1.0240000000000001E-6</c:v>
                </c:pt>
                <c:pt idx="775">
                  <c:v>1.0250000000000001E-6</c:v>
                </c:pt>
                <c:pt idx="776">
                  <c:v>1.026E-6</c:v>
                </c:pt>
                <c:pt idx="777">
                  <c:v>1.0270000000000001E-6</c:v>
                </c:pt>
                <c:pt idx="778">
                  <c:v>1.0279999999999999E-6</c:v>
                </c:pt>
                <c:pt idx="779">
                  <c:v>1.029E-6</c:v>
                </c:pt>
                <c:pt idx="780">
                  <c:v>1.0300000000000001E-6</c:v>
                </c:pt>
                <c:pt idx="781">
                  <c:v>1.031E-6</c:v>
                </c:pt>
                <c:pt idx="782">
                  <c:v>1.032E-6</c:v>
                </c:pt>
                <c:pt idx="783">
                  <c:v>1.0330000000000001E-6</c:v>
                </c:pt>
                <c:pt idx="784">
                  <c:v>1.034E-6</c:v>
                </c:pt>
                <c:pt idx="785">
                  <c:v>1.035E-6</c:v>
                </c:pt>
                <c:pt idx="786">
                  <c:v>1.0360000000000001E-6</c:v>
                </c:pt>
                <c:pt idx="787">
                  <c:v>1.037E-6</c:v>
                </c:pt>
                <c:pt idx="788">
                  <c:v>1.0380000000000001E-6</c:v>
                </c:pt>
                <c:pt idx="789">
                  <c:v>1.0390000000000001E-6</c:v>
                </c:pt>
                <c:pt idx="790">
                  <c:v>1.04E-6</c:v>
                </c:pt>
                <c:pt idx="791">
                  <c:v>1.0410000000000001E-6</c:v>
                </c:pt>
                <c:pt idx="792">
                  <c:v>1.0419999999999999E-6</c:v>
                </c:pt>
                <c:pt idx="793">
                  <c:v>1.043E-6</c:v>
                </c:pt>
                <c:pt idx="794">
                  <c:v>1.0440000000000001E-6</c:v>
                </c:pt>
                <c:pt idx="795">
                  <c:v>1.0449999999999999E-6</c:v>
                </c:pt>
                <c:pt idx="796">
                  <c:v>1.046E-6</c:v>
                </c:pt>
                <c:pt idx="797">
                  <c:v>1.0470000000000001E-6</c:v>
                </c:pt>
                <c:pt idx="798">
                  <c:v>1.048E-6</c:v>
                </c:pt>
                <c:pt idx="799">
                  <c:v>1.049E-6</c:v>
                </c:pt>
                <c:pt idx="800">
                  <c:v>1.0500000000000001E-6</c:v>
                </c:pt>
              </c:numCache>
            </c:numRef>
          </c:xVal>
          <c:yVal>
            <c:numRef>
              <c:f>Spectra!$K$3:$K$803</c:f>
              <c:numCache>
                <c:formatCode>0.00E+00</c:formatCode>
                <c:ptCount val="801"/>
                <c:pt idx="0">
                  <c:v>1.3779329999999998E-4</c:v>
                </c:pt>
                <c:pt idx="1">
                  <c:v>1.7077029999999996E-4</c:v>
                </c:pt>
                <c:pt idx="2">
                  <c:v>1.3367799999999998E-4</c:v>
                </c:pt>
                <c:pt idx="3">
                  <c:v>1.6826099999999998E-4</c:v>
                </c:pt>
                <c:pt idx="4">
                  <c:v>2.4654270000000001E-4</c:v>
                </c:pt>
                <c:pt idx="5">
                  <c:v>2.5575659999999993E-4</c:v>
                </c:pt>
                <c:pt idx="6">
                  <c:v>2.3674979999999994E-4</c:v>
                </c:pt>
                <c:pt idx="7">
                  <c:v>2.8531389999999997E-4</c:v>
                </c:pt>
                <c:pt idx="8">
                  <c:v>1.5493549999999999E-4</c:v>
                </c:pt>
                <c:pt idx="9">
                  <c:v>1.8439079999999996E-4</c:v>
                </c:pt>
                <c:pt idx="10">
                  <c:v>2.0760399999999996E-4</c:v>
                </c:pt>
                <c:pt idx="11">
                  <c:v>1.7077759999999998E-4</c:v>
                </c:pt>
                <c:pt idx="12">
                  <c:v>3.7365440000000004E-4</c:v>
                </c:pt>
                <c:pt idx="13">
                  <c:v>2.6890369999999994E-4</c:v>
                </c:pt>
                <c:pt idx="14">
                  <c:v>6.5149159999999991E-4</c:v>
                </c:pt>
                <c:pt idx="15">
                  <c:v>5.459506E-4</c:v>
                </c:pt>
                <c:pt idx="16">
                  <c:v>6.0086979999999981E-4</c:v>
                </c:pt>
                <c:pt idx="17">
                  <c:v>5.8925229999999996E-4</c:v>
                </c:pt>
                <c:pt idx="18">
                  <c:v>5.3673679999999995E-4</c:v>
                </c:pt>
                <c:pt idx="19">
                  <c:v>5.4908259999999988E-4</c:v>
                </c:pt>
                <c:pt idx="20">
                  <c:v>5.6248460000000002E-4</c:v>
                </c:pt>
                <c:pt idx="21">
                  <c:v>5.5909769999999985E-4</c:v>
                </c:pt>
                <c:pt idx="22">
                  <c:v>4.448163E-4</c:v>
                </c:pt>
                <c:pt idx="23">
                  <c:v>4.432866999999999E-4</c:v>
                </c:pt>
                <c:pt idx="24">
                  <c:v>5.5567439999999984E-4</c:v>
                </c:pt>
                <c:pt idx="25">
                  <c:v>5.7690639999999989E-4</c:v>
                </c:pt>
                <c:pt idx="26">
                  <c:v>7.7720849999999989E-4</c:v>
                </c:pt>
                <c:pt idx="27">
                  <c:v>8.2284099999999994E-4</c:v>
                </c:pt>
                <c:pt idx="28">
                  <c:v>8.9611509999999988E-4</c:v>
                </c:pt>
                <c:pt idx="29">
                  <c:v>1.3449739999999999E-3</c:v>
                </c:pt>
                <c:pt idx="30">
                  <c:v>3.8956929999999996E-3</c:v>
                </c:pt>
                <c:pt idx="31">
                  <c:v>1.8852069999999999E-3</c:v>
                </c:pt>
                <c:pt idx="32">
                  <c:v>6.9836229999999989E-4</c:v>
                </c:pt>
                <c:pt idx="33">
                  <c:v>8.4247049999999985E-4</c:v>
                </c:pt>
                <c:pt idx="34">
                  <c:v>8.756841999999998E-4</c:v>
                </c:pt>
                <c:pt idx="35">
                  <c:v>1.081486E-3</c:v>
                </c:pt>
                <c:pt idx="36">
                  <c:v>1.0603259999999999E-3</c:v>
                </c:pt>
                <c:pt idx="37">
                  <c:v>1.0991849999999997E-3</c:v>
                </c:pt>
                <c:pt idx="38">
                  <c:v>1.1518099999999999E-3</c:v>
                </c:pt>
                <c:pt idx="39">
                  <c:v>1.0370549999999998E-3</c:v>
                </c:pt>
                <c:pt idx="40">
                  <c:v>1.1757729999999997E-3</c:v>
                </c:pt>
                <c:pt idx="41">
                  <c:v>1.2872139999999998E-3</c:v>
                </c:pt>
                <c:pt idx="42">
                  <c:v>1.6267809999999995E-3</c:v>
                </c:pt>
                <c:pt idx="43">
                  <c:v>1.6523459999999996E-3</c:v>
                </c:pt>
                <c:pt idx="44">
                  <c:v>1.7163699999999996E-3</c:v>
                </c:pt>
                <c:pt idx="45">
                  <c:v>1.0378919999999999E-3</c:v>
                </c:pt>
                <c:pt idx="46">
                  <c:v>1.416973E-3</c:v>
                </c:pt>
                <c:pt idx="47">
                  <c:v>1.0063539999999999E-3</c:v>
                </c:pt>
                <c:pt idx="48">
                  <c:v>1.2206409999999997E-3</c:v>
                </c:pt>
                <c:pt idx="49">
                  <c:v>1.6265619999999996E-3</c:v>
                </c:pt>
                <c:pt idx="50">
                  <c:v>1.5622099999999999E-3</c:v>
                </c:pt>
                <c:pt idx="51">
                  <c:v>1.5538339999999998E-3</c:v>
                </c:pt>
                <c:pt idx="52">
                  <c:v>1.2981759999999998E-3</c:v>
                </c:pt>
                <c:pt idx="53">
                  <c:v>1.7256929999999995E-3</c:v>
                </c:pt>
                <c:pt idx="54">
                  <c:v>2.106049E-3</c:v>
                </c:pt>
                <c:pt idx="55">
                  <c:v>1.8247159999999999E-3</c:v>
                </c:pt>
                <c:pt idx="56">
                  <c:v>1.3932649999999999E-3</c:v>
                </c:pt>
                <c:pt idx="57">
                  <c:v>1.4563779999999999E-3</c:v>
                </c:pt>
                <c:pt idx="58">
                  <c:v>1.82752E-3</c:v>
                </c:pt>
                <c:pt idx="59">
                  <c:v>2.0898429999999996E-3</c:v>
                </c:pt>
                <c:pt idx="60">
                  <c:v>2.1764819999999995E-3</c:v>
                </c:pt>
                <c:pt idx="61">
                  <c:v>3.0750739999999993E-3</c:v>
                </c:pt>
                <c:pt idx="62">
                  <c:v>2.6957740000000002E-3</c:v>
                </c:pt>
                <c:pt idx="63">
                  <c:v>2.2106069999999994E-3</c:v>
                </c:pt>
                <c:pt idx="64">
                  <c:v>1.5148659999999997E-3</c:v>
                </c:pt>
                <c:pt idx="65">
                  <c:v>2.6449339999999994E-3</c:v>
                </c:pt>
                <c:pt idx="66">
                  <c:v>2.6916959999999995E-3</c:v>
                </c:pt>
                <c:pt idx="67">
                  <c:v>1.7423E-3</c:v>
                </c:pt>
                <c:pt idx="68">
                  <c:v>2.3936829999999993E-3</c:v>
                </c:pt>
                <c:pt idx="69">
                  <c:v>2.6265429999999994E-3</c:v>
                </c:pt>
                <c:pt idx="70">
                  <c:v>3.4946159999999994E-3</c:v>
                </c:pt>
                <c:pt idx="71">
                  <c:v>3.3318979999999994E-3</c:v>
                </c:pt>
                <c:pt idx="72">
                  <c:v>3.1691799999999997E-3</c:v>
                </c:pt>
                <c:pt idx="73">
                  <c:v>3.6239379999999993E-3</c:v>
                </c:pt>
                <c:pt idx="74">
                  <c:v>4.0788789999999997E-3</c:v>
                </c:pt>
                <c:pt idx="75">
                  <c:v>3.9657994999999996E-3</c:v>
                </c:pt>
                <c:pt idx="76">
                  <c:v>3.8527199999999996E-3</c:v>
                </c:pt>
                <c:pt idx="77">
                  <c:v>1.5915999999999996E-2</c:v>
                </c:pt>
                <c:pt idx="78">
                  <c:v>5.6583519999999984E-3</c:v>
                </c:pt>
                <c:pt idx="79">
                  <c:v>6.1929759999999993E-3</c:v>
                </c:pt>
                <c:pt idx="80">
                  <c:v>2.286649E-3</c:v>
                </c:pt>
                <c:pt idx="81">
                  <c:v>2.784417E-3</c:v>
                </c:pt>
                <c:pt idx="82">
                  <c:v>8.8435189999999993E-3</c:v>
                </c:pt>
                <c:pt idx="83">
                  <c:v>3.4260029999999995E-3</c:v>
                </c:pt>
                <c:pt idx="84">
                  <c:v>1.7667009999999996E-3</c:v>
                </c:pt>
                <c:pt idx="85">
                  <c:v>1.131452E-2</c:v>
                </c:pt>
                <c:pt idx="86">
                  <c:v>8.156664999999997E-3</c:v>
                </c:pt>
                <c:pt idx="87">
                  <c:v>5.0720129999999993E-3</c:v>
                </c:pt>
                <c:pt idx="88">
                  <c:v>1.6653479999999999E-3</c:v>
                </c:pt>
                <c:pt idx="89">
                  <c:v>7.386776999999998E-3</c:v>
                </c:pt>
                <c:pt idx="90">
                  <c:v>7.7404009999999983E-3</c:v>
                </c:pt>
                <c:pt idx="91">
                  <c:v>8.0852839999999981E-3</c:v>
                </c:pt>
                <c:pt idx="92">
                  <c:v>6.4566459999999999E-3</c:v>
                </c:pt>
                <c:pt idx="93">
                  <c:v>4.8647909999999994E-3</c:v>
                </c:pt>
                <c:pt idx="94">
                  <c:v>9.7434219999999981E-3</c:v>
                </c:pt>
                <c:pt idx="95">
                  <c:v>9.2160809999999975E-3</c:v>
                </c:pt>
                <c:pt idx="96">
                  <c:v>5.9784709999999991E-3</c:v>
                </c:pt>
                <c:pt idx="97">
                  <c:v>4.1207599999999994E-3</c:v>
                </c:pt>
                <c:pt idx="98">
                  <c:v>4.8309219999999996E-3</c:v>
                </c:pt>
                <c:pt idx="99">
                  <c:v>4.3203339999999995E-3</c:v>
                </c:pt>
                <c:pt idx="100">
                  <c:v>7.3711159999999996E-3</c:v>
                </c:pt>
                <c:pt idx="101">
                  <c:v>8.5008209999999987E-3</c:v>
                </c:pt>
                <c:pt idx="102">
                  <c:v>5.3633609999999996E-3</c:v>
                </c:pt>
                <c:pt idx="103">
                  <c:v>3.2220959999999994E-3</c:v>
                </c:pt>
                <c:pt idx="104">
                  <c:v>4.3075869999999999E-3</c:v>
                </c:pt>
                <c:pt idx="105">
                  <c:v>1.0778799999999998E-3</c:v>
                </c:pt>
                <c:pt idx="106">
                  <c:v>9.7241189999999981E-3</c:v>
                </c:pt>
                <c:pt idx="107">
                  <c:v>4.3512889999999986E-3</c:v>
                </c:pt>
                <c:pt idx="108">
                  <c:v>1.0958339999999997E-3</c:v>
                </c:pt>
                <c:pt idx="109">
                  <c:v>6.6256290000000001E-3</c:v>
                </c:pt>
                <c:pt idx="110">
                  <c:v>1.1126959999999998E-3</c:v>
                </c:pt>
                <c:pt idx="111">
                  <c:v>9.4280359999999973E-3</c:v>
                </c:pt>
                <c:pt idx="112">
                  <c:v>7.5703259999999988E-3</c:v>
                </c:pt>
                <c:pt idx="113">
                  <c:v>3.4268769999999996E-3</c:v>
                </c:pt>
                <c:pt idx="114">
                  <c:v>8.268105999999999E-3</c:v>
                </c:pt>
                <c:pt idx="115">
                  <c:v>7.3423459999999987E-3</c:v>
                </c:pt>
                <c:pt idx="116">
                  <c:v>1.2140489999999999E-2</c:v>
                </c:pt>
                <c:pt idx="117">
                  <c:v>4.3775109999999997E-3</c:v>
                </c:pt>
                <c:pt idx="118">
                  <c:v>8.6719879999999985E-3</c:v>
                </c:pt>
                <c:pt idx="119">
                  <c:v>2.118249E-3</c:v>
                </c:pt>
                <c:pt idx="120">
                  <c:v>2.0713049999999994E-3</c:v>
                </c:pt>
                <c:pt idx="121">
                  <c:v>3.0433169999999994E-3</c:v>
                </c:pt>
                <c:pt idx="122">
                  <c:v>7.9392459999999988E-3</c:v>
                </c:pt>
                <c:pt idx="123">
                  <c:v>5.940959E-3</c:v>
                </c:pt>
                <c:pt idx="124">
                  <c:v>3.9470439999999994E-3</c:v>
                </c:pt>
                <c:pt idx="125">
                  <c:v>2.9489929999999996E-3</c:v>
                </c:pt>
                <c:pt idx="126">
                  <c:v>6.8510599999999991E-3</c:v>
                </c:pt>
                <c:pt idx="127">
                  <c:v>6.8871139999999997E-3</c:v>
                </c:pt>
                <c:pt idx="128">
                  <c:v>5.714799999999999E-3</c:v>
                </c:pt>
                <c:pt idx="129">
                  <c:v>6.5287550000000007E-3</c:v>
                </c:pt>
                <c:pt idx="130">
                  <c:v>7.2549409999999991E-3</c:v>
                </c:pt>
                <c:pt idx="131">
                  <c:v>5.2624819999999989E-3</c:v>
                </c:pt>
                <c:pt idx="132">
                  <c:v>6.6332769999999999E-3</c:v>
                </c:pt>
                <c:pt idx="133">
                  <c:v>6.829571999999999E-3</c:v>
                </c:pt>
                <c:pt idx="134">
                  <c:v>7.0214979999999993E-3</c:v>
                </c:pt>
                <c:pt idx="135">
                  <c:v>4.1265870000000001E-3</c:v>
                </c:pt>
                <c:pt idx="136">
                  <c:v>8.7590269999999991E-3</c:v>
                </c:pt>
                <c:pt idx="137">
                  <c:v>1.3214839999999999E-2</c:v>
                </c:pt>
                <c:pt idx="138">
                  <c:v>1.2945709999999998E-3</c:v>
                </c:pt>
                <c:pt idx="139">
                  <c:v>1.2734109999999999E-3</c:v>
                </c:pt>
                <c:pt idx="140">
                  <c:v>8.1493809999999989E-3</c:v>
                </c:pt>
                <c:pt idx="141">
                  <c:v>6.1656619999999988E-3</c:v>
                </c:pt>
                <c:pt idx="142">
                  <c:v>1.1523199999999999E-2</c:v>
                </c:pt>
                <c:pt idx="143">
                  <c:v>7.3703879999999994E-3</c:v>
                </c:pt>
                <c:pt idx="144">
                  <c:v>1.0971449999999997E-2</c:v>
                </c:pt>
                <c:pt idx="145">
                  <c:v>8.961878999999999E-3</c:v>
                </c:pt>
                <c:pt idx="146">
                  <c:v>8.3332949999999992E-3</c:v>
                </c:pt>
                <c:pt idx="147">
                  <c:v>1.5375189999999997E-2</c:v>
                </c:pt>
                <c:pt idx="148">
                  <c:v>8.5386949999999989E-3</c:v>
                </c:pt>
                <c:pt idx="149">
                  <c:v>1.8737349999999996E-2</c:v>
                </c:pt>
                <c:pt idx="150">
                  <c:v>1.162262E-2</c:v>
                </c:pt>
                <c:pt idx="151">
                  <c:v>1.9241379999999999E-2</c:v>
                </c:pt>
                <c:pt idx="152">
                  <c:v>1.0526419999999998E-2</c:v>
                </c:pt>
                <c:pt idx="153">
                  <c:v>9.6170489999999973E-3</c:v>
                </c:pt>
                <c:pt idx="154">
                  <c:v>1.2057819999999997E-2</c:v>
                </c:pt>
                <c:pt idx="155">
                  <c:v>9.1993279999999979E-3</c:v>
                </c:pt>
                <c:pt idx="156">
                  <c:v>1.1537759999999998E-2</c:v>
                </c:pt>
                <c:pt idx="157">
                  <c:v>1.330989E-2</c:v>
                </c:pt>
                <c:pt idx="158">
                  <c:v>1.2444589999999997E-2</c:v>
                </c:pt>
                <c:pt idx="159">
                  <c:v>1.0986389999999999E-2</c:v>
                </c:pt>
                <c:pt idx="160">
                  <c:v>1.114189E-2</c:v>
                </c:pt>
                <c:pt idx="161">
                  <c:v>9.3551999999999993E-3</c:v>
                </c:pt>
                <c:pt idx="162">
                  <c:v>7.5211609999999993E-3</c:v>
                </c:pt>
                <c:pt idx="163">
                  <c:v>8.6497719999999983E-3</c:v>
                </c:pt>
                <c:pt idx="164">
                  <c:v>1.3321179999999998E-2</c:v>
                </c:pt>
                <c:pt idx="165">
                  <c:v>1.2371749999999999E-2</c:v>
                </c:pt>
                <c:pt idx="166">
                  <c:v>1.5031399999999997E-2</c:v>
                </c:pt>
                <c:pt idx="167">
                  <c:v>1.2619399999999999E-2</c:v>
                </c:pt>
                <c:pt idx="168">
                  <c:v>9.2350189999999988E-3</c:v>
                </c:pt>
                <c:pt idx="169">
                  <c:v>7.8740570000000003E-3</c:v>
                </c:pt>
                <c:pt idx="170">
                  <c:v>7.6082009999999985E-3</c:v>
                </c:pt>
                <c:pt idx="171">
                  <c:v>1.1758829999999998E-2</c:v>
                </c:pt>
                <c:pt idx="172">
                  <c:v>6.5294839999999995E-3</c:v>
                </c:pt>
                <c:pt idx="173">
                  <c:v>4.7588129999999989E-3</c:v>
                </c:pt>
                <c:pt idx="174">
                  <c:v>1.0177169999999999E-2</c:v>
                </c:pt>
                <c:pt idx="175">
                  <c:v>8.3110799999999985E-3</c:v>
                </c:pt>
                <c:pt idx="176">
                  <c:v>6.222839E-3</c:v>
                </c:pt>
                <c:pt idx="177">
                  <c:v>8.9312869999999996E-3</c:v>
                </c:pt>
                <c:pt idx="178">
                  <c:v>1.0967089999999999E-2</c:v>
                </c:pt>
                <c:pt idx="179">
                  <c:v>1.0240899999999999E-2</c:v>
                </c:pt>
                <c:pt idx="180">
                  <c:v>1.040806E-2</c:v>
                </c:pt>
                <c:pt idx="181">
                  <c:v>1.1764289999999998E-2</c:v>
                </c:pt>
                <c:pt idx="182">
                  <c:v>9.0736849999999997E-3</c:v>
                </c:pt>
                <c:pt idx="183">
                  <c:v>1.1211819999999999E-2</c:v>
                </c:pt>
                <c:pt idx="184">
                  <c:v>1.1972239999999999E-2</c:v>
                </c:pt>
                <c:pt idx="185">
                  <c:v>1.2455879999999997E-2</c:v>
                </c:pt>
                <c:pt idx="186">
                  <c:v>1.264999E-2</c:v>
                </c:pt>
                <c:pt idx="187">
                  <c:v>1.3546979999999998E-2</c:v>
                </c:pt>
                <c:pt idx="188">
                  <c:v>1.5798009999999998E-2</c:v>
                </c:pt>
                <c:pt idx="189">
                  <c:v>1.4313950000000001E-2</c:v>
                </c:pt>
                <c:pt idx="190">
                  <c:v>1.0673189999999999E-2</c:v>
                </c:pt>
                <c:pt idx="191">
                  <c:v>1.4654459999999998E-2</c:v>
                </c:pt>
                <c:pt idx="192">
                  <c:v>1.7514409999999998E-2</c:v>
                </c:pt>
                <c:pt idx="193">
                  <c:v>1.7908099999999996E-2</c:v>
                </c:pt>
                <c:pt idx="194">
                  <c:v>1.8051949999999997E-2</c:v>
                </c:pt>
                <c:pt idx="195">
                  <c:v>1.6825009999999998E-2</c:v>
                </c:pt>
                <c:pt idx="196">
                  <c:v>2.3141809999999995E-2</c:v>
                </c:pt>
                <c:pt idx="197">
                  <c:v>2.2481539999999994E-2</c:v>
                </c:pt>
                <c:pt idx="198">
                  <c:v>2.147785E-2</c:v>
                </c:pt>
                <c:pt idx="199">
                  <c:v>2.2923659999999995E-2</c:v>
                </c:pt>
                <c:pt idx="200">
                  <c:v>2.3943019999999999E-2</c:v>
                </c:pt>
                <c:pt idx="201">
                  <c:v>2.4261679999999994E-2</c:v>
                </c:pt>
                <c:pt idx="202">
                  <c:v>2.6182759999999996E-2</c:v>
                </c:pt>
                <c:pt idx="203">
                  <c:v>2.6944999999999997E-2</c:v>
                </c:pt>
                <c:pt idx="204">
                  <c:v>2.5929289999999997E-2</c:v>
                </c:pt>
                <c:pt idx="205">
                  <c:v>2.7765509999999993E-2</c:v>
                </c:pt>
                <c:pt idx="206">
                  <c:v>3.474548999999999E-2</c:v>
                </c:pt>
                <c:pt idx="207">
                  <c:v>3.2199829999999992E-2</c:v>
                </c:pt>
                <c:pt idx="208">
                  <c:v>2.9292539999999995E-2</c:v>
                </c:pt>
                <c:pt idx="209">
                  <c:v>2.6182759999999996E-2</c:v>
                </c:pt>
                <c:pt idx="210">
                  <c:v>2.8560889999999995E-2</c:v>
                </c:pt>
                <c:pt idx="211">
                  <c:v>3.0834139999999996E-2</c:v>
                </c:pt>
                <c:pt idx="212">
                  <c:v>2.9399249999999995E-2</c:v>
                </c:pt>
                <c:pt idx="213">
                  <c:v>2.8706569999999997E-2</c:v>
                </c:pt>
                <c:pt idx="214">
                  <c:v>3.0322819999999993E-2</c:v>
                </c:pt>
                <c:pt idx="215">
                  <c:v>2.9325319999999992E-2</c:v>
                </c:pt>
                <c:pt idx="216">
                  <c:v>2.9229899999999993E-2</c:v>
                </c:pt>
                <c:pt idx="217">
                  <c:v>2.8072149999999997E-2</c:v>
                </c:pt>
                <c:pt idx="218">
                  <c:v>2.7775339999999999E-2</c:v>
                </c:pt>
                <c:pt idx="219">
                  <c:v>3.2791999999999995E-2</c:v>
                </c:pt>
                <c:pt idx="220">
                  <c:v>2.9481920000000002E-2</c:v>
                </c:pt>
                <c:pt idx="221">
                  <c:v>2.9437120000000001E-2</c:v>
                </c:pt>
                <c:pt idx="222">
                  <c:v>2.9580979999999996E-2</c:v>
                </c:pt>
                <c:pt idx="223">
                  <c:v>3.1571609999999993E-2</c:v>
                </c:pt>
                <c:pt idx="224">
                  <c:v>2.9498669999999998E-2</c:v>
                </c:pt>
                <c:pt idx="225">
                  <c:v>2.9942249999999997E-2</c:v>
                </c:pt>
                <c:pt idx="226">
                  <c:v>2.5167769999999999E-2</c:v>
                </c:pt>
                <c:pt idx="227">
                  <c:v>2.0996030000000002E-2</c:v>
                </c:pt>
                <c:pt idx="228">
                  <c:v>2.3888759999999998E-2</c:v>
                </c:pt>
                <c:pt idx="229">
                  <c:v>2.5554899999999995E-2</c:v>
                </c:pt>
                <c:pt idx="230">
                  <c:v>2.6044369999999994E-2</c:v>
                </c:pt>
                <c:pt idx="231">
                  <c:v>2.2004089999999997E-2</c:v>
                </c:pt>
                <c:pt idx="232">
                  <c:v>2.3879649999999999E-2</c:v>
                </c:pt>
                <c:pt idx="233">
                  <c:v>2.4565049999999995E-2</c:v>
                </c:pt>
                <c:pt idx="234">
                  <c:v>2.4877149999999997E-2</c:v>
                </c:pt>
                <c:pt idx="235">
                  <c:v>2.7258559999999994E-2</c:v>
                </c:pt>
                <c:pt idx="236">
                  <c:v>2.7627479999999996E-2</c:v>
                </c:pt>
                <c:pt idx="237">
                  <c:v>2.8911969999999999E-2</c:v>
                </c:pt>
                <c:pt idx="238">
                  <c:v>2.9326049999999992E-2</c:v>
                </c:pt>
                <c:pt idx="239">
                  <c:v>3.0937929999999995E-2</c:v>
                </c:pt>
                <c:pt idx="240">
                  <c:v>3.2981379999999998E-2</c:v>
                </c:pt>
                <c:pt idx="241">
                  <c:v>3.4462879999999994E-2</c:v>
                </c:pt>
                <c:pt idx="242">
                  <c:v>3.5633009999999993E-2</c:v>
                </c:pt>
                <c:pt idx="243">
                  <c:v>3.8585460000000002E-2</c:v>
                </c:pt>
                <c:pt idx="244">
                  <c:v>4.0617619999999993E-2</c:v>
                </c:pt>
                <c:pt idx="245">
                  <c:v>2.9152330000000001E-2</c:v>
                </c:pt>
                <c:pt idx="246">
                  <c:v>2.4304289999999996E-2</c:v>
                </c:pt>
                <c:pt idx="247">
                  <c:v>2.7858379999999999E-2</c:v>
                </c:pt>
                <c:pt idx="248">
                  <c:v>2.9135209999999998E-2</c:v>
                </c:pt>
                <c:pt idx="249">
                  <c:v>2.9963730000000001E-2</c:v>
                </c:pt>
                <c:pt idx="250">
                  <c:v>2.4321039999999995E-2</c:v>
                </c:pt>
                <c:pt idx="251">
                  <c:v>2.4674669999999996E-2</c:v>
                </c:pt>
                <c:pt idx="252">
                  <c:v>2.8886469999999997E-2</c:v>
                </c:pt>
                <c:pt idx="253">
                  <c:v>2.8989169999999998E-2</c:v>
                </c:pt>
                <c:pt idx="254">
                  <c:v>2.6250859999999997E-2</c:v>
                </c:pt>
                <c:pt idx="255">
                  <c:v>2.9014669999999996E-2</c:v>
                </c:pt>
                <c:pt idx="256">
                  <c:v>3.0448099999999999E-2</c:v>
                </c:pt>
                <c:pt idx="257">
                  <c:v>3.1631339999999994E-2</c:v>
                </c:pt>
                <c:pt idx="258">
                  <c:v>3.2188179999999997E-2</c:v>
                </c:pt>
                <c:pt idx="259">
                  <c:v>3.1204519999999996E-2</c:v>
                </c:pt>
                <c:pt idx="260">
                  <c:v>3.1629519999999994E-2</c:v>
                </c:pt>
                <c:pt idx="261">
                  <c:v>3.1336719999999992E-2</c:v>
                </c:pt>
                <c:pt idx="262">
                  <c:v>3.0363249999999998E-2</c:v>
                </c:pt>
                <c:pt idx="263">
                  <c:v>3.3922069999999992E-2</c:v>
                </c:pt>
                <c:pt idx="264">
                  <c:v>3.2975549999999992E-2</c:v>
                </c:pt>
                <c:pt idx="265">
                  <c:v>3.3888199999999993E-2</c:v>
                </c:pt>
                <c:pt idx="266">
                  <c:v>2.8803799999999994E-2</c:v>
                </c:pt>
                <c:pt idx="267">
                  <c:v>1.987324E-2</c:v>
                </c:pt>
                <c:pt idx="268">
                  <c:v>2.3303139999999996E-2</c:v>
                </c:pt>
                <c:pt idx="269">
                  <c:v>2.8776849999999996E-2</c:v>
                </c:pt>
                <c:pt idx="270">
                  <c:v>2.7461049999999994E-2</c:v>
                </c:pt>
                <c:pt idx="271">
                  <c:v>3.1555229999999997E-2</c:v>
                </c:pt>
                <c:pt idx="272">
                  <c:v>3.7441920000000004E-2</c:v>
                </c:pt>
                <c:pt idx="273">
                  <c:v>3.5347489999999995E-2</c:v>
                </c:pt>
                <c:pt idx="274">
                  <c:v>3.5784879999999991E-2</c:v>
                </c:pt>
                <c:pt idx="275">
                  <c:v>3.582494E-2</c:v>
                </c:pt>
                <c:pt idx="276">
                  <c:v>3.483472E-2</c:v>
                </c:pt>
                <c:pt idx="277">
                  <c:v>3.5487339999999992E-2</c:v>
                </c:pt>
                <c:pt idx="278">
                  <c:v>4.0737799999999998E-2</c:v>
                </c:pt>
                <c:pt idx="279">
                  <c:v>4.1091059999999992E-2</c:v>
                </c:pt>
                <c:pt idx="280">
                  <c:v>3.9878319999999995E-2</c:v>
                </c:pt>
                <c:pt idx="281">
                  <c:v>4.043916999999999E-2</c:v>
                </c:pt>
                <c:pt idx="282">
                  <c:v>3.9135379999999997E-2</c:v>
                </c:pt>
                <c:pt idx="283">
                  <c:v>3.9827340000000003E-2</c:v>
                </c:pt>
                <c:pt idx="284">
                  <c:v>4.1826719999999991E-2</c:v>
                </c:pt>
                <c:pt idx="285">
                  <c:v>4.3727759999999997E-2</c:v>
                </c:pt>
                <c:pt idx="286">
                  <c:v>4.4204849999999997E-2</c:v>
                </c:pt>
                <c:pt idx="287">
                  <c:v>4.5636099999999999E-2</c:v>
                </c:pt>
                <c:pt idx="288">
                  <c:v>4.899387999999999E-2</c:v>
                </c:pt>
                <c:pt idx="289">
                  <c:v>4.879722999999999E-2</c:v>
                </c:pt>
                <c:pt idx="290">
                  <c:v>4.794868E-2</c:v>
                </c:pt>
                <c:pt idx="291">
                  <c:v>4.7635469999999992E-2</c:v>
                </c:pt>
                <c:pt idx="292">
                  <c:v>5.0672779999999987E-2</c:v>
                </c:pt>
                <c:pt idx="293">
                  <c:v>4.9059439999999996E-2</c:v>
                </c:pt>
                <c:pt idx="294">
                  <c:v>4.8859139999999995E-2</c:v>
                </c:pt>
                <c:pt idx="295">
                  <c:v>3.9302909999999996E-2</c:v>
                </c:pt>
                <c:pt idx="296">
                  <c:v>3.5805999999999991E-2</c:v>
                </c:pt>
                <c:pt idx="297">
                  <c:v>3.8122950000000003E-2</c:v>
                </c:pt>
                <c:pt idx="298">
                  <c:v>3.8800339999999996E-2</c:v>
                </c:pt>
                <c:pt idx="299">
                  <c:v>3.8479849999999996E-2</c:v>
                </c:pt>
                <c:pt idx="300">
                  <c:v>3.4102340000000002E-2</c:v>
                </c:pt>
                <c:pt idx="301">
                  <c:v>3.1331980000000002E-2</c:v>
                </c:pt>
                <c:pt idx="302">
                  <c:v>3.0486699999999992E-2</c:v>
                </c:pt>
                <c:pt idx="303">
                  <c:v>2.8815089999999995E-2</c:v>
                </c:pt>
                <c:pt idx="304">
                  <c:v>2.7875859999999995E-2</c:v>
                </c:pt>
                <c:pt idx="305">
                  <c:v>2.7925019999999995E-2</c:v>
                </c:pt>
                <c:pt idx="306">
                  <c:v>3.1994429999999997E-2</c:v>
                </c:pt>
                <c:pt idx="307">
                  <c:v>3.7183349999999997E-2</c:v>
                </c:pt>
                <c:pt idx="308">
                  <c:v>3.7995489999999993E-2</c:v>
                </c:pt>
                <c:pt idx="309">
                  <c:v>3.6156349999999997E-2</c:v>
                </c:pt>
                <c:pt idx="310">
                  <c:v>3.495417E-2</c:v>
                </c:pt>
                <c:pt idx="311">
                  <c:v>3.4331049999999995E-2</c:v>
                </c:pt>
                <c:pt idx="312">
                  <c:v>3.4899539999999993E-2</c:v>
                </c:pt>
                <c:pt idx="313">
                  <c:v>3.4265489999999996E-2</c:v>
                </c:pt>
                <c:pt idx="314">
                  <c:v>3.4225799999999994E-2</c:v>
                </c:pt>
                <c:pt idx="315">
                  <c:v>3.7547529999999996E-2</c:v>
                </c:pt>
                <c:pt idx="316">
                  <c:v>3.7689569999999999E-2</c:v>
                </c:pt>
                <c:pt idx="317">
                  <c:v>3.8199429999999986E-2</c:v>
                </c:pt>
                <c:pt idx="318">
                  <c:v>3.8468929999999998E-2</c:v>
                </c:pt>
                <c:pt idx="319">
                  <c:v>4.0158749999999993E-2</c:v>
                </c:pt>
                <c:pt idx="320">
                  <c:v>4.0074979999999996E-2</c:v>
                </c:pt>
                <c:pt idx="321">
                  <c:v>4.3003039999999992E-2</c:v>
                </c:pt>
                <c:pt idx="322">
                  <c:v>4.1695609999999994E-2</c:v>
                </c:pt>
                <c:pt idx="323">
                  <c:v>4.3341729999999995E-2</c:v>
                </c:pt>
                <c:pt idx="324">
                  <c:v>4.8527729999999991E-2</c:v>
                </c:pt>
                <c:pt idx="325">
                  <c:v>4.7826669999999988E-2</c:v>
                </c:pt>
                <c:pt idx="326">
                  <c:v>4.7125609999999984E-2</c:v>
                </c:pt>
                <c:pt idx="327">
                  <c:v>4.4680104999999991E-2</c:v>
                </c:pt>
                <c:pt idx="328">
                  <c:v>4.2234599999999997E-2</c:v>
                </c:pt>
                <c:pt idx="329">
                  <c:v>4.1145689999999999E-2</c:v>
                </c:pt>
                <c:pt idx="330">
                  <c:v>4.005678E-2</c:v>
                </c:pt>
                <c:pt idx="331">
                  <c:v>3.7400955E-2</c:v>
                </c:pt>
                <c:pt idx="332">
                  <c:v>3.4745129999999992E-2</c:v>
                </c:pt>
                <c:pt idx="333">
                  <c:v>3.5689279999999997E-2</c:v>
                </c:pt>
                <c:pt idx="334">
                  <c:v>3.6633430000000002E-2</c:v>
                </c:pt>
                <c:pt idx="335">
                  <c:v>3.4377480000000002E-2</c:v>
                </c:pt>
                <c:pt idx="336">
                  <c:v>3.2121529999999995E-2</c:v>
                </c:pt>
                <c:pt idx="337">
                  <c:v>2.7367269999999992E-2</c:v>
                </c:pt>
                <c:pt idx="338">
                  <c:v>2.2613009999999992E-2</c:v>
                </c:pt>
                <c:pt idx="339">
                  <c:v>2.1398814999999995E-2</c:v>
                </c:pt>
                <c:pt idx="340">
                  <c:v>2.0184619999999997E-2</c:v>
                </c:pt>
                <c:pt idx="341">
                  <c:v>2.4191574999999996E-2</c:v>
                </c:pt>
                <c:pt idx="342">
                  <c:v>2.8198529999999996E-2</c:v>
                </c:pt>
                <c:pt idx="343">
                  <c:v>2.8250239999999996E-2</c:v>
                </c:pt>
                <c:pt idx="344">
                  <c:v>2.8301949999999996E-2</c:v>
                </c:pt>
                <c:pt idx="345">
                  <c:v>2.8388809999999997E-2</c:v>
                </c:pt>
                <c:pt idx="346">
                  <c:v>2.8475669999999998E-2</c:v>
                </c:pt>
                <c:pt idx="347">
                  <c:v>3.1431034999999996E-2</c:v>
                </c:pt>
                <c:pt idx="348">
                  <c:v>3.4386399999999998E-2</c:v>
                </c:pt>
                <c:pt idx="349">
                  <c:v>3.4869859999999996E-2</c:v>
                </c:pt>
                <c:pt idx="350">
                  <c:v>3.5353319999999994E-2</c:v>
                </c:pt>
                <c:pt idx="351">
                  <c:v>3.6193674999999995E-2</c:v>
                </c:pt>
                <c:pt idx="352">
                  <c:v>3.7034029999999996E-2</c:v>
                </c:pt>
                <c:pt idx="353">
                  <c:v>3.749472999999999E-2</c:v>
                </c:pt>
                <c:pt idx="354">
                  <c:v>3.7955429999999991E-2</c:v>
                </c:pt>
                <c:pt idx="355">
                  <c:v>3.8740244999999993E-2</c:v>
                </c:pt>
                <c:pt idx="356">
                  <c:v>3.9525059999999994E-2</c:v>
                </c:pt>
                <c:pt idx="357">
                  <c:v>3.8782124999999994E-2</c:v>
                </c:pt>
                <c:pt idx="358">
                  <c:v>3.8039189999999994E-2</c:v>
                </c:pt>
                <c:pt idx="359">
                  <c:v>3.9676204999999992E-2</c:v>
                </c:pt>
                <c:pt idx="360">
                  <c:v>4.1313219999999991E-2</c:v>
                </c:pt>
                <c:pt idx="361">
                  <c:v>4.0226124999999988E-2</c:v>
                </c:pt>
                <c:pt idx="362">
                  <c:v>3.9139029999999991E-2</c:v>
                </c:pt>
                <c:pt idx="363">
                  <c:v>3.8516269999999991E-2</c:v>
                </c:pt>
                <c:pt idx="364">
                  <c:v>3.7893509999999998E-2</c:v>
                </c:pt>
                <c:pt idx="365">
                  <c:v>3.339491E-2</c:v>
                </c:pt>
                <c:pt idx="366">
                  <c:v>2.8896309999999998E-2</c:v>
                </c:pt>
                <c:pt idx="367">
                  <c:v>2.6895654999999997E-2</c:v>
                </c:pt>
                <c:pt idx="368">
                  <c:v>2.4894999999999997E-2</c:v>
                </c:pt>
                <c:pt idx="369">
                  <c:v>2.4534819999999999E-2</c:v>
                </c:pt>
                <c:pt idx="370">
                  <c:v>2.4174639999999997E-2</c:v>
                </c:pt>
                <c:pt idx="371">
                  <c:v>2.3973429999999997E-2</c:v>
                </c:pt>
                <c:pt idx="372">
                  <c:v>2.3772219999999997E-2</c:v>
                </c:pt>
                <c:pt idx="373">
                  <c:v>2.4401349999999995E-2</c:v>
                </c:pt>
                <c:pt idx="374">
                  <c:v>2.5030479999999997E-2</c:v>
                </c:pt>
                <c:pt idx="375">
                  <c:v>2.6288374999999996E-2</c:v>
                </c:pt>
                <c:pt idx="376">
                  <c:v>2.7546269999999998E-2</c:v>
                </c:pt>
                <c:pt idx="377">
                  <c:v>2.9509774999999999E-2</c:v>
                </c:pt>
                <c:pt idx="378">
                  <c:v>3.1473279999999999E-2</c:v>
                </c:pt>
                <c:pt idx="379">
                  <c:v>3.3450444999999995E-2</c:v>
                </c:pt>
                <c:pt idx="380">
                  <c:v>3.5427609999999998E-2</c:v>
                </c:pt>
                <c:pt idx="381">
                  <c:v>3.9983754999999996E-2</c:v>
                </c:pt>
                <c:pt idx="382">
                  <c:v>4.4539899999999993E-2</c:v>
                </c:pt>
                <c:pt idx="383">
                  <c:v>4.5876459999999994E-2</c:v>
                </c:pt>
                <c:pt idx="384">
                  <c:v>4.7213019999999994E-2</c:v>
                </c:pt>
                <c:pt idx="385">
                  <c:v>4.6491929999999994E-2</c:v>
                </c:pt>
                <c:pt idx="386">
                  <c:v>4.5770839999999993E-2</c:v>
                </c:pt>
                <c:pt idx="387">
                  <c:v>4.5337459999999996E-2</c:v>
                </c:pt>
                <c:pt idx="388">
                  <c:v>4.4904079999999992E-2</c:v>
                </c:pt>
                <c:pt idx="389">
                  <c:v>4.8070674999999993E-2</c:v>
                </c:pt>
                <c:pt idx="390">
                  <c:v>5.1237269999999994E-2</c:v>
                </c:pt>
                <c:pt idx="391">
                  <c:v>5.2876104999999993E-2</c:v>
                </c:pt>
                <c:pt idx="392">
                  <c:v>5.4514939999999998E-2</c:v>
                </c:pt>
                <c:pt idx="393">
                  <c:v>5.5858784999999994E-2</c:v>
                </c:pt>
                <c:pt idx="394">
                  <c:v>5.7202629999999997E-2</c:v>
                </c:pt>
                <c:pt idx="395">
                  <c:v>5.9608074999999996E-2</c:v>
                </c:pt>
                <c:pt idx="396">
                  <c:v>6.2013520000000003E-2</c:v>
                </c:pt>
                <c:pt idx="397">
                  <c:v>6.2295764999999996E-2</c:v>
                </c:pt>
                <c:pt idx="398">
                  <c:v>6.2578009999999989E-2</c:v>
                </c:pt>
                <c:pt idx="399">
                  <c:v>6.3519429999999988E-2</c:v>
                </c:pt>
                <c:pt idx="400">
                  <c:v>6.446085E-2</c:v>
                </c:pt>
                <c:pt idx="401">
                  <c:v>6.8064464999999991E-2</c:v>
                </c:pt>
                <c:pt idx="402">
                  <c:v>7.1668079999999981E-2</c:v>
                </c:pt>
                <c:pt idx="403">
                  <c:v>7.312664499999999E-2</c:v>
                </c:pt>
                <c:pt idx="404">
                  <c:v>7.4585209999999999E-2</c:v>
                </c:pt>
                <c:pt idx="405">
                  <c:v>7.1819219999999989E-2</c:v>
                </c:pt>
                <c:pt idx="406">
                  <c:v>6.9053229999999993E-2</c:v>
                </c:pt>
                <c:pt idx="407">
                  <c:v>6.7306959999999999E-2</c:v>
                </c:pt>
                <c:pt idx="408">
                  <c:v>6.5560689999999991E-2</c:v>
                </c:pt>
                <c:pt idx="409">
                  <c:v>6.3147959999999989E-2</c:v>
                </c:pt>
                <c:pt idx="410">
                  <c:v>6.0735229999999994E-2</c:v>
                </c:pt>
                <c:pt idx="411">
                  <c:v>5.7406574999999994E-2</c:v>
                </c:pt>
                <c:pt idx="412">
                  <c:v>5.4077919999999995E-2</c:v>
                </c:pt>
                <c:pt idx="413">
                  <c:v>5.2158659999999996E-2</c:v>
                </c:pt>
                <c:pt idx="414">
                  <c:v>5.023939999999999E-2</c:v>
                </c:pt>
                <c:pt idx="415">
                  <c:v>4.8762629999999994E-2</c:v>
                </c:pt>
                <c:pt idx="416">
                  <c:v>4.7285859999999999E-2</c:v>
                </c:pt>
                <c:pt idx="417">
                  <c:v>4.5648844999999993E-2</c:v>
                </c:pt>
                <c:pt idx="418">
                  <c:v>4.4011829999999995E-2</c:v>
                </c:pt>
                <c:pt idx="419">
                  <c:v>4.2600609999999997E-2</c:v>
                </c:pt>
                <c:pt idx="420">
                  <c:v>4.1189389999999992E-2</c:v>
                </c:pt>
                <c:pt idx="421">
                  <c:v>3.9945694999999989E-2</c:v>
                </c:pt>
                <c:pt idx="422">
                  <c:v>3.8701999999999993E-2</c:v>
                </c:pt>
                <c:pt idx="423">
                  <c:v>3.8651014999999997E-2</c:v>
                </c:pt>
                <c:pt idx="424">
                  <c:v>3.8600029999999994E-2</c:v>
                </c:pt>
                <c:pt idx="425">
                  <c:v>3.9082574999999994E-2</c:v>
                </c:pt>
                <c:pt idx="426">
                  <c:v>3.9565119999999995E-2</c:v>
                </c:pt>
                <c:pt idx="427">
                  <c:v>3.8516269999999991E-2</c:v>
                </c:pt>
                <c:pt idx="428">
                  <c:v>3.7467419999999994E-2</c:v>
                </c:pt>
                <c:pt idx="429">
                  <c:v>3.7875304999999998E-2</c:v>
                </c:pt>
                <c:pt idx="430">
                  <c:v>3.8283190000000002E-2</c:v>
                </c:pt>
                <c:pt idx="431">
                  <c:v>3.891141E-2</c:v>
                </c:pt>
                <c:pt idx="432">
                  <c:v>3.9539629999999999E-2</c:v>
                </c:pt>
                <c:pt idx="433">
                  <c:v>3.8601849999999993E-2</c:v>
                </c:pt>
                <c:pt idx="434">
                  <c:v>3.7664069999999994E-2</c:v>
                </c:pt>
                <c:pt idx="435">
                  <c:v>3.8734779999999996E-2</c:v>
                </c:pt>
                <c:pt idx="436">
                  <c:v>3.9805489999999999E-2</c:v>
                </c:pt>
                <c:pt idx="437">
                  <c:v>3.9155414999999999E-2</c:v>
                </c:pt>
                <c:pt idx="438">
                  <c:v>3.8505340000000006E-2</c:v>
                </c:pt>
                <c:pt idx="439">
                  <c:v>4.0925354999999997E-2</c:v>
                </c:pt>
                <c:pt idx="440">
                  <c:v>4.3345369999999994E-2</c:v>
                </c:pt>
                <c:pt idx="441">
                  <c:v>4.6442769999999994E-2</c:v>
                </c:pt>
                <c:pt idx="442">
                  <c:v>4.9540169999999988E-2</c:v>
                </c:pt>
                <c:pt idx="443">
                  <c:v>5.2881569999999996E-2</c:v>
                </c:pt>
                <c:pt idx="444">
                  <c:v>5.6222970000000004E-2</c:v>
                </c:pt>
                <c:pt idx="445">
                  <c:v>5.6931309999999999E-2</c:v>
                </c:pt>
                <c:pt idx="446">
                  <c:v>5.7639650000000001E-2</c:v>
                </c:pt>
                <c:pt idx="447">
                  <c:v>6.0802604999999996E-2</c:v>
                </c:pt>
                <c:pt idx="448">
                  <c:v>6.3965559999999991E-2</c:v>
                </c:pt>
                <c:pt idx="449">
                  <c:v>6.5595290000000001E-2</c:v>
                </c:pt>
                <c:pt idx="450">
                  <c:v>6.7225019999999996E-2</c:v>
                </c:pt>
                <c:pt idx="451">
                  <c:v>7.065747E-2</c:v>
                </c:pt>
                <c:pt idx="452">
                  <c:v>7.408991999999999E-2</c:v>
                </c:pt>
                <c:pt idx="453">
                  <c:v>7.3337879999999994E-2</c:v>
                </c:pt>
                <c:pt idx="454">
                  <c:v>7.2585839999999985E-2</c:v>
                </c:pt>
                <c:pt idx="455">
                  <c:v>6.8811054999999982E-2</c:v>
                </c:pt>
                <c:pt idx="456">
                  <c:v>6.5036269999999993E-2</c:v>
                </c:pt>
                <c:pt idx="457">
                  <c:v>6.0077879999999993E-2</c:v>
                </c:pt>
                <c:pt idx="458">
                  <c:v>5.5119489999999993E-2</c:v>
                </c:pt>
                <c:pt idx="459">
                  <c:v>5.2562904999999993E-2</c:v>
                </c:pt>
                <c:pt idx="460">
                  <c:v>5.0006319999999993E-2</c:v>
                </c:pt>
                <c:pt idx="461">
                  <c:v>4.9239714999999996E-2</c:v>
                </c:pt>
                <c:pt idx="462">
                  <c:v>4.847311E-2</c:v>
                </c:pt>
                <c:pt idx="463">
                  <c:v>4.6078584999999998E-2</c:v>
                </c:pt>
                <c:pt idx="464">
                  <c:v>4.3684059999999997E-2</c:v>
                </c:pt>
                <c:pt idx="465">
                  <c:v>4.5852789999999991E-2</c:v>
                </c:pt>
                <c:pt idx="466">
                  <c:v>4.8021519999999991E-2</c:v>
                </c:pt>
                <c:pt idx="467">
                  <c:v>5.0028174999999994E-2</c:v>
                </c:pt>
                <c:pt idx="468">
                  <c:v>5.2034829999999997E-2</c:v>
                </c:pt>
                <c:pt idx="469">
                  <c:v>5.3560769999999994E-2</c:v>
                </c:pt>
                <c:pt idx="470">
                  <c:v>5.508670999999999E-2</c:v>
                </c:pt>
                <c:pt idx="471">
                  <c:v>5.808213999999999E-2</c:v>
                </c:pt>
                <c:pt idx="472">
                  <c:v>6.1077569999999998E-2</c:v>
                </c:pt>
                <c:pt idx="473">
                  <c:v>6.4029289999999989E-2</c:v>
                </c:pt>
                <c:pt idx="474">
                  <c:v>6.698100999999998E-2</c:v>
                </c:pt>
                <c:pt idx="475">
                  <c:v>7.0604659999999986E-2</c:v>
                </c:pt>
                <c:pt idx="476">
                  <c:v>7.4228309999999992E-2</c:v>
                </c:pt>
                <c:pt idx="477">
                  <c:v>7.8248914999999988E-2</c:v>
                </c:pt>
                <c:pt idx="478">
                  <c:v>8.2269519999999985E-2</c:v>
                </c:pt>
                <c:pt idx="479">
                  <c:v>8.5596359999999996E-2</c:v>
                </c:pt>
                <c:pt idx="480">
                  <c:v>8.8923200000000008E-2</c:v>
                </c:pt>
                <c:pt idx="481">
                  <c:v>9.2330154999999997E-2</c:v>
                </c:pt>
                <c:pt idx="482">
                  <c:v>9.5737109999999986E-2</c:v>
                </c:pt>
                <c:pt idx="483">
                  <c:v>9.7425114999999979E-2</c:v>
                </c:pt>
                <c:pt idx="484">
                  <c:v>9.9113119999999985E-2</c:v>
                </c:pt>
                <c:pt idx="485">
                  <c:v>0.10165510999999999</c:v>
                </c:pt>
                <c:pt idx="486">
                  <c:v>0.1041971</c:v>
                </c:pt>
                <c:pt idx="487">
                  <c:v>0.10663899999999998</c:v>
                </c:pt>
                <c:pt idx="488">
                  <c:v>0.10908089999999998</c:v>
                </c:pt>
                <c:pt idx="489">
                  <c:v>0.10938314999999998</c:v>
                </c:pt>
                <c:pt idx="490">
                  <c:v>0.10968539999999999</c:v>
                </c:pt>
                <c:pt idx="491">
                  <c:v>0.11041194999999998</c:v>
                </c:pt>
                <c:pt idx="492">
                  <c:v>0.11113849999999997</c:v>
                </c:pt>
                <c:pt idx="493">
                  <c:v>0.11172484999999997</c:v>
                </c:pt>
                <c:pt idx="494">
                  <c:v>0.11231119999999997</c:v>
                </c:pt>
                <c:pt idx="495">
                  <c:v>0.11382439999999998</c:v>
                </c:pt>
                <c:pt idx="496">
                  <c:v>0.11533759999999998</c:v>
                </c:pt>
                <c:pt idx="497">
                  <c:v>0.11628084999999999</c:v>
                </c:pt>
                <c:pt idx="498">
                  <c:v>0.11722410000000001</c:v>
                </c:pt>
                <c:pt idx="499">
                  <c:v>0.1170966</c:v>
                </c:pt>
                <c:pt idx="500">
                  <c:v>0.11696909999999998</c:v>
                </c:pt>
                <c:pt idx="501">
                  <c:v>0.11798334999999999</c:v>
                </c:pt>
                <c:pt idx="502">
                  <c:v>0.1189976</c:v>
                </c:pt>
                <c:pt idx="503">
                  <c:v>0.12057635</c:v>
                </c:pt>
                <c:pt idx="504">
                  <c:v>0.12215509999999999</c:v>
                </c:pt>
                <c:pt idx="505">
                  <c:v>0.12188379999999999</c:v>
                </c:pt>
                <c:pt idx="506">
                  <c:v>0.12161249999999998</c:v>
                </c:pt>
                <c:pt idx="507">
                  <c:v>0.11517369999999999</c:v>
                </c:pt>
                <c:pt idx="508">
                  <c:v>0.10873489999999998</c:v>
                </c:pt>
                <c:pt idx="509">
                  <c:v>0.10370912999999998</c:v>
                </c:pt>
                <c:pt idx="510">
                  <c:v>9.8683359999999998E-2</c:v>
                </c:pt>
                <c:pt idx="511">
                  <c:v>0.10252367999999999</c:v>
                </c:pt>
                <c:pt idx="512">
                  <c:v>0.10636399999999999</c:v>
                </c:pt>
                <c:pt idx="513">
                  <c:v>9.7037229999999988E-2</c:v>
                </c:pt>
                <c:pt idx="514">
                  <c:v>8.771045999999999E-2</c:v>
                </c:pt>
                <c:pt idx="515">
                  <c:v>8.3642504999999978E-2</c:v>
                </c:pt>
                <c:pt idx="516">
                  <c:v>7.957454999999998E-2</c:v>
                </c:pt>
                <c:pt idx="517">
                  <c:v>7.3804029999999993E-2</c:v>
                </c:pt>
                <c:pt idx="518">
                  <c:v>6.8033509999999991E-2</c:v>
                </c:pt>
                <c:pt idx="519">
                  <c:v>7.1646229999999991E-2</c:v>
                </c:pt>
                <c:pt idx="520">
                  <c:v>7.5258949999999991E-2</c:v>
                </c:pt>
                <c:pt idx="521">
                  <c:v>7.9827659999999995E-2</c:v>
                </c:pt>
                <c:pt idx="522">
                  <c:v>8.4396369999999984E-2</c:v>
                </c:pt>
                <c:pt idx="523">
                  <c:v>8.4538399999999986E-2</c:v>
                </c:pt>
                <c:pt idx="524">
                  <c:v>8.4680429999999987E-2</c:v>
                </c:pt>
                <c:pt idx="525">
                  <c:v>8.3793639999999989E-2</c:v>
                </c:pt>
                <c:pt idx="526">
                  <c:v>8.290684999999999E-2</c:v>
                </c:pt>
                <c:pt idx="527">
                  <c:v>8.4773299999999982E-2</c:v>
                </c:pt>
                <c:pt idx="528">
                  <c:v>8.6639749999999974E-2</c:v>
                </c:pt>
                <c:pt idx="529">
                  <c:v>8.7353554999999986E-2</c:v>
                </c:pt>
                <c:pt idx="530">
                  <c:v>8.8067359999999997E-2</c:v>
                </c:pt>
                <c:pt idx="531">
                  <c:v>8.8968720000000001E-2</c:v>
                </c:pt>
                <c:pt idx="532">
                  <c:v>8.9870079999999991E-2</c:v>
                </c:pt>
                <c:pt idx="533">
                  <c:v>9.0044889999999989E-2</c:v>
                </c:pt>
                <c:pt idx="534">
                  <c:v>9.0219699999999972E-2</c:v>
                </c:pt>
                <c:pt idx="535">
                  <c:v>9.2133494999999982E-2</c:v>
                </c:pt>
                <c:pt idx="536">
                  <c:v>9.4047289999999992E-2</c:v>
                </c:pt>
                <c:pt idx="537">
                  <c:v>9.6867905000000004E-2</c:v>
                </c:pt>
                <c:pt idx="538">
                  <c:v>9.9688520000000003E-2</c:v>
                </c:pt>
                <c:pt idx="539">
                  <c:v>0.10025845999999999</c:v>
                </c:pt>
                <c:pt idx="540">
                  <c:v>0.10082839999999998</c:v>
                </c:pt>
                <c:pt idx="541">
                  <c:v>0.10001081499999998</c:v>
                </c:pt>
                <c:pt idx="542">
                  <c:v>9.9193229999999979E-2</c:v>
                </c:pt>
                <c:pt idx="543">
                  <c:v>0.10106151499999999</c:v>
                </c:pt>
                <c:pt idx="544">
                  <c:v>0.10292979999999999</c:v>
                </c:pt>
                <c:pt idx="545">
                  <c:v>0.10453949999999998</c:v>
                </c:pt>
                <c:pt idx="546">
                  <c:v>0.10614919999999999</c:v>
                </c:pt>
                <c:pt idx="547">
                  <c:v>0.10827964999999999</c:v>
                </c:pt>
                <c:pt idx="548">
                  <c:v>0.1104101</c:v>
                </c:pt>
                <c:pt idx="549">
                  <c:v>0.11092365</c:v>
                </c:pt>
                <c:pt idx="550">
                  <c:v>0.1114372</c:v>
                </c:pt>
                <c:pt idx="551">
                  <c:v>0.1129868</c:v>
                </c:pt>
                <c:pt idx="552">
                  <c:v>0.11453639999999998</c:v>
                </c:pt>
                <c:pt idx="553">
                  <c:v>0.11905044999999997</c:v>
                </c:pt>
                <c:pt idx="554">
                  <c:v>0.12356449999999998</c:v>
                </c:pt>
                <c:pt idx="555">
                  <c:v>0.12353174999999997</c:v>
                </c:pt>
                <c:pt idx="556">
                  <c:v>0.12349899999999997</c:v>
                </c:pt>
                <c:pt idx="557">
                  <c:v>0.12497209999999997</c:v>
                </c:pt>
                <c:pt idx="558">
                  <c:v>0.12644519999999998</c:v>
                </c:pt>
                <c:pt idx="559">
                  <c:v>0.1265927</c:v>
                </c:pt>
                <c:pt idx="560">
                  <c:v>0.1267402</c:v>
                </c:pt>
                <c:pt idx="561">
                  <c:v>0.12711894999999998</c:v>
                </c:pt>
                <c:pt idx="562">
                  <c:v>0.12749769999999996</c:v>
                </c:pt>
                <c:pt idx="563">
                  <c:v>0.12695144999999997</c:v>
                </c:pt>
                <c:pt idx="564">
                  <c:v>0.1264052</c:v>
                </c:pt>
                <c:pt idx="565">
                  <c:v>0.12225529999999998</c:v>
                </c:pt>
                <c:pt idx="566">
                  <c:v>0.11810539999999999</c:v>
                </c:pt>
                <c:pt idx="567">
                  <c:v>0.11422499999999999</c:v>
                </c:pt>
                <c:pt idx="568">
                  <c:v>0.11034459999999999</c:v>
                </c:pt>
                <c:pt idx="569">
                  <c:v>0.11500619999999999</c:v>
                </c:pt>
                <c:pt idx="570">
                  <c:v>0.11966779999999999</c:v>
                </c:pt>
                <c:pt idx="571">
                  <c:v>0.12221344999999997</c:v>
                </c:pt>
                <c:pt idx="572">
                  <c:v>0.12475909999999997</c:v>
                </c:pt>
                <c:pt idx="573">
                  <c:v>0.12328774999999997</c:v>
                </c:pt>
                <c:pt idx="574">
                  <c:v>0.12181639999999998</c:v>
                </c:pt>
                <c:pt idx="575">
                  <c:v>0.12504309999999996</c:v>
                </c:pt>
                <c:pt idx="576">
                  <c:v>0.12826979999999996</c:v>
                </c:pt>
                <c:pt idx="577">
                  <c:v>0.12054179999999998</c:v>
                </c:pt>
                <c:pt idx="578">
                  <c:v>0.11281379999999999</c:v>
                </c:pt>
                <c:pt idx="579">
                  <c:v>0.11674699999999999</c:v>
                </c:pt>
                <c:pt idx="580">
                  <c:v>0.12068019999999999</c:v>
                </c:pt>
                <c:pt idx="581">
                  <c:v>0.12119184999999999</c:v>
                </c:pt>
                <c:pt idx="582">
                  <c:v>0.12170349999999998</c:v>
                </c:pt>
                <c:pt idx="583">
                  <c:v>0.12148134999999997</c:v>
                </c:pt>
                <c:pt idx="584">
                  <c:v>0.12125919999999997</c:v>
                </c:pt>
                <c:pt idx="585">
                  <c:v>0.12075299999999997</c:v>
                </c:pt>
                <c:pt idx="586">
                  <c:v>0.12024679999999999</c:v>
                </c:pt>
                <c:pt idx="587">
                  <c:v>0.11967504999999998</c:v>
                </c:pt>
                <c:pt idx="588">
                  <c:v>0.11910329999999998</c:v>
                </c:pt>
                <c:pt idx="589">
                  <c:v>0.11713849999999998</c:v>
                </c:pt>
                <c:pt idx="590">
                  <c:v>0.11517369999999999</c:v>
                </c:pt>
                <c:pt idx="591">
                  <c:v>0.11404109999999998</c:v>
                </c:pt>
                <c:pt idx="592">
                  <c:v>0.11290849999999998</c:v>
                </c:pt>
                <c:pt idx="593">
                  <c:v>0.11076159999999997</c:v>
                </c:pt>
                <c:pt idx="594">
                  <c:v>0.10861469999999997</c:v>
                </c:pt>
                <c:pt idx="595">
                  <c:v>0.10443204999999997</c:v>
                </c:pt>
                <c:pt idx="596">
                  <c:v>0.10024939999999997</c:v>
                </c:pt>
                <c:pt idx="597">
                  <c:v>0.10152949999999998</c:v>
                </c:pt>
                <c:pt idx="598">
                  <c:v>0.10280959999999999</c:v>
                </c:pt>
                <c:pt idx="599">
                  <c:v>0.10202839999999999</c:v>
                </c:pt>
                <c:pt idx="600">
                  <c:v>0.10124719999999998</c:v>
                </c:pt>
                <c:pt idx="601">
                  <c:v>0.10166419999999998</c:v>
                </c:pt>
                <c:pt idx="602">
                  <c:v>0.10208119999999998</c:v>
                </c:pt>
                <c:pt idx="603">
                  <c:v>0.1025219</c:v>
                </c:pt>
                <c:pt idx="604">
                  <c:v>0.1029626</c:v>
                </c:pt>
                <c:pt idx="605">
                  <c:v>0.10345604999999999</c:v>
                </c:pt>
                <c:pt idx="606">
                  <c:v>0.10394949999999999</c:v>
                </c:pt>
                <c:pt idx="607">
                  <c:v>0.10908814999999999</c:v>
                </c:pt>
                <c:pt idx="608">
                  <c:v>0.11422679999999999</c:v>
                </c:pt>
                <c:pt idx="609">
                  <c:v>0.11372784999999999</c:v>
                </c:pt>
                <c:pt idx="610">
                  <c:v>0.11322889999999998</c:v>
                </c:pt>
                <c:pt idx="611">
                  <c:v>0.10873304999999997</c:v>
                </c:pt>
                <c:pt idx="612">
                  <c:v>0.10423719999999997</c:v>
                </c:pt>
                <c:pt idx="613">
                  <c:v>0.10453764999999998</c:v>
                </c:pt>
                <c:pt idx="614">
                  <c:v>0.10483809999999998</c:v>
                </c:pt>
                <c:pt idx="615">
                  <c:v>0.10574855</c:v>
                </c:pt>
                <c:pt idx="616">
                  <c:v>0.106659</c:v>
                </c:pt>
                <c:pt idx="617">
                  <c:v>0.10644414999999999</c:v>
                </c:pt>
                <c:pt idx="618">
                  <c:v>0.10622929999999997</c:v>
                </c:pt>
                <c:pt idx="619">
                  <c:v>0.10562109999999998</c:v>
                </c:pt>
                <c:pt idx="620">
                  <c:v>0.10501289999999999</c:v>
                </c:pt>
                <c:pt idx="621">
                  <c:v>0.10760409999999999</c:v>
                </c:pt>
                <c:pt idx="622">
                  <c:v>0.1101953</c:v>
                </c:pt>
                <c:pt idx="623">
                  <c:v>0.11121499999999999</c:v>
                </c:pt>
                <c:pt idx="624">
                  <c:v>0.11223469999999999</c:v>
                </c:pt>
                <c:pt idx="625">
                  <c:v>0.11547779999999999</c:v>
                </c:pt>
                <c:pt idx="626">
                  <c:v>0.11872089999999998</c:v>
                </c:pt>
                <c:pt idx="627">
                  <c:v>0.11507719999999999</c:v>
                </c:pt>
                <c:pt idx="628">
                  <c:v>0.11143349999999999</c:v>
                </c:pt>
                <c:pt idx="629">
                  <c:v>0.11339464999999999</c:v>
                </c:pt>
                <c:pt idx="630">
                  <c:v>0.11535579999999999</c:v>
                </c:pt>
                <c:pt idx="631">
                  <c:v>0.11250604999999998</c:v>
                </c:pt>
                <c:pt idx="632">
                  <c:v>0.10965629999999997</c:v>
                </c:pt>
                <c:pt idx="633">
                  <c:v>0.11012974999999997</c:v>
                </c:pt>
                <c:pt idx="634">
                  <c:v>0.11060319999999998</c:v>
                </c:pt>
                <c:pt idx="635">
                  <c:v>0.10951244999999998</c:v>
                </c:pt>
                <c:pt idx="636">
                  <c:v>0.1084217</c:v>
                </c:pt>
                <c:pt idx="637">
                  <c:v>0.10712340000000001</c:v>
                </c:pt>
                <c:pt idx="638">
                  <c:v>0.10582510000000001</c:v>
                </c:pt>
                <c:pt idx="639">
                  <c:v>0.10554464999999999</c:v>
                </c:pt>
                <c:pt idx="640">
                  <c:v>0.10526419999999997</c:v>
                </c:pt>
                <c:pt idx="641">
                  <c:v>0.10443749999999997</c:v>
                </c:pt>
                <c:pt idx="642">
                  <c:v>0.10361079999999998</c:v>
                </c:pt>
                <c:pt idx="643">
                  <c:v>0.10415709999999997</c:v>
                </c:pt>
                <c:pt idx="644">
                  <c:v>0.10470339999999997</c:v>
                </c:pt>
                <c:pt idx="645">
                  <c:v>0.10545359999999998</c:v>
                </c:pt>
                <c:pt idx="646">
                  <c:v>0.10620379999999999</c:v>
                </c:pt>
                <c:pt idx="647">
                  <c:v>0.10626754999999999</c:v>
                </c:pt>
                <c:pt idx="648">
                  <c:v>0.10633129999999999</c:v>
                </c:pt>
                <c:pt idx="649">
                  <c:v>0.10686664999999998</c:v>
                </c:pt>
                <c:pt idx="650">
                  <c:v>0.10740199999999997</c:v>
                </c:pt>
                <c:pt idx="651">
                  <c:v>0.10963624999999999</c:v>
                </c:pt>
                <c:pt idx="652">
                  <c:v>0.1118705</c:v>
                </c:pt>
                <c:pt idx="653">
                  <c:v>0.11382799999999998</c:v>
                </c:pt>
                <c:pt idx="654">
                  <c:v>0.11578549999999999</c:v>
                </c:pt>
                <c:pt idx="655">
                  <c:v>0.11204714999999998</c:v>
                </c:pt>
                <c:pt idx="656">
                  <c:v>0.10830879999999998</c:v>
                </c:pt>
                <c:pt idx="657">
                  <c:v>0.10924109999999998</c:v>
                </c:pt>
                <c:pt idx="658">
                  <c:v>0.11017339999999998</c:v>
                </c:pt>
                <c:pt idx="659">
                  <c:v>0.11070514999999997</c:v>
                </c:pt>
                <c:pt idx="660">
                  <c:v>0.11123689999999999</c:v>
                </c:pt>
                <c:pt idx="661">
                  <c:v>0.11404839999999998</c:v>
                </c:pt>
                <c:pt idx="662">
                  <c:v>0.11685989999999997</c:v>
                </c:pt>
                <c:pt idx="663">
                  <c:v>0.11704744999999998</c:v>
                </c:pt>
                <c:pt idx="664">
                  <c:v>0.11723499999999999</c:v>
                </c:pt>
                <c:pt idx="665">
                  <c:v>0.11566169999999998</c:v>
                </c:pt>
                <c:pt idx="666">
                  <c:v>0.11408839999999998</c:v>
                </c:pt>
                <c:pt idx="667">
                  <c:v>0.11329994999999998</c:v>
                </c:pt>
                <c:pt idx="668">
                  <c:v>0.11251149999999997</c:v>
                </c:pt>
                <c:pt idx="669">
                  <c:v>0.11450174999999999</c:v>
                </c:pt>
                <c:pt idx="670">
                  <c:v>0.116492</c:v>
                </c:pt>
                <c:pt idx="671">
                  <c:v>0.11408474999999998</c:v>
                </c:pt>
                <c:pt idx="672">
                  <c:v>0.11167749999999999</c:v>
                </c:pt>
                <c:pt idx="673">
                  <c:v>0.10997859999999998</c:v>
                </c:pt>
                <c:pt idx="674">
                  <c:v>0.10827969999999999</c:v>
                </c:pt>
                <c:pt idx="675">
                  <c:v>0.1074821</c:v>
                </c:pt>
                <c:pt idx="676">
                  <c:v>0.10668449999999999</c:v>
                </c:pt>
                <c:pt idx="677">
                  <c:v>0.10366724999999999</c:v>
                </c:pt>
                <c:pt idx="678">
                  <c:v>0.10064999999999998</c:v>
                </c:pt>
                <c:pt idx="679">
                  <c:v>9.8217229999999989E-2</c:v>
                </c:pt>
                <c:pt idx="680">
                  <c:v>9.5784459999999988E-2</c:v>
                </c:pt>
                <c:pt idx="681">
                  <c:v>9.0206954999999991E-2</c:v>
                </c:pt>
                <c:pt idx="682">
                  <c:v>8.4629449999999995E-2</c:v>
                </c:pt>
                <c:pt idx="683">
                  <c:v>9.0055814999999997E-2</c:v>
                </c:pt>
                <c:pt idx="684">
                  <c:v>9.548218E-2</c:v>
                </c:pt>
                <c:pt idx="685">
                  <c:v>9.3985379999999993E-2</c:v>
                </c:pt>
                <c:pt idx="686">
                  <c:v>9.2488579999999987E-2</c:v>
                </c:pt>
                <c:pt idx="687">
                  <c:v>9.387247999999998E-2</c:v>
                </c:pt>
                <c:pt idx="688">
                  <c:v>9.5256379999999988E-2</c:v>
                </c:pt>
                <c:pt idx="689">
                  <c:v>0.10024754</c:v>
                </c:pt>
                <c:pt idx="690">
                  <c:v>0.1052387</c:v>
                </c:pt>
                <c:pt idx="691">
                  <c:v>9.8801725000000007E-2</c:v>
                </c:pt>
                <c:pt idx="692">
                  <c:v>9.2364749999999995E-2</c:v>
                </c:pt>
                <c:pt idx="693">
                  <c:v>9.0221519999999999E-2</c:v>
                </c:pt>
                <c:pt idx="694">
                  <c:v>8.807828999999999E-2</c:v>
                </c:pt>
                <c:pt idx="695">
                  <c:v>9.5336494999999993E-2</c:v>
                </c:pt>
                <c:pt idx="696">
                  <c:v>0.1025947</c:v>
                </c:pt>
                <c:pt idx="697">
                  <c:v>0.10302624999999999</c:v>
                </c:pt>
                <c:pt idx="698">
                  <c:v>0.10345779999999999</c:v>
                </c:pt>
                <c:pt idx="699">
                  <c:v>0.10069365499999999</c:v>
                </c:pt>
                <c:pt idx="700">
                  <c:v>9.7929509999999984E-2</c:v>
                </c:pt>
                <c:pt idx="701">
                  <c:v>9.9617504999999995E-2</c:v>
                </c:pt>
                <c:pt idx="702">
                  <c:v>0.10130550000000001</c:v>
                </c:pt>
                <c:pt idx="703">
                  <c:v>0.10029307</c:v>
                </c:pt>
                <c:pt idx="704">
                  <c:v>9.9280639999999989E-2</c:v>
                </c:pt>
                <c:pt idx="705">
                  <c:v>9.8512204999999992E-2</c:v>
                </c:pt>
                <c:pt idx="706">
                  <c:v>9.774376999999998E-2</c:v>
                </c:pt>
                <c:pt idx="707">
                  <c:v>9.7689144999999977E-2</c:v>
                </c:pt>
                <c:pt idx="708">
                  <c:v>9.7634519999999975E-2</c:v>
                </c:pt>
                <c:pt idx="709">
                  <c:v>9.7330424999999984E-2</c:v>
                </c:pt>
                <c:pt idx="710">
                  <c:v>9.7026329999999994E-2</c:v>
                </c:pt>
                <c:pt idx="711">
                  <c:v>9.8291875000000001E-2</c:v>
                </c:pt>
                <c:pt idx="712">
                  <c:v>9.9557419999999994E-2</c:v>
                </c:pt>
                <c:pt idx="713">
                  <c:v>9.7652729999999993E-2</c:v>
                </c:pt>
                <c:pt idx="714">
                  <c:v>9.5748039999999993E-2</c:v>
                </c:pt>
                <c:pt idx="715">
                  <c:v>9.7812969999999999E-2</c:v>
                </c:pt>
                <c:pt idx="716">
                  <c:v>9.9877899999999992E-2</c:v>
                </c:pt>
                <c:pt idx="717">
                  <c:v>0.10055529999999999</c:v>
                </c:pt>
                <c:pt idx="718">
                  <c:v>0.10123269999999998</c:v>
                </c:pt>
                <c:pt idx="719">
                  <c:v>0.10132919999999998</c:v>
                </c:pt>
                <c:pt idx="720">
                  <c:v>0.10142569999999998</c:v>
                </c:pt>
                <c:pt idx="721">
                  <c:v>0.100657265</c:v>
                </c:pt>
                <c:pt idx="722">
                  <c:v>9.9888829999999998E-2</c:v>
                </c:pt>
                <c:pt idx="723">
                  <c:v>0.101008715</c:v>
                </c:pt>
                <c:pt idx="724">
                  <c:v>0.10212859999999999</c:v>
                </c:pt>
                <c:pt idx="725">
                  <c:v>0.100560765</c:v>
                </c:pt>
                <c:pt idx="726">
                  <c:v>9.8992929999999993E-2</c:v>
                </c:pt>
                <c:pt idx="727">
                  <c:v>9.6532855000000001E-2</c:v>
                </c:pt>
                <c:pt idx="728">
                  <c:v>9.4072779999999995E-2</c:v>
                </c:pt>
                <c:pt idx="729">
                  <c:v>9.7692789999999988E-2</c:v>
                </c:pt>
                <c:pt idx="730">
                  <c:v>0.10131279999999998</c:v>
                </c:pt>
                <c:pt idx="731">
                  <c:v>0.10312824999999998</c:v>
                </c:pt>
                <c:pt idx="732">
                  <c:v>0.10494369999999997</c:v>
                </c:pt>
                <c:pt idx="733">
                  <c:v>0.10502019999999998</c:v>
                </c:pt>
                <c:pt idx="734">
                  <c:v>0.10509669999999999</c:v>
                </c:pt>
                <c:pt idx="735">
                  <c:v>0.10321564999999999</c:v>
                </c:pt>
                <c:pt idx="736">
                  <c:v>0.10133459999999998</c:v>
                </c:pt>
                <c:pt idx="737">
                  <c:v>9.9866954999999993E-2</c:v>
                </c:pt>
                <c:pt idx="738">
                  <c:v>9.8399310000000004E-2</c:v>
                </c:pt>
                <c:pt idx="739">
                  <c:v>9.4668224999999995E-2</c:v>
                </c:pt>
                <c:pt idx="740">
                  <c:v>9.0937139999999986E-2</c:v>
                </c:pt>
                <c:pt idx="741">
                  <c:v>8.9187229999999978E-2</c:v>
                </c:pt>
                <c:pt idx="742">
                  <c:v>8.7437319999999971E-2</c:v>
                </c:pt>
                <c:pt idx="743">
                  <c:v>8.9726224999999979E-2</c:v>
                </c:pt>
                <c:pt idx="744">
                  <c:v>9.2015129999999987E-2</c:v>
                </c:pt>
                <c:pt idx="745">
                  <c:v>9.2530454999999984E-2</c:v>
                </c:pt>
                <c:pt idx="746">
                  <c:v>9.3045779999999995E-2</c:v>
                </c:pt>
                <c:pt idx="747">
                  <c:v>9.2428484999999991E-2</c:v>
                </c:pt>
                <c:pt idx="748">
                  <c:v>9.1811189999999987E-2</c:v>
                </c:pt>
                <c:pt idx="749">
                  <c:v>9.2594184999999996E-2</c:v>
                </c:pt>
                <c:pt idx="750">
                  <c:v>9.337717999999999E-2</c:v>
                </c:pt>
                <c:pt idx="751">
                  <c:v>9.5043329999999981E-2</c:v>
                </c:pt>
                <c:pt idx="752">
                  <c:v>9.6709479999999987E-2</c:v>
                </c:pt>
                <c:pt idx="753">
                  <c:v>9.4697359999999994E-2</c:v>
                </c:pt>
                <c:pt idx="754">
                  <c:v>9.2685240000000002E-2</c:v>
                </c:pt>
                <c:pt idx="755">
                  <c:v>9.367764499999999E-2</c:v>
                </c:pt>
                <c:pt idx="756">
                  <c:v>9.4670049999999978E-2</c:v>
                </c:pt>
                <c:pt idx="757">
                  <c:v>9.7009939999999989E-2</c:v>
                </c:pt>
                <c:pt idx="758">
                  <c:v>9.9349829999999986E-2</c:v>
                </c:pt>
                <c:pt idx="759">
                  <c:v>9.9477294999999993E-2</c:v>
                </c:pt>
                <c:pt idx="760">
                  <c:v>9.9604760000000001E-2</c:v>
                </c:pt>
                <c:pt idx="761">
                  <c:v>9.6822379999999986E-2</c:v>
                </c:pt>
                <c:pt idx="762">
                  <c:v>9.4039999999999985E-2</c:v>
                </c:pt>
                <c:pt idx="763">
                  <c:v>9.330798999999998E-2</c:v>
                </c:pt>
                <c:pt idx="764">
                  <c:v>9.2575979999999988E-2</c:v>
                </c:pt>
                <c:pt idx="765">
                  <c:v>9.4482489999999975E-2</c:v>
                </c:pt>
                <c:pt idx="766">
                  <c:v>9.6388999999999975E-2</c:v>
                </c:pt>
                <c:pt idx="767">
                  <c:v>9.5833614999999983E-2</c:v>
                </c:pt>
                <c:pt idx="768">
                  <c:v>9.5278229999999978E-2</c:v>
                </c:pt>
                <c:pt idx="769">
                  <c:v>9.361936999999998E-2</c:v>
                </c:pt>
                <c:pt idx="770">
                  <c:v>9.1960509999999981E-2</c:v>
                </c:pt>
                <c:pt idx="771">
                  <c:v>9.2748969999999986E-2</c:v>
                </c:pt>
                <c:pt idx="772">
                  <c:v>9.3537429999999977E-2</c:v>
                </c:pt>
                <c:pt idx="773">
                  <c:v>9.1732889999999984E-2</c:v>
                </c:pt>
                <c:pt idx="774">
                  <c:v>8.992834999999999E-2</c:v>
                </c:pt>
                <c:pt idx="775">
                  <c:v>8.6452199999999993E-2</c:v>
                </c:pt>
                <c:pt idx="776">
                  <c:v>8.2976049999999996E-2</c:v>
                </c:pt>
                <c:pt idx="777">
                  <c:v>8.5523529999999987E-2</c:v>
                </c:pt>
                <c:pt idx="778">
                  <c:v>8.8071009999999977E-2</c:v>
                </c:pt>
                <c:pt idx="779">
                  <c:v>8.7542939999999986E-2</c:v>
                </c:pt>
                <c:pt idx="780">
                  <c:v>8.701486999999998E-2</c:v>
                </c:pt>
                <c:pt idx="781">
                  <c:v>8.7661299999999984E-2</c:v>
                </c:pt>
                <c:pt idx="782">
                  <c:v>8.8307729999999987E-2</c:v>
                </c:pt>
                <c:pt idx="783">
                  <c:v>8.8194830000000002E-2</c:v>
                </c:pt>
                <c:pt idx="784">
                  <c:v>8.8081930000000003E-2</c:v>
                </c:pt>
                <c:pt idx="785">
                  <c:v>8.8997855000000001E-2</c:v>
                </c:pt>
                <c:pt idx="786">
                  <c:v>8.9913779999999999E-2</c:v>
                </c:pt>
                <c:pt idx="787">
                  <c:v>9.021423499999999E-2</c:v>
                </c:pt>
                <c:pt idx="788">
                  <c:v>9.0514689999999981E-2</c:v>
                </c:pt>
                <c:pt idx="789">
                  <c:v>8.8961434999999978E-2</c:v>
                </c:pt>
                <c:pt idx="790">
                  <c:v>8.7408179999999988E-2</c:v>
                </c:pt>
                <c:pt idx="791">
                  <c:v>8.9052474999999992E-2</c:v>
                </c:pt>
                <c:pt idx="792">
                  <c:v>9.0696769999999996E-2</c:v>
                </c:pt>
                <c:pt idx="793">
                  <c:v>9.1068244999999992E-2</c:v>
                </c:pt>
                <c:pt idx="794">
                  <c:v>9.1439719999999988E-2</c:v>
                </c:pt>
                <c:pt idx="795">
                  <c:v>9.3810564999999985E-2</c:v>
                </c:pt>
                <c:pt idx="796">
                  <c:v>9.6181409999999995E-2</c:v>
                </c:pt>
                <c:pt idx="797">
                  <c:v>9.3404499999999988E-2</c:v>
                </c:pt>
                <c:pt idx="798">
                  <c:v>9.062758999999998E-2</c:v>
                </c:pt>
                <c:pt idx="799">
                  <c:v>8.8708324999999977E-2</c:v>
                </c:pt>
                <c:pt idx="800">
                  <c:v>8.6789059999999973E-2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AFE-4C71-A014-FF2ADB0F7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74912"/>
        <c:axId val="145176448"/>
      </c:scatterChart>
      <c:valAx>
        <c:axId val="145174912"/>
        <c:scaling>
          <c:orientation val="minMax"/>
          <c:max val="1.1000000000000018E-6"/>
          <c:min val="2.4000000000000035E-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6448"/>
        <c:crosses val="autoZero"/>
        <c:crossBetween val="midCat"/>
      </c:valAx>
      <c:valAx>
        <c:axId val="14517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72766271047336"/>
          <c:y val="0.12324519961320622"/>
          <c:w val="0.13984277563798439"/>
          <c:h val="0.74342146705346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WFIRST CGI</a:t>
            </a:r>
            <a:r>
              <a:rPr lang="en-US" baseline="0"/>
              <a:t> (Cycle 6) O</a:t>
            </a:r>
            <a:r>
              <a:rPr lang="en-US"/>
              <a:t>ptical</a:t>
            </a:r>
            <a:r>
              <a:rPr lang="en-US" baseline="0"/>
              <a:t> Transmission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'Transmission (Wave)'!$A$8</c:f>
              <c:strCache>
                <c:ptCount val="1"/>
                <c:pt idx="0">
                  <c:v>HLC_Img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(Wave)'!$B$10:$L$10</c:f>
              <c:numCache>
                <c:formatCode>0.00</c:formatCode>
                <c:ptCount val="11"/>
                <c:pt idx="0">
                  <c:v>0.12760871161865237</c:v>
                </c:pt>
                <c:pt idx="1">
                  <c:v>0.22246417672241212</c:v>
                </c:pt>
                <c:pt idx="2">
                  <c:v>0.25274158728027341</c:v>
                </c:pt>
                <c:pt idx="3">
                  <c:v>0.26336704992919918</c:v>
                </c:pt>
                <c:pt idx="4">
                  <c:v>0.26135543321411137</c:v>
                </c:pt>
                <c:pt idx="5">
                  <c:v>0.25026575132324225</c:v>
                </c:pt>
                <c:pt idx="6">
                  <c:v>0.24196138488403321</c:v>
                </c:pt>
                <c:pt idx="7">
                  <c:v>0.22700320931030274</c:v>
                </c:pt>
                <c:pt idx="8">
                  <c:v>0.21653248640869138</c:v>
                </c:pt>
                <c:pt idx="9">
                  <c:v>0.21905990228149419</c:v>
                </c:pt>
                <c:pt idx="10">
                  <c:v>0.22205153739624023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7-40C3-9521-05B6A210EAB4}"/>
            </c:ext>
          </c:extLst>
        </c:ser>
        <c:ser>
          <c:idx val="1"/>
          <c:order val="1"/>
          <c:tx>
            <c:strRef>
              <c:f>'Transmission (Wave)'!$A$12</c:f>
              <c:strCache>
                <c:ptCount val="1"/>
                <c:pt idx="0">
                  <c:v>SPC_Img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(Wave)'!$B$14:$L$14</c:f>
              <c:numCache>
                <c:formatCode>0.00</c:formatCode>
                <c:ptCount val="11"/>
                <c:pt idx="0">
                  <c:v>0.11912521499999999</c:v>
                </c:pt>
                <c:pt idx="1">
                  <c:v>0.20147093999999999</c:v>
                </c:pt>
                <c:pt idx="2">
                  <c:v>0.22624667999999998</c:v>
                </c:pt>
                <c:pt idx="3">
                  <c:v>0.23407312499999999</c:v>
                </c:pt>
                <c:pt idx="4">
                  <c:v>0.23100016500000001</c:v>
                </c:pt>
                <c:pt idx="5">
                  <c:v>0.21745993499999999</c:v>
                </c:pt>
                <c:pt idx="6">
                  <c:v>0.207664875</c:v>
                </c:pt>
                <c:pt idx="7">
                  <c:v>0.19239610499999998</c:v>
                </c:pt>
                <c:pt idx="8">
                  <c:v>0.18356134499999999</c:v>
                </c:pt>
                <c:pt idx="9">
                  <c:v>0.19071557999999997</c:v>
                </c:pt>
                <c:pt idx="10">
                  <c:v>0.19959835500000001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7-40C3-9521-05B6A210EAB4}"/>
            </c:ext>
          </c:extLst>
        </c:ser>
        <c:ser>
          <c:idx val="2"/>
          <c:order val="2"/>
          <c:tx>
            <c:strRef>
              <c:f>'Transmission (Wave)'!$A$16</c:f>
              <c:strCache>
                <c:ptCount val="1"/>
                <c:pt idx="0">
                  <c:v>SPC_IFS</c:v>
                </c:pt>
              </c:strCache>
            </c:strRef>
          </c:tx>
          <c:xVal>
            <c:numRef>
              <c:f>'Transmission (Wave)'!$E$6:$L$6</c:f>
              <c:numCache>
                <c:formatCode>General</c:formatCode>
                <c:ptCount val="8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</c:numCache>
            </c:numRef>
          </c:xVal>
          <c:yVal>
            <c:numRef>
              <c:f>'Transmission (Wave)'!$E$17:$L$17</c:f>
              <c:numCache>
                <c:formatCode>0.00</c:formatCode>
                <c:ptCount val="8"/>
                <c:pt idx="0">
                  <c:v>0.3861</c:v>
                </c:pt>
                <c:pt idx="1">
                  <c:v>0.37759999999999999</c:v>
                </c:pt>
                <c:pt idx="2">
                  <c:v>0.35260000000000002</c:v>
                </c:pt>
                <c:pt idx="3">
                  <c:v>0.34210000000000002</c:v>
                </c:pt>
                <c:pt idx="4">
                  <c:v>0.32619999999999999</c:v>
                </c:pt>
                <c:pt idx="5">
                  <c:v>0.31879999999999997</c:v>
                </c:pt>
                <c:pt idx="6">
                  <c:v>0.32729999999999998</c:v>
                </c:pt>
                <c:pt idx="7">
                  <c:v>0.317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7-40C3-9521-05B6A210E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9776"/>
        <c:axId val="158941952"/>
      </c:scatterChart>
      <c:valAx>
        <c:axId val="158939776"/>
        <c:scaling>
          <c:orientation val="minMax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41952"/>
        <c:crosses val="autoZero"/>
        <c:crossBetween val="midCat"/>
      </c:valAx>
      <c:valAx>
        <c:axId val="15894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∏(R</a:t>
                </a:r>
                <a:r>
                  <a:rPr lang="en-US" baseline="-25000"/>
                  <a:t>i</a:t>
                </a:r>
                <a:r>
                  <a:rPr lang="en-US" baseline="0"/>
                  <a:t>, </a:t>
                </a:r>
                <a:r>
                  <a:rPr lang="en-US"/>
                  <a:t>T</a:t>
                </a:r>
                <a:r>
                  <a:rPr lang="en-US" baseline="-25000"/>
                  <a:t>i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8939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WFIRST CGI</a:t>
            </a:r>
            <a:r>
              <a:rPr lang="en-US" baseline="0"/>
              <a:t> (Cycle 6) O</a:t>
            </a:r>
            <a:r>
              <a:rPr lang="en-US"/>
              <a:t>ptical</a:t>
            </a:r>
            <a:r>
              <a:rPr lang="en-US" baseline="0"/>
              <a:t> Transmission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'Transmission (Wave)'!$A$8</c:f>
              <c:strCache>
                <c:ptCount val="1"/>
                <c:pt idx="0">
                  <c:v>HLC_Img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(Wave)'!$B$10:$L$10</c:f>
              <c:numCache>
                <c:formatCode>0.00</c:formatCode>
                <c:ptCount val="11"/>
                <c:pt idx="0">
                  <c:v>0.12760871161865237</c:v>
                </c:pt>
                <c:pt idx="1">
                  <c:v>0.22246417672241212</c:v>
                </c:pt>
                <c:pt idx="2">
                  <c:v>0.25274158728027341</c:v>
                </c:pt>
                <c:pt idx="3">
                  <c:v>0.26336704992919918</c:v>
                </c:pt>
                <c:pt idx="4">
                  <c:v>0.26135543321411137</c:v>
                </c:pt>
                <c:pt idx="5">
                  <c:v>0.25026575132324225</c:v>
                </c:pt>
                <c:pt idx="6">
                  <c:v>0.24196138488403321</c:v>
                </c:pt>
                <c:pt idx="7">
                  <c:v>0.22700320931030274</c:v>
                </c:pt>
                <c:pt idx="8">
                  <c:v>0.21653248640869138</c:v>
                </c:pt>
                <c:pt idx="9">
                  <c:v>0.21905990228149419</c:v>
                </c:pt>
                <c:pt idx="10">
                  <c:v>0.22205153739624023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87-404B-9350-042DD13D4617}"/>
            </c:ext>
          </c:extLst>
        </c:ser>
        <c:ser>
          <c:idx val="1"/>
          <c:order val="1"/>
          <c:tx>
            <c:strRef>
              <c:f>'Transmission (Wave)'!$A$12</c:f>
              <c:strCache>
                <c:ptCount val="1"/>
                <c:pt idx="0">
                  <c:v>SPC_Img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(Wave)'!$B$14:$L$14</c:f>
              <c:numCache>
                <c:formatCode>0.00</c:formatCode>
                <c:ptCount val="11"/>
                <c:pt idx="0">
                  <c:v>0.11912521499999999</c:v>
                </c:pt>
                <c:pt idx="1">
                  <c:v>0.20147093999999999</c:v>
                </c:pt>
                <c:pt idx="2">
                  <c:v>0.22624667999999998</c:v>
                </c:pt>
                <c:pt idx="3">
                  <c:v>0.23407312499999999</c:v>
                </c:pt>
                <c:pt idx="4">
                  <c:v>0.23100016500000001</c:v>
                </c:pt>
                <c:pt idx="5">
                  <c:v>0.21745993499999999</c:v>
                </c:pt>
                <c:pt idx="6">
                  <c:v>0.207664875</c:v>
                </c:pt>
                <c:pt idx="7">
                  <c:v>0.19239610499999998</c:v>
                </c:pt>
                <c:pt idx="8">
                  <c:v>0.18356134499999999</c:v>
                </c:pt>
                <c:pt idx="9">
                  <c:v>0.19071557999999997</c:v>
                </c:pt>
                <c:pt idx="10">
                  <c:v>0.19959835500000001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87-404B-9350-042DD13D4617}"/>
            </c:ext>
          </c:extLst>
        </c:ser>
        <c:ser>
          <c:idx val="2"/>
          <c:order val="2"/>
          <c:tx>
            <c:strRef>
              <c:f>'Transmission (Wave)'!$A$16</c:f>
              <c:strCache>
                <c:ptCount val="1"/>
                <c:pt idx="0">
                  <c:v>SPC_IFS</c:v>
                </c:pt>
              </c:strCache>
            </c:strRef>
          </c:tx>
          <c:xVal>
            <c:numRef>
              <c:f>'Transmission (Wave)'!$E$6:$L$6</c:f>
              <c:numCache>
                <c:formatCode>General</c:formatCode>
                <c:ptCount val="8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</c:numCache>
            </c:numRef>
          </c:xVal>
          <c:yVal>
            <c:numRef>
              <c:f>'Transmission (Wave)'!$E$17:$L$17</c:f>
              <c:numCache>
                <c:formatCode>0.00</c:formatCode>
                <c:ptCount val="8"/>
                <c:pt idx="0">
                  <c:v>0.3861</c:v>
                </c:pt>
                <c:pt idx="1">
                  <c:v>0.37759999999999999</c:v>
                </c:pt>
                <c:pt idx="2">
                  <c:v>0.35260000000000002</c:v>
                </c:pt>
                <c:pt idx="3">
                  <c:v>0.34210000000000002</c:v>
                </c:pt>
                <c:pt idx="4">
                  <c:v>0.32619999999999999</c:v>
                </c:pt>
                <c:pt idx="5">
                  <c:v>0.31879999999999997</c:v>
                </c:pt>
                <c:pt idx="6">
                  <c:v>0.32729999999999998</c:v>
                </c:pt>
                <c:pt idx="7">
                  <c:v>0.317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87-404B-9350-042DD13D4617}"/>
            </c:ext>
          </c:extLst>
        </c:ser>
        <c:ser>
          <c:idx val="3"/>
          <c:order val="3"/>
          <c:tx>
            <c:strRef>
              <c:f>'Transmission (Wave)'!$A$10</c:f>
              <c:strCache>
                <c:ptCount val="1"/>
                <c:pt idx="0">
                  <c:v>HLC w/o Pol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(Wave)'!$B$9:$L$9</c:f>
              <c:numCache>
                <c:formatCode>0.00</c:formatCode>
                <c:ptCount val="11"/>
                <c:pt idx="0">
                  <c:v>0.25641979166666673</c:v>
                </c:pt>
                <c:pt idx="1">
                  <c:v>0.44702447916666666</c:v>
                </c:pt>
                <c:pt idx="2">
                  <c:v>0.50786458333333329</c:v>
                </c:pt>
                <c:pt idx="3">
                  <c:v>0.52921562500000008</c:v>
                </c:pt>
                <c:pt idx="4">
                  <c:v>0.52517343750000001</c:v>
                </c:pt>
                <c:pt idx="5">
                  <c:v>0.50288958333333345</c:v>
                </c:pt>
                <c:pt idx="6">
                  <c:v>0.48620260416666672</c:v>
                </c:pt>
                <c:pt idx="7">
                  <c:v>0.45614531250000001</c:v>
                </c:pt>
                <c:pt idx="8">
                  <c:v>0.43510520833333333</c:v>
                </c:pt>
                <c:pt idx="9">
                  <c:v>0.44018385416666672</c:v>
                </c:pt>
                <c:pt idx="10">
                  <c:v>0.4461953125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87-404B-9350-042DD13D4617}"/>
            </c:ext>
          </c:extLst>
        </c:ser>
        <c:ser>
          <c:idx val="4"/>
          <c:order val="4"/>
          <c:tx>
            <c:strRef>
              <c:f>'Transmission (Wave)'!$A$14</c:f>
              <c:strCache>
                <c:ptCount val="1"/>
                <c:pt idx="0">
                  <c:v>SPC w/o Pol</c:v>
                </c:pt>
              </c:strCache>
            </c:strRef>
          </c:tx>
          <c:xVal>
            <c:numRef>
              <c:f>'Transmission (Wave)'!$B$6:$L$6</c:f>
              <c:numCache>
                <c:formatCode>General</c:formatCode>
                <c:ptCount val="11"/>
                <c:pt idx="0">
                  <c:v>450</c:v>
                </c:pt>
                <c:pt idx="1">
                  <c:v>500</c:v>
                </c:pt>
                <c:pt idx="2">
                  <c:v>550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</c:numCache>
            </c:numRef>
          </c:xVal>
          <c:yVal>
            <c:numRef>
              <c:f>'Transmission (Wave)'!$B$13:$L$13</c:f>
              <c:numCache>
                <c:formatCode>0.00</c:formatCode>
                <c:ptCount val="11"/>
                <c:pt idx="0">
                  <c:v>0.24809999999999999</c:v>
                </c:pt>
                <c:pt idx="1">
                  <c:v>0.41959999999999997</c:v>
                </c:pt>
                <c:pt idx="2">
                  <c:v>0.47120000000000001</c:v>
                </c:pt>
                <c:pt idx="3">
                  <c:v>0.48749999999999999</c:v>
                </c:pt>
                <c:pt idx="4">
                  <c:v>0.48110000000000003</c:v>
                </c:pt>
                <c:pt idx="5">
                  <c:v>0.45290000000000002</c:v>
                </c:pt>
                <c:pt idx="6">
                  <c:v>0.4325</c:v>
                </c:pt>
                <c:pt idx="7">
                  <c:v>0.4007</c:v>
                </c:pt>
                <c:pt idx="8">
                  <c:v>0.38229999999999997</c:v>
                </c:pt>
                <c:pt idx="9">
                  <c:v>0.3972</c:v>
                </c:pt>
                <c:pt idx="10">
                  <c:v>0.41570000000000001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787-404B-9350-042DD13D4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59872"/>
        <c:axId val="158970240"/>
      </c:scatterChart>
      <c:valAx>
        <c:axId val="158959872"/>
        <c:scaling>
          <c:orientation val="minMax"/>
          <c:min val="4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970240"/>
        <c:crosses val="autoZero"/>
        <c:crossBetween val="midCat"/>
      </c:valAx>
      <c:valAx>
        <c:axId val="158970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∏(R</a:t>
                </a:r>
                <a:r>
                  <a:rPr lang="en-US" baseline="-25000"/>
                  <a:t>i</a:t>
                </a:r>
                <a:r>
                  <a:rPr lang="en-US" baseline="0"/>
                  <a:t>, </a:t>
                </a:r>
                <a:r>
                  <a:rPr lang="en-US"/>
                  <a:t>T</a:t>
                </a:r>
                <a:r>
                  <a:rPr lang="en-US" baseline="-25000"/>
                  <a:t>i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8959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70</xdr:col>
      <xdr:colOff>177745</xdr:colOff>
      <xdr:row>10</xdr:row>
      <xdr:rowOff>172929</xdr:rowOff>
    </xdr:from>
    <xdr:to>
      <xdr:col>74</xdr:col>
      <xdr:colOff>173584</xdr:colOff>
      <xdr:row>21</xdr:row>
      <xdr:rowOff>171240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4654" y="2303065"/>
          <a:ext cx="2420385" cy="228431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45</xdr:col>
      <xdr:colOff>515471</xdr:colOff>
      <xdr:row>27</xdr:row>
      <xdr:rowOff>51545</xdr:rowOff>
    </xdr:from>
    <xdr:to>
      <xdr:col>53</xdr:col>
      <xdr:colOff>171450</xdr:colOff>
      <xdr:row>43</xdr:row>
      <xdr:rowOff>179294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26</xdr:row>
      <xdr:rowOff>150283</xdr:rowOff>
    </xdr:from>
    <xdr:to>
      <xdr:col>18</xdr:col>
      <xdr:colOff>15874</xdr:colOff>
      <xdr:row>31</xdr:row>
      <xdr:rowOff>63486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3"/>
            <xdr:cNvSpPr txBox="1"/>
          </xdr:nvSpPr>
          <xdr:spPr>
            <a:xfrm>
              <a:off x="10360025" y="5611283"/>
              <a:ext cx="4292599" cy="93978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txBody>
            <a:bodyPr wrap="square" lIns="0" r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>
                  <a:solidFill>
                    <a:schemeClr val="tx1"/>
                  </a:solidFill>
                </a:rPr>
                <a:t>  current form used: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𝑝𝑖𝑥</m:t>
                        </m:r>
                      </m:sub>
                    </m:sSub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  <m:t>𝑙𝑒𝑛𝑠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n-US" sz="160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𝜆</m:t>
                                    </m:r>
                                  </m:e>
                                  <m:sub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𝑚𝑖𝑛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⋅</m:t>
                    </m:r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𝑠𝑝𝑒𝑐</m:t>
                        </m:r>
                      </m:sub>
                    </m:sSub>
                    <m:r>
                      <a:rPr lang="en-US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⋅</m:t>
                    </m:r>
                    <m:sSub>
                      <m:sSubPr>
                        <m:ctrlP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en-US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𝑠𝑝𝑎𝑡</m:t>
                        </m:r>
                      </m:sub>
                    </m:sSub>
                  </m:oMath>
                </m:oMathPara>
              </a14:m>
              <a:endParaRPr lang="en-US" sz="14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83"/>
            <xdr:cNvSpPr txBox="1"/>
          </xdr:nvSpPr>
          <xdr:spPr>
            <a:xfrm>
              <a:off x="10360025" y="5611283"/>
              <a:ext cx="4292599" cy="939786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txBody>
            <a:bodyPr wrap="square" lIns="0" r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 b="0">
                  <a:solidFill>
                    <a:schemeClr val="tx1"/>
                  </a:solidFill>
                </a:rPr>
                <a:t>  current form used:</a:t>
              </a:r>
            </a:p>
            <a:p>
              <a:pPr/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𝑚_𝑝𝑖𝑥=</a:t>
              </a:r>
              <a:r>
                <a:rPr 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(𝑁_𝑙𝑒𝑛𝑠  𝜆_𝑖/𝜆_</a:t>
              </a:r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𝑚𝑖𝑛 )^2⋅2_𝑠𝑝𝑒𝑐⋅𝑁_𝑠𝑝𝑎𝑡</a:t>
              </a:r>
              <a:endParaRPr lang="en-US" sz="14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3</xdr:row>
          <xdr:rowOff>0</xdr:rowOff>
        </xdr:from>
        <xdr:to>
          <xdr:col>18</xdr:col>
          <xdr:colOff>742950</xdr:colOff>
          <xdr:row>5</xdr:row>
          <xdr:rowOff>9525</xdr:rowOff>
        </xdr:to>
        <xdr:grpSp>
          <xdr:nvGrpSpPr>
            <xdr:cNvPr id="2" name="Group 1"/>
            <xdr:cNvGrpSpPr/>
          </xdr:nvGrpSpPr>
          <xdr:grpSpPr>
            <a:xfrm>
              <a:off x="7743825" y="800100"/>
              <a:ext cx="6257925" cy="409575"/>
              <a:chOff x="6725296" y="4705350"/>
              <a:chExt cx="7802805" cy="390525"/>
            </a:xfrm>
          </xdr:grpSpPr>
          <xdr:sp macro="" textlink="">
            <xdr:nvSpPr>
              <xdr:cNvPr id="18433" name="CommandButton1" hidden="1">
                <a:extLst>
                  <a:ext uri="{63B3BB69-23CF-44E3-9099-C40C66FF867C}">
                    <a14:compatExt spid="_x0000_s18433"/>
                  </a:ext>
                </a:extLst>
              </xdr:cNvPr>
              <xdr:cNvSpPr/>
            </xdr:nvSpPr>
            <xdr:spPr bwMode="auto">
              <a:xfrm>
                <a:off x="6725296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4" name="CommandButton2" hidden="1">
                <a:extLst>
                  <a:ext uri="{63B3BB69-23CF-44E3-9099-C40C66FF867C}">
                    <a14:compatExt spid="_x0000_s18434"/>
                  </a:ext>
                </a:extLst>
              </xdr:cNvPr>
              <xdr:cNvSpPr/>
            </xdr:nvSpPr>
            <xdr:spPr bwMode="auto">
              <a:xfrm>
                <a:off x="8113395" y="4705350"/>
                <a:ext cx="904368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5" name="CommandButton3" hidden="1">
                <a:extLst>
                  <a:ext uri="{63B3BB69-23CF-44E3-9099-C40C66FF867C}">
                    <a14:compatExt spid="_x0000_s18435"/>
                  </a:ext>
                </a:extLst>
              </xdr:cNvPr>
              <xdr:cNvSpPr/>
            </xdr:nvSpPr>
            <xdr:spPr bwMode="auto">
              <a:xfrm>
                <a:off x="9512013" y="4705350"/>
                <a:ext cx="872821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6" name="CommandButton4" hidden="1">
                <a:extLst>
                  <a:ext uri="{63B3BB69-23CF-44E3-9099-C40C66FF867C}">
                    <a14:compatExt spid="_x0000_s18436"/>
                  </a:ext>
                </a:extLst>
              </xdr:cNvPr>
              <xdr:cNvSpPr/>
            </xdr:nvSpPr>
            <xdr:spPr bwMode="auto">
              <a:xfrm>
                <a:off x="10984238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7" name="CommandButton5" hidden="1">
                <a:extLst>
                  <a:ext uri="{63B3BB69-23CF-44E3-9099-C40C66FF867C}">
                    <a14:compatExt spid="_x0000_s18437"/>
                  </a:ext>
                </a:extLst>
              </xdr:cNvPr>
              <xdr:cNvSpPr/>
            </xdr:nvSpPr>
            <xdr:spPr bwMode="auto">
              <a:xfrm>
                <a:off x="12456468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438" name="CommandButton6" hidden="1">
                <a:extLst>
                  <a:ext uri="{63B3BB69-23CF-44E3-9099-C40C66FF867C}">
                    <a14:compatExt spid="_x0000_s18438"/>
                  </a:ext>
                </a:extLst>
              </xdr:cNvPr>
              <xdr:cNvSpPr/>
            </xdr:nvSpPr>
            <xdr:spPr bwMode="auto">
              <a:xfrm>
                <a:off x="13749925" y="4705350"/>
                <a:ext cx="778176" cy="3905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149086</xdr:colOff>
      <xdr:row>22</xdr:row>
      <xdr:rowOff>147164</xdr:rowOff>
    </xdr:from>
    <xdr:to>
      <xdr:col>38</xdr:col>
      <xdr:colOff>390525</xdr:colOff>
      <xdr:row>35</xdr:row>
      <xdr:rowOff>189406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819150</xdr:colOff>
      <xdr:row>26</xdr:row>
      <xdr:rowOff>57150</xdr:rowOff>
    </xdr:from>
    <xdr:to>
      <xdr:col>25</xdr:col>
      <xdr:colOff>485775</xdr:colOff>
      <xdr:row>40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514350</xdr:colOff>
      <xdr:row>39</xdr:row>
      <xdr:rowOff>28575</xdr:rowOff>
    </xdr:from>
    <xdr:to>
      <xdr:col>16</xdr:col>
      <xdr:colOff>180975</xdr:colOff>
      <xdr:row>53</xdr:row>
      <xdr:rowOff>104775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714375</xdr:colOff>
      <xdr:row>7</xdr:row>
      <xdr:rowOff>142875</xdr:rowOff>
    </xdr:from>
    <xdr:to>
      <xdr:col>25</xdr:col>
      <xdr:colOff>381000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494178</xdr:colOff>
      <xdr:row>46</xdr:row>
      <xdr:rowOff>118782</xdr:rowOff>
    </xdr:from>
    <xdr:ext cx="4171881" cy="32099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778" y="9072282"/>
          <a:ext cx="4171881" cy="3209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116320</xdr:colOff>
      <xdr:row>2</xdr:row>
      <xdr:rowOff>0</xdr:rowOff>
    </xdr:from>
    <xdr:to>
      <xdr:col>32</xdr:col>
      <xdr:colOff>235782</xdr:colOff>
      <xdr:row>27</xdr:row>
      <xdr:rowOff>110275</xdr:rowOff>
    </xdr:to>
    <xdr:grpSp>
      <xdr:nvGrpSpPr>
        <xdr:cNvPr id="5" name="Group 4"/>
        <xdr:cNvGrpSpPr/>
      </xdr:nvGrpSpPr>
      <xdr:grpSpPr>
        <a:xfrm>
          <a:off x="11822545" y="457200"/>
          <a:ext cx="6901262" cy="5082325"/>
          <a:chOff x="35192771" y="3538955"/>
          <a:chExt cx="6838101" cy="5003884"/>
        </a:xfrm>
      </xdr:grpSpPr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35192771" y="3538955"/>
            <a:ext cx="6838101" cy="5003884"/>
          </a:xfrm>
          <a:prstGeom prst="rect">
            <a:avLst/>
          </a:prstGeom>
        </xdr:spPr>
      </xdr:pic>
      <xdr:sp macro="" textlink="">
        <xdr:nvSpPr>
          <xdr:cNvPr id="7" name="TextBox 6"/>
          <xdr:cNvSpPr txBox="1"/>
        </xdr:nvSpPr>
        <xdr:spPr>
          <a:xfrm>
            <a:off x="37943118" y="7104529"/>
            <a:ext cx="44569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rgbClr val="FF0000"/>
                </a:solidFill>
              </a:rPr>
              <a:t>f_SR</a:t>
            </a:r>
          </a:p>
        </xdr:txBody>
      </xdr:sp>
    </xdr:grpSp>
    <xdr:clientData/>
  </xdr:twoCellAnchor>
  <xdr:twoCellAnchor editAs="oneCell">
    <xdr:from>
      <xdr:col>21</xdr:col>
      <xdr:colOff>0</xdr:colOff>
      <xdr:row>28</xdr:row>
      <xdr:rowOff>110394</xdr:rowOff>
    </xdr:from>
    <xdr:to>
      <xdr:col>32</xdr:col>
      <xdr:colOff>210662</xdr:colOff>
      <xdr:row>57</xdr:row>
      <xdr:rowOff>11577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06225" y="5730144"/>
          <a:ext cx="6992462" cy="5425683"/>
        </a:xfrm>
        <a:prstGeom prst="rect">
          <a:avLst/>
        </a:prstGeom>
      </xdr:spPr>
    </xdr:pic>
    <xdr:clientData/>
  </xdr:twoCellAnchor>
  <xdr:twoCellAnchor editAs="oneCell">
    <xdr:from>
      <xdr:col>32</xdr:col>
      <xdr:colOff>381000</xdr:colOff>
      <xdr:row>28</xdr:row>
      <xdr:rowOff>9525</xdr:rowOff>
    </xdr:from>
    <xdr:to>
      <xdr:col>44</xdr:col>
      <xdr:colOff>568866</xdr:colOff>
      <xdr:row>58</xdr:row>
      <xdr:rowOff>28575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69025" y="5629275"/>
          <a:ext cx="7503066" cy="5734050"/>
        </a:xfrm>
        <a:prstGeom prst="rect">
          <a:avLst/>
        </a:prstGeom>
      </xdr:spPr>
    </xdr:pic>
    <xdr:clientData/>
  </xdr:twoCellAnchor>
  <xdr:twoCellAnchor editAs="oneCell">
    <xdr:from>
      <xdr:col>32</xdr:col>
      <xdr:colOff>409575</xdr:colOff>
      <xdr:row>1</xdr:row>
      <xdr:rowOff>180975</xdr:rowOff>
    </xdr:from>
    <xdr:to>
      <xdr:col>43</xdr:col>
      <xdr:colOff>456356</xdr:colOff>
      <xdr:row>27</xdr:row>
      <xdr:rowOff>66044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897600" y="447675"/>
          <a:ext cx="6752381" cy="50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28574</xdr:colOff>
      <xdr:row>0</xdr:row>
      <xdr:rowOff>266699</xdr:rowOff>
    </xdr:from>
    <xdr:to>
      <xdr:col>25</xdr:col>
      <xdr:colOff>266700</xdr:colOff>
      <xdr:row>22</xdr:row>
      <xdr:rowOff>85724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676275</xdr:colOff>
      <xdr:row>15</xdr:row>
      <xdr:rowOff>95250</xdr:rowOff>
    </xdr:from>
    <xdr:ext cx="6991350" cy="160722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3162300"/>
          <a:ext cx="6991350" cy="160722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0</xdr:rowOff>
    </xdr:from>
    <xdr:to>
      <xdr:col>7</xdr:col>
      <xdr:colOff>452367</xdr:colOff>
      <xdr:row>21</xdr:row>
      <xdr:rowOff>57150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400050"/>
          <a:ext cx="5272016" cy="3657600"/>
        </a:xfrm>
        <a:prstGeom prst="rect">
          <a:avLst/>
        </a:prstGeom>
      </xdr:spPr>
    </xdr:pic>
    <xdr:clientData/>
  </xdr:twoCellAnchor>
  <xdr:twoCellAnchor editAs="oneCell">
    <xdr:from>
      <xdr:col>8</xdr:col>
      <xdr:colOff>42862</xdr:colOff>
      <xdr:row>3</xdr:row>
      <xdr:rowOff>1</xdr:rowOff>
    </xdr:from>
    <xdr:to>
      <xdr:col>16</xdr:col>
      <xdr:colOff>573954</xdr:colOff>
      <xdr:row>25</xdr:row>
      <xdr:rowOff>171451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48312" y="400051"/>
          <a:ext cx="6017492" cy="4572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14968</xdr:colOff>
      <xdr:row>18</xdr:row>
      <xdr:rowOff>27214</xdr:rowOff>
    </xdr:from>
    <xdr:to>
      <xdr:col>7</xdr:col>
      <xdr:colOff>406854</xdr:colOff>
      <xdr:row>31</xdr:row>
      <xdr:rowOff>151039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18</xdr:row>
      <xdr:rowOff>28575</xdr:rowOff>
    </xdr:from>
    <xdr:to>
      <xdr:col>14</xdr:col>
      <xdr:colOff>246290</xdr:colOff>
      <xdr:row>31</xdr:row>
      <xdr:rowOff>153761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S438" totalsRowShown="0" headerRowDxfId="22" headerRowBorderDxfId="21" tableBorderDxfId="20" totalsRowBorderDxfId="19">
  <autoFilter ref="A2:S438"/>
  <sortState ref="A3:S438">
    <sortCondition ref="A2:A438"/>
  </sortState>
  <tableColumns count="19">
    <tableColumn id="1" name="No." dataDxfId="18"/>
    <tableColumn id="2" name="VMAG" dataDxfId="17"/>
    <tableColumn id="3" name="DIST  " dataDxfId="16"/>
    <tableColumn id="4" name="RADEG " dataDxfId="15"/>
    <tableColumn id="5" name="DECDEG" dataDxfId="14"/>
    <tableColumn id="6" name="NAME" dataDxfId="13" dataCellStyle="Note"/>
    <tableColumn id="7" name="  MASS" dataDxfId="12"/>
    <tableColumn id="8" name="RADIUS" dataDxfId="11"/>
    <tableColumn id="9" name="ALBEDO" dataDxfId="10"/>
    <tableColumn id="10" name="PERIOD" dataDxfId="9"/>
    <tableColumn id="11" name="SMA" dataDxfId="8"/>
    <tableColumn id="12" name="ECC" dataDxfId="7"/>
    <tableColumn id="13" name="s" dataDxfId="6"/>
    <tableColumn id="14" name="smax" dataDxfId="5"/>
    <tableColumn id="15" name="SPEC" dataDxfId="4"/>
    <tableColumn id="16" name="Working Angle" dataDxfId="3" dataCellStyle="Input">
      <calculatedColumnFormula>(K3*AU)/(C3*pc)/Photometry!$AB$19</calculatedColumnFormula>
    </tableColumn>
    <tableColumn id="17" name="GSPEC" dataDxfId="2"/>
    <tableColumn id="19" name="RV Prime List" dataDxfId="1"/>
    <tableColumn id="18" name="Plane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doyJLOBBHJXz7PpactrZDT_oiXu0AWEhz7IhSMOODJU/edit?ts=57f7fac9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9"/>
  <sheetViews>
    <sheetView workbookViewId="0">
      <selection activeCell="D32" sqref="D32"/>
    </sheetView>
  </sheetViews>
  <sheetFormatPr defaultRowHeight="15" x14ac:dyDescent="0.25"/>
  <cols>
    <col min="1" max="1" width="16" style="3" customWidth="1"/>
    <col min="2" max="2" width="13.7109375" style="3" customWidth="1"/>
    <col min="3" max="3" width="107.7109375" customWidth="1"/>
    <col min="4" max="4" width="118.85546875" customWidth="1"/>
    <col min="11" max="11" width="48.85546875" customWidth="1"/>
  </cols>
  <sheetData>
    <row r="1" spans="1:3" s="296" customFormat="1" x14ac:dyDescent="0.25">
      <c r="A1" s="294" t="s">
        <v>873</v>
      </c>
      <c r="B1" s="295"/>
    </row>
    <row r="2" spans="1:3" x14ac:dyDescent="0.25">
      <c r="A2" s="3" t="s">
        <v>870</v>
      </c>
      <c r="B2" s="3" t="s">
        <v>869</v>
      </c>
      <c r="C2" t="s">
        <v>94</v>
      </c>
    </row>
    <row r="3" spans="1:3" x14ac:dyDescent="0.25">
      <c r="A3" s="293">
        <v>42530</v>
      </c>
      <c r="B3" s="3" t="s">
        <v>871</v>
      </c>
      <c r="C3" t="s">
        <v>872</v>
      </c>
    </row>
    <row r="4" spans="1:3" x14ac:dyDescent="0.25">
      <c r="A4" s="293">
        <v>42570</v>
      </c>
      <c r="B4" s="3" t="s">
        <v>874</v>
      </c>
      <c r="C4" t="s">
        <v>879</v>
      </c>
    </row>
    <row r="5" spans="1:3" x14ac:dyDescent="0.25">
      <c r="A5" s="293">
        <v>42574</v>
      </c>
      <c r="B5" s="3" t="s">
        <v>874</v>
      </c>
      <c r="C5" t="s">
        <v>903</v>
      </c>
    </row>
    <row r="6" spans="1:3" x14ac:dyDescent="0.25">
      <c r="A6" s="293">
        <v>42576</v>
      </c>
      <c r="B6" s="3" t="s">
        <v>874</v>
      </c>
      <c r="C6" t="s">
        <v>907</v>
      </c>
    </row>
    <row r="7" spans="1:3" x14ac:dyDescent="0.25">
      <c r="A7" s="293">
        <v>42578</v>
      </c>
      <c r="B7" s="3" t="s">
        <v>871</v>
      </c>
      <c r="C7" t="s">
        <v>910</v>
      </c>
    </row>
    <row r="8" spans="1:3" x14ac:dyDescent="0.25">
      <c r="A8" s="293">
        <v>42579</v>
      </c>
      <c r="B8" s="3" t="s">
        <v>874</v>
      </c>
      <c r="C8" t="s">
        <v>935</v>
      </c>
    </row>
    <row r="9" spans="1:3" x14ac:dyDescent="0.25">
      <c r="A9" s="293">
        <v>42582</v>
      </c>
      <c r="B9" s="3" t="s">
        <v>871</v>
      </c>
      <c r="C9" t="s">
        <v>936</v>
      </c>
    </row>
    <row r="10" spans="1:3" x14ac:dyDescent="0.25">
      <c r="A10" s="293">
        <v>42582</v>
      </c>
      <c r="B10" s="3" t="s">
        <v>874</v>
      </c>
      <c r="C10" t="s">
        <v>938</v>
      </c>
    </row>
    <row r="11" spans="1:3" x14ac:dyDescent="0.25">
      <c r="A11" s="293">
        <v>42582</v>
      </c>
      <c r="B11" s="3" t="s">
        <v>874</v>
      </c>
      <c r="C11" t="s">
        <v>965</v>
      </c>
    </row>
    <row r="12" spans="1:3" x14ac:dyDescent="0.25">
      <c r="A12" s="293">
        <v>42584</v>
      </c>
      <c r="B12" s="3" t="s">
        <v>871</v>
      </c>
      <c r="C12" t="s">
        <v>971</v>
      </c>
    </row>
    <row r="13" spans="1:3" x14ac:dyDescent="0.25">
      <c r="A13" s="293">
        <v>42586</v>
      </c>
      <c r="B13" s="3" t="s">
        <v>871</v>
      </c>
      <c r="C13" t="s">
        <v>972</v>
      </c>
    </row>
    <row r="14" spans="1:3" x14ac:dyDescent="0.25">
      <c r="A14" s="293">
        <v>42586</v>
      </c>
      <c r="B14" s="3" t="s">
        <v>874</v>
      </c>
      <c r="C14" t="s">
        <v>975</v>
      </c>
    </row>
    <row r="15" spans="1:3" x14ac:dyDescent="0.25">
      <c r="A15" s="293">
        <v>42598</v>
      </c>
      <c r="B15" s="3" t="s">
        <v>874</v>
      </c>
      <c r="C15" t="s">
        <v>1010</v>
      </c>
    </row>
    <row r="16" spans="1:3" x14ac:dyDescent="0.25">
      <c r="A16" s="293">
        <v>42626</v>
      </c>
      <c r="B16" s="3" t="s">
        <v>874</v>
      </c>
      <c r="C16" t="s">
        <v>1094</v>
      </c>
    </row>
    <row r="17" spans="1:11" x14ac:dyDescent="0.25">
      <c r="A17" s="293">
        <v>42627</v>
      </c>
      <c r="B17" s="3" t="s">
        <v>874</v>
      </c>
      <c r="C17" t="s">
        <v>1105</v>
      </c>
    </row>
    <row r="18" spans="1:11" x14ac:dyDescent="0.25">
      <c r="A18" s="293">
        <v>42627</v>
      </c>
      <c r="B18" s="3" t="s">
        <v>874</v>
      </c>
      <c r="C18" t="s">
        <v>1113</v>
      </c>
      <c r="D18" t="s">
        <v>1115</v>
      </c>
    </row>
    <row r="19" spans="1:11" x14ac:dyDescent="0.25">
      <c r="A19" s="293">
        <v>42635</v>
      </c>
      <c r="B19" s="3" t="s">
        <v>874</v>
      </c>
      <c r="C19" t="s">
        <v>1122</v>
      </c>
    </row>
    <row r="20" spans="1:11" x14ac:dyDescent="0.25">
      <c r="A20" s="293">
        <v>42660</v>
      </c>
      <c r="B20" s="3" t="s">
        <v>874</v>
      </c>
      <c r="C20" t="s">
        <v>1160</v>
      </c>
    </row>
    <row r="21" spans="1:11" x14ac:dyDescent="0.25">
      <c r="A21" s="293">
        <v>42668</v>
      </c>
      <c r="B21" s="3" t="s">
        <v>874</v>
      </c>
      <c r="C21" t="s">
        <v>1223</v>
      </c>
    </row>
    <row r="22" spans="1:11" x14ac:dyDescent="0.25">
      <c r="A22" s="293">
        <v>42674</v>
      </c>
      <c r="B22" s="3" t="s">
        <v>874</v>
      </c>
      <c r="C22" t="s">
        <v>1224</v>
      </c>
    </row>
    <row r="23" spans="1:11" s="290" customFormat="1" x14ac:dyDescent="0.25">
      <c r="A23" s="293">
        <v>42676</v>
      </c>
      <c r="B23" s="3" t="s">
        <v>874</v>
      </c>
      <c r="C23" s="290" t="s">
        <v>1265</v>
      </c>
    </row>
    <row r="24" spans="1:11" x14ac:dyDescent="0.25">
      <c r="A24" s="293"/>
    </row>
    <row r="25" spans="1:11" x14ac:dyDescent="0.25">
      <c r="A25" s="293"/>
      <c r="K25" s="334"/>
    </row>
    <row r="26" spans="1:11" x14ac:dyDescent="0.25">
      <c r="A26" s="293"/>
    </row>
    <row r="27" spans="1:11" x14ac:dyDescent="0.25">
      <c r="A27" s="293"/>
    </row>
    <row r="28" spans="1:11" x14ac:dyDescent="0.25">
      <c r="A28" s="293"/>
    </row>
    <row r="29" spans="1:11" x14ac:dyDescent="0.25">
      <c r="A29" s="293"/>
    </row>
    <row r="30" spans="1:11" x14ac:dyDescent="0.25">
      <c r="A30" s="293"/>
    </row>
    <row r="31" spans="1:11" x14ac:dyDescent="0.25">
      <c r="A31" s="293"/>
    </row>
    <row r="32" spans="1:11" x14ac:dyDescent="0.25">
      <c r="A32" s="293"/>
    </row>
    <row r="33" spans="1:1" x14ac:dyDescent="0.25">
      <c r="A33" s="293"/>
    </row>
    <row r="34" spans="1:1" x14ac:dyDescent="0.25">
      <c r="A34" s="293"/>
    </row>
    <row r="35" spans="1:1" x14ac:dyDescent="0.25">
      <c r="A35" s="293"/>
    </row>
    <row r="36" spans="1:1" x14ac:dyDescent="0.25">
      <c r="A36" s="293"/>
    </row>
    <row r="37" spans="1:1" x14ac:dyDescent="0.25">
      <c r="A37" s="293"/>
    </row>
    <row r="38" spans="1:1" x14ac:dyDescent="0.25">
      <c r="A38" s="293"/>
    </row>
    <row r="39" spans="1:1" x14ac:dyDescent="0.25">
      <c r="A39" s="293"/>
    </row>
    <row r="40" spans="1:1" x14ac:dyDescent="0.25">
      <c r="A40" s="293"/>
    </row>
    <row r="41" spans="1:1" x14ac:dyDescent="0.25">
      <c r="A41" s="293"/>
    </row>
    <row r="42" spans="1:1" x14ac:dyDescent="0.25">
      <c r="A42" s="293"/>
    </row>
    <row r="43" spans="1:1" x14ac:dyDescent="0.25">
      <c r="A43" s="293"/>
    </row>
    <row r="44" spans="1:1" x14ac:dyDescent="0.25">
      <c r="A44" s="293"/>
    </row>
    <row r="45" spans="1:1" x14ac:dyDescent="0.25">
      <c r="A45" s="293"/>
    </row>
    <row r="46" spans="1:1" x14ac:dyDescent="0.25">
      <c r="A46" s="293"/>
    </row>
    <row r="47" spans="1:1" x14ac:dyDescent="0.25">
      <c r="A47" s="293"/>
    </row>
    <row r="48" spans="1:1" x14ac:dyDescent="0.25">
      <c r="A48" s="293"/>
    </row>
    <row r="49" spans="1:1" x14ac:dyDescent="0.25">
      <c r="A49" s="293"/>
    </row>
    <row r="50" spans="1:1" x14ac:dyDescent="0.25">
      <c r="A50" s="293"/>
    </row>
    <row r="51" spans="1:1" x14ac:dyDescent="0.25">
      <c r="A51" s="293"/>
    </row>
    <row r="52" spans="1:1" x14ac:dyDescent="0.25">
      <c r="A52" s="293"/>
    </row>
    <row r="53" spans="1:1" x14ac:dyDescent="0.25">
      <c r="A53" s="293"/>
    </row>
    <row r="54" spans="1:1" x14ac:dyDescent="0.25">
      <c r="A54" s="293"/>
    </row>
    <row r="55" spans="1:1" x14ac:dyDescent="0.25">
      <c r="A55" s="293"/>
    </row>
    <row r="56" spans="1:1" x14ac:dyDescent="0.25">
      <c r="A56" s="293"/>
    </row>
    <row r="57" spans="1:1" x14ac:dyDescent="0.25">
      <c r="A57" s="293"/>
    </row>
    <row r="58" spans="1:1" x14ac:dyDescent="0.25">
      <c r="A58" s="293"/>
    </row>
    <row r="59" spans="1:1" x14ac:dyDescent="0.25">
      <c r="A59" s="29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D435"/>
  <sheetViews>
    <sheetView zoomScaleNormal="100" workbookViewId="0">
      <selection activeCell="BF36" sqref="BF36"/>
    </sheetView>
  </sheetViews>
  <sheetFormatPr defaultRowHeight="15" x14ac:dyDescent="0.25"/>
  <cols>
    <col min="1" max="1" width="1.5703125" customWidth="1"/>
    <col min="2" max="2" width="3.140625" customWidth="1"/>
    <col min="3" max="3" width="19.5703125" customWidth="1"/>
    <col min="4" max="4" width="11.85546875" customWidth="1"/>
    <col min="5" max="5" width="8.140625" customWidth="1"/>
    <col min="6" max="6" width="17.140625" customWidth="1"/>
    <col min="7" max="7" width="1.5703125" customWidth="1"/>
    <col min="8" max="8" width="2" customWidth="1"/>
    <col min="9" max="9" width="1.5703125" customWidth="1"/>
    <col min="10" max="10" width="3.140625" customWidth="1"/>
    <col min="11" max="11" width="17.85546875" customWidth="1"/>
    <col min="12" max="12" width="11.85546875" customWidth="1"/>
    <col min="13" max="13" width="6.5703125" customWidth="1"/>
    <col min="14" max="14" width="22.28515625" customWidth="1"/>
    <col min="15" max="15" width="1.5703125" customWidth="1"/>
    <col min="16" max="16" width="2" customWidth="1"/>
    <col min="17" max="17" width="1.5703125" customWidth="1"/>
    <col min="18" max="18" width="3.140625" customWidth="1"/>
    <col min="19" max="19" width="20" customWidth="1"/>
    <col min="20" max="20" width="11.85546875" customWidth="1"/>
    <col min="21" max="21" width="11.28515625" customWidth="1"/>
    <col min="22" max="22" width="25" customWidth="1"/>
    <col min="23" max="23" width="1.5703125" customWidth="1"/>
    <col min="24" max="24" width="2" customWidth="1"/>
    <col min="25" max="25" width="1.5703125" customWidth="1"/>
    <col min="26" max="26" width="3.140625" customWidth="1"/>
    <col min="27" max="27" width="19.7109375" customWidth="1"/>
    <col min="28" max="30" width="11.5703125" customWidth="1"/>
    <col min="31" max="31" width="38.28515625" customWidth="1"/>
    <col min="32" max="32" width="2.85546875" customWidth="1"/>
    <col min="33" max="33" width="2" customWidth="1"/>
    <col min="34" max="34" width="1.5703125" customWidth="1"/>
    <col min="35" max="35" width="3.140625" customWidth="1"/>
    <col min="36" max="36" width="16.5703125" customWidth="1"/>
    <col min="37" max="37" width="11.85546875" customWidth="1"/>
    <col min="38" max="38" width="9.5703125" customWidth="1"/>
    <col min="39" max="39" width="25.85546875" customWidth="1"/>
    <col min="40" max="40" width="1.5703125" customWidth="1"/>
    <col min="41" max="41" width="2" customWidth="1"/>
    <col min="42" max="42" width="2.5703125" customWidth="1"/>
    <col min="43" max="43" width="5.140625" style="3" customWidth="1"/>
    <col min="44" max="44" width="8" style="626" customWidth="1"/>
    <col min="45" max="54" width="11" style="626" customWidth="1"/>
    <col min="55" max="55" width="9.28515625" style="626" customWidth="1"/>
    <col min="56" max="56" width="11" style="626" customWidth="1"/>
    <col min="57" max="67" width="11" style="11" customWidth="1"/>
  </cols>
  <sheetData>
    <row r="1" spans="1:82" ht="21" x14ac:dyDescent="0.35">
      <c r="A1" s="344"/>
      <c r="B1" s="345" t="s">
        <v>939</v>
      </c>
      <c r="C1" s="345"/>
      <c r="D1" s="344"/>
      <c r="E1" s="344"/>
      <c r="F1" s="344"/>
      <c r="G1" s="344"/>
      <c r="H1" s="256"/>
      <c r="I1" s="342"/>
      <c r="J1" s="327" t="s">
        <v>940</v>
      </c>
      <c r="K1" s="342"/>
      <c r="L1" s="342"/>
      <c r="M1" s="342"/>
      <c r="N1" s="342"/>
      <c r="O1" s="342"/>
      <c r="P1" s="256"/>
      <c r="Q1" s="231"/>
      <c r="R1" s="232" t="s">
        <v>926</v>
      </c>
      <c r="S1" s="231"/>
      <c r="T1" s="231"/>
      <c r="U1" s="231"/>
      <c r="V1" s="231"/>
      <c r="W1" s="231"/>
      <c r="X1" s="256"/>
      <c r="Y1" s="306"/>
      <c r="Z1" s="307" t="s">
        <v>942</v>
      </c>
      <c r="AA1" s="306"/>
      <c r="AB1" s="306"/>
      <c r="AC1" s="306"/>
      <c r="AD1" s="306"/>
      <c r="AE1" s="306"/>
      <c r="AF1" s="306"/>
      <c r="AG1" s="256"/>
      <c r="AH1" s="94"/>
      <c r="AI1" s="101" t="s">
        <v>868</v>
      </c>
      <c r="AJ1" s="94"/>
      <c r="AK1" s="94"/>
      <c r="AL1" s="95"/>
      <c r="AM1" s="96"/>
      <c r="AN1" s="93"/>
      <c r="AO1" s="256"/>
      <c r="AP1" s="221"/>
      <c r="AQ1" s="221" t="s">
        <v>1121</v>
      </c>
      <c r="AR1" s="625"/>
      <c r="AS1" s="625"/>
      <c r="AT1" s="625"/>
      <c r="AU1" s="625"/>
      <c r="AV1" s="625"/>
      <c r="AW1" s="625"/>
      <c r="AX1" s="625"/>
      <c r="AY1" s="625"/>
      <c r="AZ1" s="625"/>
      <c r="BA1" s="625"/>
      <c r="BB1" s="625"/>
      <c r="BC1" s="625"/>
      <c r="BD1" s="625"/>
      <c r="BE1" s="616"/>
      <c r="BF1" s="616"/>
      <c r="BG1" s="616"/>
      <c r="BH1" s="616"/>
      <c r="BI1" s="616"/>
      <c r="BJ1" s="616"/>
      <c r="BK1" s="616"/>
      <c r="BL1" s="616"/>
      <c r="BM1" s="616"/>
      <c r="BN1" s="616"/>
      <c r="BO1" s="616"/>
    </row>
    <row r="2" spans="1:82" ht="15.75" x14ac:dyDescent="0.25">
      <c r="H2" s="256"/>
      <c r="K2" s="290"/>
      <c r="L2" s="290"/>
      <c r="M2" s="290"/>
      <c r="N2" s="290"/>
      <c r="P2" s="256"/>
      <c r="R2" s="117" t="s">
        <v>740</v>
      </c>
      <c r="X2" s="256"/>
      <c r="Z2" t="s">
        <v>943</v>
      </c>
      <c r="AG2" s="256"/>
      <c r="AH2" s="16"/>
      <c r="AI2" s="117" t="s">
        <v>836</v>
      </c>
      <c r="AK2" s="81"/>
      <c r="AO2" s="256"/>
      <c r="AP2" s="290"/>
      <c r="BR2" s="235"/>
      <c r="BS2" s="236" t="s">
        <v>832</v>
      </c>
      <c r="BT2" s="237"/>
      <c r="BU2" s="237"/>
      <c r="BV2" s="237"/>
      <c r="BW2" s="237"/>
      <c r="BX2" s="237"/>
      <c r="BY2" s="237"/>
      <c r="BZ2" s="237"/>
      <c r="CA2" s="237"/>
      <c r="CB2" s="237"/>
      <c r="CC2" s="237"/>
      <c r="CD2" s="38"/>
    </row>
    <row r="3" spans="1:82" ht="15.75" x14ac:dyDescent="0.25">
      <c r="B3" s="299" t="s">
        <v>941</v>
      </c>
      <c r="D3" s="324" t="s">
        <v>1141</v>
      </c>
      <c r="F3" s="36"/>
      <c r="H3" s="256"/>
      <c r="I3" s="290"/>
      <c r="J3" s="315" t="s">
        <v>852</v>
      </c>
      <c r="K3" s="313"/>
      <c r="L3" s="316" t="str">
        <f>VLOOKUP($D$3,scenario_table,5,FALSE)</f>
        <v>Imaging</v>
      </c>
      <c r="M3" s="246"/>
      <c r="N3" s="36"/>
      <c r="P3" s="256"/>
      <c r="R3" s="117"/>
      <c r="S3" s="109" t="s">
        <v>203</v>
      </c>
      <c r="T3" s="110" t="s">
        <v>93</v>
      </c>
      <c r="U3" s="111" t="s">
        <v>204</v>
      </c>
      <c r="V3" s="262" t="s">
        <v>94</v>
      </c>
      <c r="X3" s="256"/>
      <c r="AA3" s="312" t="s">
        <v>888</v>
      </c>
      <c r="AB3" s="122" t="s">
        <v>880</v>
      </c>
      <c r="AC3" s="122" t="s">
        <v>887</v>
      </c>
      <c r="AD3" s="122" t="s">
        <v>42</v>
      </c>
      <c r="AE3" s="312" t="s">
        <v>891</v>
      </c>
      <c r="AG3" s="256"/>
      <c r="AI3" s="82"/>
      <c r="AJ3" s="109" t="s">
        <v>203</v>
      </c>
      <c r="AK3" s="110" t="s">
        <v>93</v>
      </c>
      <c r="AL3" s="111" t="s">
        <v>204</v>
      </c>
      <c r="AM3" s="131" t="s">
        <v>94</v>
      </c>
      <c r="AO3" s="256"/>
      <c r="AP3" s="290"/>
      <c r="AR3" s="637">
        <v>42674</v>
      </c>
      <c r="AS3" s="637"/>
      <c r="BU3" s="290"/>
    </row>
    <row r="4" spans="1:82" ht="15.75" x14ac:dyDescent="0.25">
      <c r="B4" s="299" t="s">
        <v>785</v>
      </c>
      <c r="C4" s="288"/>
      <c r="D4" s="278">
        <v>5</v>
      </c>
      <c r="E4" s="290"/>
      <c r="F4" s="36"/>
      <c r="H4" s="256"/>
      <c r="J4" s="315" t="s">
        <v>889</v>
      </c>
      <c r="K4" s="314"/>
      <c r="L4" s="559">
        <f>VLOOKUP($D$3,scenario_table,3,FALSE)</f>
        <v>5.6499999999999999E-7</v>
      </c>
      <c r="M4" s="247" t="s">
        <v>32</v>
      </c>
      <c r="N4" s="36" t="s">
        <v>99</v>
      </c>
      <c r="P4" s="256"/>
      <c r="S4" s="292" t="s">
        <v>749</v>
      </c>
      <c r="T4" s="338">
        <v>3.0000000000000001E-5</v>
      </c>
      <c r="U4" s="302" t="s">
        <v>750</v>
      </c>
      <c r="V4" s="303" t="s">
        <v>1138</v>
      </c>
      <c r="X4" s="256"/>
      <c r="AA4" s="347" t="s">
        <v>886</v>
      </c>
      <c r="AB4" s="348">
        <v>0.1</v>
      </c>
      <c r="AC4" s="349">
        <v>5.5000000000000003E-7</v>
      </c>
      <c r="AD4" s="350">
        <v>0</v>
      </c>
      <c r="AE4" s="347" t="s">
        <v>787</v>
      </c>
      <c r="AG4" s="256"/>
      <c r="AJ4" s="107" t="s">
        <v>721</v>
      </c>
      <c r="AK4" s="115">
        <v>5</v>
      </c>
      <c r="AL4" s="113" t="s">
        <v>4</v>
      </c>
      <c r="AM4" s="132"/>
      <c r="AO4" s="256"/>
      <c r="AP4" s="290"/>
      <c r="BR4" s="38" t="s">
        <v>802</v>
      </c>
      <c r="BS4" s="38"/>
      <c r="BT4" s="38"/>
      <c r="BU4" s="38"/>
      <c r="BV4" s="38"/>
      <c r="BW4" s="38"/>
      <c r="BX4" s="38"/>
      <c r="BY4" s="38"/>
      <c r="BZ4" s="38"/>
      <c r="CA4" s="38"/>
    </row>
    <row r="5" spans="1:82" ht="15.75" x14ac:dyDescent="0.25">
      <c r="A5" s="290"/>
      <c r="B5" s="299" t="s">
        <v>821</v>
      </c>
      <c r="C5" s="288"/>
      <c r="D5" s="277" t="s">
        <v>763</v>
      </c>
      <c r="E5" s="246"/>
      <c r="F5" s="36"/>
      <c r="G5" s="290"/>
      <c r="H5" s="256"/>
      <c r="J5" s="315" t="s">
        <v>915</v>
      </c>
      <c r="K5" s="314"/>
      <c r="L5" s="317">
        <f>VLOOKUP($D$3,scenario_table,2,FALSE)</f>
        <v>0.1</v>
      </c>
      <c r="M5" s="247" t="s">
        <v>822</v>
      </c>
      <c r="N5" s="36" t="s">
        <v>100</v>
      </c>
      <c r="P5" s="256"/>
      <c r="Q5" s="248"/>
      <c r="S5" s="292" t="s">
        <v>751</v>
      </c>
      <c r="T5" s="338">
        <v>2E-3</v>
      </c>
      <c r="U5" s="302" t="s">
        <v>752</v>
      </c>
      <c r="V5" s="303" t="s">
        <v>1138</v>
      </c>
      <c r="W5" s="248"/>
      <c r="X5" s="256"/>
      <c r="AA5" s="347" t="s">
        <v>881</v>
      </c>
      <c r="AB5" s="348">
        <f>HLCdesignBW</f>
        <v>0.1</v>
      </c>
      <c r="AC5" s="349">
        <v>4.4999999999999998E-7</v>
      </c>
      <c r="AD5" s="350">
        <v>0</v>
      </c>
      <c r="AE5" s="347" t="s">
        <v>787</v>
      </c>
      <c r="AG5" s="256"/>
      <c r="AH5" s="290"/>
      <c r="AI5" s="290"/>
      <c r="AJ5" s="107" t="s">
        <v>722</v>
      </c>
      <c r="AK5" s="115">
        <v>12</v>
      </c>
      <c r="AL5" s="113" t="s">
        <v>33</v>
      </c>
      <c r="AM5" s="132"/>
      <c r="AN5" s="290"/>
      <c r="AO5" s="256"/>
      <c r="AP5" s="290"/>
      <c r="AR5" s="626" t="s">
        <v>1229</v>
      </c>
      <c r="AS5" s="627"/>
      <c r="AT5" s="627"/>
      <c r="AU5" s="627"/>
      <c r="AV5" s="627"/>
      <c r="AW5" s="627"/>
      <c r="AX5" s="627"/>
      <c r="AY5" s="627"/>
      <c r="AZ5" s="627"/>
      <c r="BA5" s="627"/>
      <c r="BB5" s="627"/>
      <c r="BC5" s="627"/>
      <c r="BD5" s="627"/>
      <c r="BE5" s="617"/>
      <c r="BF5" s="617"/>
      <c r="BR5" s="38" t="s">
        <v>803</v>
      </c>
      <c r="BS5" s="38"/>
      <c r="BT5" s="38"/>
      <c r="BU5" s="38"/>
      <c r="BV5" s="38"/>
      <c r="BW5" s="38"/>
      <c r="BX5" s="38"/>
      <c r="BY5" s="38"/>
      <c r="BZ5" s="38"/>
      <c r="CA5" s="38"/>
    </row>
    <row r="6" spans="1:82" ht="15.75" x14ac:dyDescent="0.25">
      <c r="A6" s="290"/>
      <c r="B6" s="299" t="s">
        <v>911</v>
      </c>
      <c r="C6" s="288"/>
      <c r="D6" s="333" t="s">
        <v>78</v>
      </c>
      <c r="E6" s="579" t="s">
        <v>4</v>
      </c>
      <c r="F6" s="580" t="s">
        <v>809</v>
      </c>
      <c r="G6" s="290"/>
      <c r="H6" s="256"/>
      <c r="I6" s="38"/>
      <c r="J6" s="315" t="s">
        <v>102</v>
      </c>
      <c r="K6" s="314"/>
      <c r="L6" s="316">
        <f>VLOOKUP($D$3,scenario_table,4,FALSE)</f>
        <v>0</v>
      </c>
      <c r="M6" s="247" t="s">
        <v>42</v>
      </c>
      <c r="O6" s="38"/>
      <c r="P6" s="256"/>
      <c r="S6" s="107" t="s">
        <v>825</v>
      </c>
      <c r="T6" s="323">
        <f>HLOOKUP(D5,Detector_Table,2)</f>
        <v>0</v>
      </c>
      <c r="U6" s="275" t="s">
        <v>730</v>
      </c>
      <c r="V6" s="255" t="s">
        <v>924</v>
      </c>
      <c r="X6" s="256"/>
      <c r="AA6" s="347" t="s">
        <v>882</v>
      </c>
      <c r="AB6" s="348">
        <f>HLCdesignBW</f>
        <v>0.1</v>
      </c>
      <c r="AC6" s="349">
        <v>5.6499999999999999E-7</v>
      </c>
      <c r="AD6" s="350">
        <v>0</v>
      </c>
      <c r="AE6" s="347" t="s">
        <v>787</v>
      </c>
      <c r="AG6" s="256"/>
      <c r="AJ6" s="107" t="s">
        <v>1103</v>
      </c>
      <c r="AK6" s="115">
        <f>AK4-5*(LOG10(AK5)-1)</f>
        <v>4.6040937697618753</v>
      </c>
      <c r="AL6" s="113" t="s">
        <v>4</v>
      </c>
      <c r="AM6" s="255" t="s">
        <v>1104</v>
      </c>
      <c r="AO6" s="256"/>
      <c r="AP6" s="290"/>
      <c r="AR6" s="618" t="s">
        <v>1228</v>
      </c>
      <c r="AS6" s="619"/>
      <c r="AT6" s="619"/>
      <c r="AU6" s="619"/>
      <c r="AV6" s="619"/>
      <c r="AW6" s="619"/>
      <c r="AX6" s="619"/>
      <c r="AY6" s="619"/>
      <c r="AZ6" s="619"/>
      <c r="BA6" s="619"/>
      <c r="BB6" s="619"/>
      <c r="BC6" s="619"/>
      <c r="BD6" s="619"/>
      <c r="BE6" s="619"/>
      <c r="BF6" s="619"/>
      <c r="BR6" s="118" t="s">
        <v>797</v>
      </c>
      <c r="BS6" s="141"/>
      <c r="BT6" s="141"/>
      <c r="BU6" s="141"/>
      <c r="BV6" s="141"/>
      <c r="BW6" s="141"/>
      <c r="BX6" s="141"/>
      <c r="BY6" s="141"/>
      <c r="BZ6" s="141"/>
    </row>
    <row r="7" spans="1:82" ht="15.75" x14ac:dyDescent="0.25">
      <c r="A7" s="290"/>
      <c r="B7" s="300" t="s">
        <v>909</v>
      </c>
      <c r="C7" s="301"/>
      <c r="D7" s="332">
        <v>9</v>
      </c>
      <c r="E7" s="581">
        <f>AK4</f>
        <v>5</v>
      </c>
      <c r="F7" s="582" t="str">
        <f>AK8</f>
        <v>47Uma</v>
      </c>
      <c r="G7" s="290"/>
      <c r="H7" s="256"/>
      <c r="J7" s="117" t="s">
        <v>808</v>
      </c>
      <c r="P7" s="256"/>
      <c r="Q7" s="38"/>
      <c r="S7" s="107" t="s">
        <v>742</v>
      </c>
      <c r="T7" s="323">
        <f>HLOOKUP(D5,Detector_Table,3)</f>
        <v>1000</v>
      </c>
      <c r="U7" s="275" t="s">
        <v>743</v>
      </c>
      <c r="V7" s="287">
        <f>T6/T7</f>
        <v>0</v>
      </c>
      <c r="W7" s="38"/>
      <c r="X7" s="256"/>
      <c r="AA7" s="347" t="s">
        <v>883</v>
      </c>
      <c r="AB7" s="348">
        <f>SPCdesignBW</f>
        <v>0.18</v>
      </c>
      <c r="AC7" s="349">
        <v>6.6000000000000003E-7</v>
      </c>
      <c r="AD7" s="350">
        <v>70</v>
      </c>
      <c r="AE7" s="347" t="s">
        <v>784</v>
      </c>
      <c r="AG7" s="256"/>
      <c r="AJ7" s="107" t="s">
        <v>1123</v>
      </c>
      <c r="AK7" s="115" t="str">
        <f>INDEX(stellarClass, Photometry!D7)</f>
        <v>g0v</v>
      </c>
      <c r="AL7" s="113" t="s">
        <v>1124</v>
      </c>
      <c r="AM7" s="255" t="s">
        <v>1125</v>
      </c>
      <c r="AO7" s="256"/>
      <c r="AP7" s="290"/>
      <c r="AR7" s="618"/>
      <c r="AS7" s="619"/>
      <c r="AT7" s="619"/>
      <c r="AU7" s="619"/>
      <c r="AV7" s="619"/>
      <c r="AW7" s="619"/>
      <c r="AX7" s="619"/>
      <c r="AY7" s="619"/>
      <c r="AZ7" s="619"/>
      <c r="BA7" s="619"/>
      <c r="BB7" s="619"/>
      <c r="BC7" s="619"/>
      <c r="BD7" s="619"/>
      <c r="BE7" s="619"/>
      <c r="BF7" s="619"/>
      <c r="BS7" s="241" t="s">
        <v>82</v>
      </c>
      <c r="BT7" s="241" t="s">
        <v>83</v>
      </c>
      <c r="BU7" s="241" t="s">
        <v>84</v>
      </c>
      <c r="BV7" s="241" t="s">
        <v>85</v>
      </c>
      <c r="BW7" s="241" t="s">
        <v>86</v>
      </c>
      <c r="BX7" s="241" t="s">
        <v>87</v>
      </c>
      <c r="BY7" s="241" t="s">
        <v>88</v>
      </c>
      <c r="BZ7" s="241" t="s">
        <v>89</v>
      </c>
      <c r="CA7" s="241" t="s">
        <v>90</v>
      </c>
    </row>
    <row r="8" spans="1:82" ht="15.75" x14ac:dyDescent="0.25">
      <c r="A8" s="290"/>
      <c r="B8" s="299" t="s">
        <v>829</v>
      </c>
      <c r="C8" s="288"/>
      <c r="D8" s="276">
        <v>30</v>
      </c>
      <c r="E8" s="291" t="s">
        <v>224</v>
      </c>
      <c r="F8" s="36" t="s">
        <v>820</v>
      </c>
      <c r="G8" s="290"/>
      <c r="H8" s="256"/>
      <c r="K8" s="109" t="s">
        <v>203</v>
      </c>
      <c r="L8" s="110" t="s">
        <v>93</v>
      </c>
      <c r="M8" s="111" t="s">
        <v>204</v>
      </c>
      <c r="N8" s="262" t="s">
        <v>94</v>
      </c>
      <c r="P8" s="256"/>
      <c r="S8" s="103" t="s">
        <v>211</v>
      </c>
      <c r="T8" s="330">
        <f>0.9*HLOOKUP(D5,Detector_Table,6)</f>
        <v>0.72000000000000008</v>
      </c>
      <c r="U8" s="105" t="s">
        <v>210</v>
      </c>
      <c r="V8" s="255" t="s">
        <v>905</v>
      </c>
      <c r="X8" s="256"/>
      <c r="AA8" s="347" t="s">
        <v>884</v>
      </c>
      <c r="AB8" s="348">
        <f>SPCdesignBW</f>
        <v>0.18</v>
      </c>
      <c r="AC8" s="349">
        <v>7.7000000000000004E-7</v>
      </c>
      <c r="AD8" s="350">
        <v>70</v>
      </c>
      <c r="AE8" s="347" t="s">
        <v>784</v>
      </c>
      <c r="AG8" s="256"/>
      <c r="AJ8" s="107" t="s">
        <v>834</v>
      </c>
      <c r="AK8" s="114" t="str">
        <f>VLOOKUP($D$7,RVPrime,21)</f>
        <v>47Uma</v>
      </c>
      <c r="AL8" s="233" t="s">
        <v>822</v>
      </c>
      <c r="AM8" s="132"/>
      <c r="AO8" s="256"/>
      <c r="AP8" s="290"/>
      <c r="AR8" s="618" t="s">
        <v>1230</v>
      </c>
      <c r="AS8" s="619"/>
      <c r="AT8" s="619"/>
      <c r="AU8" s="619"/>
      <c r="AV8" s="619"/>
      <c r="AW8" s="619"/>
      <c r="AX8" s="619"/>
      <c r="AY8" s="619"/>
      <c r="AZ8" s="619"/>
      <c r="BA8" s="619"/>
      <c r="BB8" s="619"/>
      <c r="BC8" s="619"/>
      <c r="BD8" s="619"/>
      <c r="BE8" s="619"/>
      <c r="BF8" s="619"/>
      <c r="BS8" s="200">
        <f>SUMIFS(Spectra!C3:C803,Spectra!$A$3:$A$803,"&gt;="&amp;Photometry!$L$9,Spectra!$A$3:$A$803,"&lt;="&amp;Photometry!$L$10)*Photometry!$L$11*10^(-0.4*Photometry!$AK$4)*(Photometry!L4/(h_planck*c_light))</f>
        <v>53609875.525517322</v>
      </c>
      <c r="BT8" s="200">
        <f>SUMIFS(Spectra!D3:D803,Spectra!$A$3:$A$803,"&gt;="&amp;Photometry!$L$9,Spectra!$A$3:$A$803,"&lt;="&amp;Photometry!$L$10)*Photometry!$L$11*10^(-0.4*Photometry!$AK$4)*(Photometry!L4/(h_planck*c_light))</f>
        <v>55241626.200489379</v>
      </c>
      <c r="BU8" s="200">
        <f>SUMIFS(Spectra!E3:E803,Spectra!$A$3:$A$803,"&gt;="&amp;Photometry!$L$9,Spectra!$A$3:$A$803,"&lt;="&amp;Photometry!$L$10)*Photometry!$L$11*10^(-0.4*Photometry!$AK$4)*(Photometry!L4/(h_planck*c_light))</f>
        <v>57774581.507404625</v>
      </c>
      <c r="BV8" s="200">
        <f>SUMIFS(Spectra!F3:F803,Spectra!$A$3:$A$803,"&gt;="&amp;Photometry!$L$9,Spectra!$A$3:$A$803,"&lt;="&amp;Photometry!$L$10)*Photometry!$L$11*10^(-0.4*Photometry!$AK$4)*(Photometry!L4/(h_planck*c_light))</f>
        <v>58234601.603567518</v>
      </c>
      <c r="BW8" s="200">
        <f>SUMIFS(Spectra!G3:G803,Spectra!$A$3:$A$803,"&gt;="&amp;Photometry!$L$9,Spectra!$A$3:$A$803,"&lt;="&amp;Photometry!$L$10)*Photometry!$L$11*10^(-0.4*Photometry!$AK$4)*(Photometry!L4/(h_planck*c_light))</f>
        <v>58599767.228139341</v>
      </c>
      <c r="BX8" s="200">
        <f>SUMIFS(Spectra!H3:H803,Spectra!$A$3:$A$803,"&gt;="&amp;Photometry!$L$9,Spectra!$A$3:$A$803,"&lt;="&amp;Photometry!$L$10)*Photometry!$L$11*10^(-0.4*Photometry!$AK$4)*(Photometry!L4/(h_planck*c_light))</f>
        <v>61841694.377080142</v>
      </c>
      <c r="BY8" s="200">
        <f>SUMIFS(Spectra!I3:I803,Spectra!$A$3:$A$803,"&gt;="&amp;Photometry!$L$9,Spectra!$A$3:$A$803,"&lt;="&amp;Photometry!$L$10)*Photometry!$L$11*10^(-0.4*Photometry!$AK$4)*(Photometry!L4/(h_planck*c_light))</f>
        <v>64591991.521073833</v>
      </c>
      <c r="BZ8" s="200">
        <f>SUMIFS(Spectra!J3:J803,Spectra!$A$3:$A$803,"&gt;="&amp;Photometry!$L$9,Spectra!$A$3:$A$803,"&lt;="&amp;Photometry!$L$10)*Photometry!$L$11*10^(-0.4*Photometry!$AK$4)*(Photometry!L4/(h_planck*c_light))</f>
        <v>66288441.867276572</v>
      </c>
      <c r="CA8" s="200">
        <f>SUMIFS(Spectra!K3:K803,Spectra!$A$3:$A$803,"&gt;="&amp;Photometry!$L$9,Spectra!$A$3:$A$803,"&lt;="&amp;Photometry!$L$10)*Photometry!$L$11*10^(-0.4*Photometry!$AK$4)*(Photometry!L4/(h_planck*c_light))</f>
        <v>60571964.71577546</v>
      </c>
    </row>
    <row r="9" spans="1:82" ht="15.75" x14ac:dyDescent="0.25">
      <c r="A9" s="290"/>
      <c r="B9" s="299" t="s">
        <v>895</v>
      </c>
      <c r="C9" s="288"/>
      <c r="D9" s="514">
        <v>0.1</v>
      </c>
      <c r="E9" s="291" t="s">
        <v>775</v>
      </c>
      <c r="F9" s="36" t="s">
        <v>896</v>
      </c>
      <c r="G9" s="290"/>
      <c r="H9" s="256"/>
      <c r="K9" s="243" t="s">
        <v>804</v>
      </c>
      <c r="L9" s="242">
        <f>Photometry!L4-(Photometry!L4*Photometry!L5/2)</f>
        <v>5.3674999999999999E-7</v>
      </c>
      <c r="M9" s="113" t="s">
        <v>32</v>
      </c>
      <c r="N9" s="287" t="s">
        <v>807</v>
      </c>
      <c r="P9" s="256"/>
      <c r="S9" s="103" t="s">
        <v>862</v>
      </c>
      <c r="T9" s="282">
        <f>HLOOKUP(D5,Detector_Table,5)</f>
        <v>13</v>
      </c>
      <c r="U9" s="119" t="s">
        <v>863</v>
      </c>
      <c r="V9" s="255"/>
      <c r="X9" s="256"/>
      <c r="AA9" s="347" t="s">
        <v>885</v>
      </c>
      <c r="AB9" s="348">
        <f>SPCdesignBW</f>
        <v>0.18</v>
      </c>
      <c r="AC9" s="349">
        <v>8.8999999999999995E-7</v>
      </c>
      <c r="AD9" s="350">
        <v>70</v>
      </c>
      <c r="AE9" s="347" t="s">
        <v>784</v>
      </c>
      <c r="AG9" s="256"/>
      <c r="AJ9" s="107" t="s">
        <v>723</v>
      </c>
      <c r="AK9" s="115">
        <f>VLOOKUP($D$7,RVPrime,6)</f>
        <v>0.54577399999999998</v>
      </c>
      <c r="AL9" s="113" t="s">
        <v>727</v>
      </c>
      <c r="AM9" s="132"/>
      <c r="AO9" s="256"/>
      <c r="AP9" s="290"/>
      <c r="AR9" s="618"/>
      <c r="AS9" s="619" t="s">
        <v>1234</v>
      </c>
      <c r="AT9" s="619"/>
      <c r="AU9" s="619" t="s">
        <v>1262</v>
      </c>
      <c r="AV9" s="619" t="s">
        <v>1233</v>
      </c>
      <c r="AW9" s="619" t="s">
        <v>1235</v>
      </c>
      <c r="AX9" s="619" t="s">
        <v>989</v>
      </c>
      <c r="AY9" s="619" t="s">
        <v>1236</v>
      </c>
      <c r="AZ9" s="619"/>
      <c r="BA9" s="590" t="s">
        <v>729</v>
      </c>
      <c r="BB9" s="619" t="s">
        <v>1231</v>
      </c>
      <c r="BC9" s="619"/>
      <c r="BD9" s="619"/>
      <c r="BE9" s="619"/>
      <c r="BF9" s="619"/>
    </row>
    <row r="10" spans="1:82" ht="15.75" x14ac:dyDescent="0.25">
      <c r="A10" s="290"/>
      <c r="B10" s="299" t="s">
        <v>1112</v>
      </c>
      <c r="C10" s="288"/>
      <c r="D10" s="583">
        <v>65</v>
      </c>
      <c r="E10" s="584" t="s">
        <v>21</v>
      </c>
      <c r="F10" s="585" t="s">
        <v>1217</v>
      </c>
      <c r="G10" s="290"/>
      <c r="H10" s="256"/>
      <c r="K10" s="244" t="s">
        <v>805</v>
      </c>
      <c r="L10" s="242">
        <f>Photometry!L4+(Photometry!L4*Photometry!L5/2)</f>
        <v>5.9325E-7</v>
      </c>
      <c r="M10" s="113" t="s">
        <v>32</v>
      </c>
      <c r="N10" s="287" t="s">
        <v>806</v>
      </c>
      <c r="P10" s="256"/>
      <c r="S10" s="103" t="s">
        <v>783</v>
      </c>
      <c r="T10" s="336">
        <f>HLOOKUP(L3,Focal_plane_table,3)</f>
        <v>1</v>
      </c>
      <c r="U10" s="105" t="s">
        <v>168</v>
      </c>
      <c r="V10" s="255" t="s">
        <v>922</v>
      </c>
      <c r="X10" s="256"/>
      <c r="AA10" s="347" t="s">
        <v>1140</v>
      </c>
      <c r="AB10" s="348">
        <f>SPCdesignBW</f>
        <v>0.18</v>
      </c>
      <c r="AC10" s="349">
        <v>6.6000000000000003E-7</v>
      </c>
      <c r="AD10" s="350">
        <v>50</v>
      </c>
      <c r="AE10" s="347" t="s">
        <v>784</v>
      </c>
      <c r="AG10" s="256"/>
      <c r="AJ10" s="107" t="s">
        <v>734</v>
      </c>
      <c r="AK10" s="115">
        <v>5</v>
      </c>
      <c r="AL10" s="113" t="s">
        <v>35</v>
      </c>
      <c r="AM10" s="134"/>
      <c r="AO10" s="256"/>
      <c r="AP10" s="290"/>
      <c r="AR10" s="618"/>
      <c r="AS10" s="619"/>
      <c r="AT10" s="626" t="s">
        <v>1237</v>
      </c>
      <c r="AW10" s="619"/>
      <c r="AX10" s="619"/>
      <c r="AY10" s="619"/>
      <c r="AZ10" s="619"/>
      <c r="BA10" s="590" t="s">
        <v>1203</v>
      </c>
      <c r="BB10" s="619" t="s">
        <v>1232</v>
      </c>
      <c r="BC10" s="619"/>
      <c r="BD10" s="619"/>
      <c r="BE10" s="619"/>
      <c r="BF10" s="619"/>
    </row>
    <row r="11" spans="1:82" ht="15.75" x14ac:dyDescent="0.25">
      <c r="B11" s="300" t="s">
        <v>1107</v>
      </c>
      <c r="C11" s="301"/>
      <c r="D11" s="332">
        <v>1</v>
      </c>
      <c r="E11" s="291" t="s">
        <v>1109</v>
      </c>
      <c r="F11" s="36" t="s">
        <v>1110</v>
      </c>
      <c r="G11" s="290"/>
      <c r="H11" s="256"/>
      <c r="K11" s="245" t="s">
        <v>801</v>
      </c>
      <c r="L11" s="242">
        <f>Spectra!A4-Spectra!A3</f>
        <v>1.0000000000000222E-9</v>
      </c>
      <c r="M11" s="113" t="s">
        <v>32</v>
      </c>
      <c r="N11" s="199" t="s">
        <v>833</v>
      </c>
      <c r="P11" s="256"/>
      <c r="S11" s="107" t="s">
        <v>867</v>
      </c>
      <c r="T11" s="326">
        <f>HLOOKUP(L3,Focal_plane_table,4)</f>
        <v>4.9524687152701317</v>
      </c>
      <c r="U11" s="275"/>
      <c r="V11" s="255" t="s">
        <v>923</v>
      </c>
      <c r="X11" s="256"/>
      <c r="AA11" s="347" t="s">
        <v>1141</v>
      </c>
      <c r="AB11" s="348">
        <f>HLCdesignBW</f>
        <v>0.1</v>
      </c>
      <c r="AC11" s="349">
        <v>5.6499999999999999E-7</v>
      </c>
      <c r="AD11" s="350">
        <v>0</v>
      </c>
      <c r="AE11" s="347" t="s">
        <v>787</v>
      </c>
      <c r="AG11" s="256"/>
      <c r="AJ11" s="107" t="s">
        <v>728</v>
      </c>
      <c r="AK11" s="114">
        <f>VLOOKUP($D$7,RVPrime,9)</f>
        <v>9.8000000000000004E-2</v>
      </c>
      <c r="AL11" s="113" t="s">
        <v>730</v>
      </c>
      <c r="AM11" s="134"/>
      <c r="AO11" s="256"/>
      <c r="AP11" s="290"/>
      <c r="AR11" s="618"/>
      <c r="AS11" s="619"/>
      <c r="AT11" s="626" t="s">
        <v>1238</v>
      </c>
      <c r="AU11" s="619"/>
      <c r="AV11" s="619"/>
      <c r="AW11" s="619"/>
      <c r="AX11" s="619"/>
      <c r="AY11" s="619"/>
      <c r="AZ11" s="619"/>
      <c r="BA11" s="619"/>
      <c r="BB11" s="619"/>
      <c r="BC11" s="619"/>
      <c r="BD11" s="619"/>
      <c r="BE11" s="619"/>
      <c r="BF11" s="619"/>
    </row>
    <row r="12" spans="1:82" ht="15.75" x14ac:dyDescent="0.25">
      <c r="H12" s="256"/>
      <c r="P12" s="256"/>
      <c r="S12" s="103" t="s">
        <v>744</v>
      </c>
      <c r="T12" s="112">
        <f>HLOOKUP(D5,Detector_Table,4)</f>
        <v>1</v>
      </c>
      <c r="U12" s="105" t="s">
        <v>745</v>
      </c>
      <c r="V12" s="255"/>
      <c r="X12" s="256"/>
      <c r="AG12" s="256"/>
      <c r="AJ12" s="107" t="s">
        <v>731</v>
      </c>
      <c r="AK12" s="254">
        <f>AK10/AK5</f>
        <v>0.41666666666666669</v>
      </c>
      <c r="AL12" s="113" t="s">
        <v>23</v>
      </c>
      <c r="AM12" s="134"/>
      <c r="AO12" s="256"/>
      <c r="AP12" s="290"/>
      <c r="AR12" s="618"/>
      <c r="AS12" s="619"/>
      <c r="AU12" s="619"/>
      <c r="AV12" s="619"/>
      <c r="AW12" s="619"/>
      <c r="AX12" s="619"/>
      <c r="AY12" s="619"/>
      <c r="AZ12" s="619"/>
      <c r="BA12" s="619"/>
      <c r="BB12" s="619"/>
      <c r="BC12" s="619"/>
      <c r="BD12" s="619"/>
      <c r="BE12" s="619"/>
      <c r="BF12" s="619"/>
    </row>
    <row r="13" spans="1:82" ht="15.75" x14ac:dyDescent="0.25">
      <c r="A13" s="234"/>
      <c r="B13" s="234" t="s">
        <v>892</v>
      </c>
      <c r="C13" s="234"/>
      <c r="D13" s="270"/>
      <c r="E13" s="234"/>
      <c r="F13" s="234"/>
      <c r="G13" s="234"/>
      <c r="H13" s="256"/>
      <c r="I13" s="327"/>
      <c r="J13" s="327" t="s">
        <v>828</v>
      </c>
      <c r="K13" s="327"/>
      <c r="L13" s="327"/>
      <c r="M13" s="327"/>
      <c r="N13" s="327"/>
      <c r="O13" s="327"/>
      <c r="P13" s="256"/>
      <c r="S13" s="103" t="s">
        <v>746</v>
      </c>
      <c r="T13" s="116">
        <f>1/frame_time</f>
        <v>3.3333333333333333E-2</v>
      </c>
      <c r="U13" s="105" t="s">
        <v>747</v>
      </c>
      <c r="V13" s="255" t="s">
        <v>748</v>
      </c>
      <c r="X13" s="256"/>
      <c r="AG13" s="256"/>
      <c r="AJ13" s="107" t="s">
        <v>733</v>
      </c>
      <c r="AK13" s="254" t="str">
        <f>VLOOKUP($D$7,RVPrime,5)</f>
        <v>G1V</v>
      </c>
      <c r="AL13" s="113" t="s">
        <v>822</v>
      </c>
      <c r="AM13" s="134"/>
      <c r="AO13" s="256"/>
      <c r="AP13" s="290"/>
      <c r="AR13" s="618" t="s">
        <v>1249</v>
      </c>
      <c r="AS13" s="619"/>
      <c r="AT13" s="626" t="s">
        <v>1250</v>
      </c>
      <c r="AU13" s="619"/>
      <c r="AV13" s="619"/>
      <c r="AW13" s="619"/>
      <c r="AX13" s="619"/>
      <c r="AY13" s="619"/>
      <c r="AZ13" s="619"/>
      <c r="BA13" s="619"/>
      <c r="BB13" s="619"/>
      <c r="BC13" s="619"/>
      <c r="BD13" s="619"/>
      <c r="BE13" s="619"/>
      <c r="BF13" s="619"/>
    </row>
    <row r="14" spans="1:82" ht="15.75" x14ac:dyDescent="0.25">
      <c r="A14" s="290"/>
      <c r="B14" s="117" t="s">
        <v>976</v>
      </c>
      <c r="C14" s="82"/>
      <c r="D14" s="269"/>
      <c r="E14" s="80"/>
      <c r="F14" s="36"/>
      <c r="G14" s="290"/>
      <c r="H14" s="256"/>
      <c r="J14" s="117" t="s">
        <v>877</v>
      </c>
      <c r="K14" s="261"/>
      <c r="L14" s="265"/>
      <c r="M14" s="261"/>
      <c r="N14" s="261"/>
      <c r="P14" s="256"/>
      <c r="Q14" s="290"/>
      <c r="R14" s="117" t="s">
        <v>934</v>
      </c>
      <c r="S14" s="290"/>
      <c r="T14" s="290"/>
      <c r="U14" s="290"/>
      <c r="V14" s="290"/>
      <c r="W14" s="290"/>
      <c r="X14" s="256"/>
      <c r="Y14" s="346"/>
      <c r="Z14" s="346" t="s">
        <v>732</v>
      </c>
      <c r="AA14" s="346"/>
      <c r="AB14" s="346"/>
      <c r="AC14" s="346"/>
      <c r="AD14" s="346"/>
      <c r="AE14" s="346"/>
      <c r="AF14" s="346"/>
      <c r="AG14" s="256"/>
      <c r="AJ14" s="107" t="s">
        <v>1040</v>
      </c>
      <c r="AK14" s="254" t="str">
        <f>VLOOKUP($D$7,RVPrime,2)</f>
        <v>47 UMa c</v>
      </c>
      <c r="AL14" s="113"/>
      <c r="AM14" s="134"/>
      <c r="AO14" s="256"/>
      <c r="AP14" s="290"/>
      <c r="AR14" s="618"/>
      <c r="AS14" s="619"/>
      <c r="AT14" s="619"/>
      <c r="AU14" s="619"/>
      <c r="AV14" s="619"/>
      <c r="AX14" s="619"/>
      <c r="AY14" s="619"/>
      <c r="AZ14" s="619"/>
      <c r="BA14" s="619"/>
      <c r="BB14" s="619"/>
      <c r="BC14" s="619"/>
      <c r="BD14" s="619"/>
      <c r="BE14" s="620"/>
      <c r="BF14" s="620"/>
    </row>
    <row r="15" spans="1:82" ht="15.75" x14ac:dyDescent="0.25">
      <c r="A15" s="290"/>
      <c r="B15" s="290"/>
      <c r="C15" s="109" t="s">
        <v>203</v>
      </c>
      <c r="D15" s="110" t="s">
        <v>93</v>
      </c>
      <c r="E15" s="111" t="s">
        <v>204</v>
      </c>
      <c r="F15" s="262" t="s">
        <v>94</v>
      </c>
      <c r="G15" s="290"/>
      <c r="H15" s="256"/>
      <c r="I15" s="259"/>
      <c r="J15" s="261"/>
      <c r="K15" s="109" t="s">
        <v>203</v>
      </c>
      <c r="L15" s="110" t="s">
        <v>93</v>
      </c>
      <c r="M15" s="111" t="s">
        <v>204</v>
      </c>
      <c r="N15" s="262" t="s">
        <v>94</v>
      </c>
      <c r="O15" s="259"/>
      <c r="P15" s="256"/>
      <c r="S15" s="292" t="s">
        <v>933</v>
      </c>
      <c r="T15" s="337">
        <v>450</v>
      </c>
      <c r="U15" s="302" t="s">
        <v>864</v>
      </c>
      <c r="V15" s="303" t="s">
        <v>916</v>
      </c>
      <c r="X15" s="256"/>
      <c r="Z15" s="117" t="s">
        <v>95</v>
      </c>
      <c r="AA15" s="16"/>
      <c r="AB15" s="34"/>
      <c r="AC15" s="92"/>
      <c r="AD15" s="37"/>
      <c r="AG15" s="256"/>
      <c r="AJ15" s="107" t="s">
        <v>725</v>
      </c>
      <c r="AK15" s="254">
        <f>VLOOKUP(AK10,JupiterAlbedoTable,5)</f>
        <v>0.20400823817148026</v>
      </c>
      <c r="AL15" s="587" t="s">
        <v>1219</v>
      </c>
      <c r="AM15" s="134" t="s">
        <v>1218</v>
      </c>
      <c r="AO15" s="256"/>
      <c r="AP15" s="290"/>
      <c r="AR15" s="618"/>
      <c r="AS15" s="626" t="s">
        <v>1251</v>
      </c>
      <c r="AT15" s="626">
        <v>10</v>
      </c>
      <c r="AU15" s="626" t="s">
        <v>1252</v>
      </c>
      <c r="AX15" s="626" t="s">
        <v>1261</v>
      </c>
      <c r="AY15" s="618" t="s">
        <v>1257</v>
      </c>
      <c r="AZ15" s="626" t="s">
        <v>1264</v>
      </c>
      <c r="BA15" s="626" t="s">
        <v>1258</v>
      </c>
      <c r="BB15" s="626" t="s">
        <v>1259</v>
      </c>
      <c r="BC15" s="630" t="s">
        <v>1260</v>
      </c>
      <c r="BD15" s="626" t="s">
        <v>1263</v>
      </c>
    </row>
    <row r="16" spans="1:82" ht="15.75" x14ac:dyDescent="0.25">
      <c r="A16" s="290"/>
      <c r="B16" s="290"/>
      <c r="C16" s="128" t="s">
        <v>982</v>
      </c>
      <c r="D16" s="329">
        <f>pl_rate*frame_time</f>
        <v>8.5909488909091669E-2</v>
      </c>
      <c r="E16" s="129" t="s">
        <v>981</v>
      </c>
      <c r="F16" s="255" t="s">
        <v>799</v>
      </c>
      <c r="G16" s="290"/>
      <c r="H16" s="256"/>
      <c r="K16" s="639" t="s">
        <v>876</v>
      </c>
      <c r="L16" s="351">
        <f>IFERROR(IF((SNR^2*noise_rate_total)/(pl_rate^2-(SNR*spec_rate*f_pp)^2)&gt;=0,(SNR^2*noise_rate_total)/(pl_rate^2-(SNR*spec_rate*f_pp)^2),1E+99),1E+99)</f>
        <v>36915.527711311341</v>
      </c>
      <c r="M16" s="340" t="s">
        <v>224</v>
      </c>
      <c r="N16" s="641"/>
      <c r="P16" s="256"/>
      <c r="Q16" s="38"/>
      <c r="S16" s="103" t="s">
        <v>931</v>
      </c>
      <c r="T16" s="335">
        <f>1/(2*(L4/(T15*nm)))</f>
        <v>0.39823008849557523</v>
      </c>
      <c r="U16" s="105" t="s">
        <v>932</v>
      </c>
      <c r="V16" s="305"/>
      <c r="W16" s="38"/>
      <c r="X16" s="256"/>
      <c r="Y16" s="290"/>
      <c r="Z16" s="290"/>
      <c r="AA16" s="109" t="s">
        <v>203</v>
      </c>
      <c r="AB16" s="110" t="s">
        <v>93</v>
      </c>
      <c r="AC16" s="642" t="s">
        <v>204</v>
      </c>
      <c r="AD16" s="642"/>
      <c r="AE16" s="262" t="s">
        <v>94</v>
      </c>
      <c r="AG16" s="256"/>
      <c r="AJ16" s="107" t="s">
        <v>1108</v>
      </c>
      <c r="AK16" s="527">
        <f>10^(-0.4*(AK6-SunAbsMag))*(1/AK10)^2</f>
        <v>4.9251842662157798E-2</v>
      </c>
      <c r="AL16" s="113" t="s">
        <v>920</v>
      </c>
      <c r="AM16" s="134" t="s">
        <v>1111</v>
      </c>
      <c r="AO16" s="256"/>
      <c r="AP16" s="290"/>
      <c r="AR16" s="618"/>
      <c r="AT16" s="626">
        <f>AT15*3600</f>
        <v>36000</v>
      </c>
      <c r="AU16" s="626" t="s">
        <v>16</v>
      </c>
      <c r="AY16" s="626" t="s">
        <v>23</v>
      </c>
      <c r="AZ16" s="635">
        <f>AT25</f>
        <v>1.8026872988552224E-9</v>
      </c>
      <c r="BA16" s="626">
        <v>2.5</v>
      </c>
      <c r="BB16" s="626">
        <v>5</v>
      </c>
      <c r="BC16" s="634">
        <f>AB42/2</f>
        <v>4.6116165500000002E-10</v>
      </c>
      <c r="BD16" s="630">
        <v>2.5</v>
      </c>
    </row>
    <row r="17" spans="1:71" ht="15.75" x14ac:dyDescent="0.25">
      <c r="A17" s="290"/>
      <c r="B17" s="290"/>
      <c r="C17" s="120" t="s">
        <v>983</v>
      </c>
      <c r="D17" s="331">
        <f>spec_rate*frame_time</f>
        <v>5.3690260128202591E-2</v>
      </c>
      <c r="E17" s="129" t="s">
        <v>981</v>
      </c>
      <c r="F17" s="255" t="s">
        <v>794</v>
      </c>
      <c r="G17" s="290"/>
      <c r="H17" s="256"/>
      <c r="K17" s="640"/>
      <c r="L17" s="557">
        <f>IFERROR(IF((SNR^2*noise_rate_total)/(pl_rate^2-(SNR*spec_rate*f_pp)^2)/3600&gt;=0,(SNR^2*noise_rate_total)/(pl_rate^2-(SNR*spec_rate*f_pp)^2)/3600,1E+99),1E+99)</f>
        <v>10.254313253142039</v>
      </c>
      <c r="M17" s="340" t="s">
        <v>19</v>
      </c>
      <c r="N17" s="641"/>
      <c r="P17" s="256"/>
      <c r="S17" s="292" t="s">
        <v>925</v>
      </c>
      <c r="T17" s="337">
        <v>660</v>
      </c>
      <c r="U17" s="302" t="s">
        <v>864</v>
      </c>
      <c r="V17" s="303" t="s">
        <v>916</v>
      </c>
      <c r="X17" s="256"/>
      <c r="AA17" s="103" t="s">
        <v>96</v>
      </c>
      <c r="AB17" s="103">
        <v>2.37</v>
      </c>
      <c r="AC17" s="638" t="s">
        <v>32</v>
      </c>
      <c r="AD17" s="638"/>
      <c r="AE17" s="132" t="s">
        <v>778</v>
      </c>
      <c r="AG17" s="256"/>
      <c r="AO17" s="256"/>
      <c r="AP17" s="290"/>
      <c r="AR17" s="618"/>
      <c r="AS17" s="626" t="s">
        <v>1254</v>
      </c>
      <c r="AT17" s="626">
        <v>5</v>
      </c>
      <c r="AU17" s="626" t="s">
        <v>828</v>
      </c>
      <c r="AX17" s="633">
        <f>AY17/0.05</f>
        <v>2.9999999999999996</v>
      </c>
      <c r="AY17" s="628">
        <f>AZ17/$AK$5</f>
        <v>0.15</v>
      </c>
      <c r="AZ17" s="626">
        <v>1.8</v>
      </c>
      <c r="BA17" s="629">
        <f t="dataTable" ref="BA17:BB26" dt2D="1" dtr="1" r1="AK4" r2="AK10"/>
        <v>2.1718149436599618E-9</v>
      </c>
      <c r="BB17" s="629">
        <v>5.5767067089418589E-9</v>
      </c>
      <c r="BC17" s="630">
        <v>1.8</v>
      </c>
      <c r="BD17" s="627">
        <f t="dataTable" ref="BD17:BD26" dt2D="1" dtr="1" r1="AK4" r2="AK10" ca="1"/>
        <v>1.3899174000000001E-9</v>
      </c>
    </row>
    <row r="18" spans="1:71" ht="15.75" x14ac:dyDescent="0.25">
      <c r="A18" s="290"/>
      <c r="B18" s="290"/>
      <c r="C18" s="120" t="s">
        <v>984</v>
      </c>
      <c r="D18" s="329">
        <f>zodi_rate*frame_time</f>
        <v>0.17383711359706311</v>
      </c>
      <c r="E18" s="129" t="s">
        <v>981</v>
      </c>
      <c r="F18" s="255" t="s">
        <v>794</v>
      </c>
      <c r="G18" s="290"/>
      <c r="H18" s="256"/>
      <c r="K18" s="640"/>
      <c r="L18" s="339">
        <f>IFERROR(IF((SNR^2*noise_rate_total)/(pl_rate^2-(SNR*spec_rate*f_pp)^2)/3600/24&gt;=0,(SNR^2*noise_rate_total)/(pl_rate^2-(SNR*spec_rate*f_pp)^2)/3600/24,1E+99),1E+99)</f>
        <v>0.42726305221425159</v>
      </c>
      <c r="M18" s="340" t="s">
        <v>839</v>
      </c>
      <c r="N18" s="641"/>
      <c r="P18" s="256"/>
      <c r="S18" s="292" t="s">
        <v>927</v>
      </c>
      <c r="T18" s="337">
        <v>2</v>
      </c>
      <c r="U18" s="302" t="s">
        <v>913</v>
      </c>
      <c r="V18" s="303" t="s">
        <v>912</v>
      </c>
      <c r="X18" s="256"/>
      <c r="AA18" s="103" t="s">
        <v>97</v>
      </c>
      <c r="AB18" s="106">
        <v>0.32</v>
      </c>
      <c r="AC18" s="638" t="s">
        <v>98</v>
      </c>
      <c r="AD18" s="638"/>
      <c r="AE18" s="132" t="s">
        <v>1114</v>
      </c>
      <c r="AG18" s="256"/>
      <c r="AK18" s="81"/>
      <c r="AL18" s="80"/>
      <c r="AM18" s="36"/>
      <c r="AO18" s="256"/>
      <c r="AP18" s="290"/>
      <c r="AR18" s="618"/>
      <c r="AS18" s="619">
        <f>IFERROR(IF((SNR^2*noise_rate_total)/(pl_rate^2-(SNR*spec_rate*f_pp)^2)&gt;=0,(SNR^2*noise_rate_total)/(pl_rate^2-(SNR*spec_rate*f_pp)^2),1E+99),1E+99)</f>
        <v>36915.527711311341</v>
      </c>
      <c r="AX18" s="633">
        <f t="shared" ref="AX18:AX26" si="0">AY18/0.05</f>
        <v>3.666666666666667</v>
      </c>
      <c r="AY18" s="628">
        <f t="shared" ref="AY18:AY26" si="1">AZ18/$AK$5</f>
        <v>0.18333333333333335</v>
      </c>
      <c r="AZ18" s="626">
        <v>2.2000000000000002</v>
      </c>
      <c r="BA18" s="629">
        <v>9.3096398546186584E-10</v>
      </c>
      <c r="BB18" s="629">
        <v>3.0896545942007081E-9</v>
      </c>
      <c r="BC18" s="630">
        <v>2.2000000000000002</v>
      </c>
      <c r="BD18" s="627">
        <v>3.1955629500000002E-10</v>
      </c>
    </row>
    <row r="19" spans="1:71" ht="15.75" customHeight="1" x14ac:dyDescent="0.25">
      <c r="A19" s="290"/>
      <c r="B19" s="117" t="s">
        <v>985</v>
      </c>
      <c r="C19" s="82"/>
      <c r="D19" s="269"/>
      <c r="E19" s="36"/>
      <c r="F19" s="36"/>
      <c r="G19" s="290"/>
      <c r="H19" s="256"/>
      <c r="J19" s="117" t="s">
        <v>875</v>
      </c>
      <c r="L19" s="265"/>
      <c r="P19" s="256"/>
      <c r="Q19" s="38"/>
      <c r="S19" s="292" t="s">
        <v>928</v>
      </c>
      <c r="T19" s="337">
        <v>2</v>
      </c>
      <c r="U19" s="302" t="s">
        <v>914</v>
      </c>
      <c r="V19" s="303" t="s">
        <v>917</v>
      </c>
      <c r="W19" s="38"/>
      <c r="X19" s="256"/>
      <c r="AA19" s="103" t="s">
        <v>101</v>
      </c>
      <c r="AB19" s="108">
        <f>L4/AB17</f>
        <v>2.3839662447257382E-7</v>
      </c>
      <c r="AC19" s="638" t="s">
        <v>13</v>
      </c>
      <c r="AD19" s="638"/>
      <c r="AE19" s="132" t="s">
        <v>780</v>
      </c>
      <c r="AG19" s="256"/>
      <c r="AH19" s="127"/>
      <c r="AI19" s="139" t="s">
        <v>738</v>
      </c>
      <c r="AJ19" s="127"/>
      <c r="AK19" s="127"/>
      <c r="AL19" s="127"/>
      <c r="AM19" s="127"/>
      <c r="AN19" s="127"/>
      <c r="AO19" s="256"/>
      <c r="AP19" s="290"/>
      <c r="AR19" s="618"/>
      <c r="AS19" s="619">
        <f>IFERROR(IF((SNR^2*noise_rate_total)/(pl_rate^2-(SNR*spec_rate*f_pp)^2)&gt;=0,(SNR^2*noise_rate_total)/(pl_rate^2-(SNR*spec_rate*f_pp)^2),1E+99),1E+99)</f>
        <v>36915.527711311341</v>
      </c>
      <c r="AX19" s="633">
        <f t="shared" si="0"/>
        <v>4.333333333333333</v>
      </c>
      <c r="AY19" s="628">
        <f t="shared" si="1"/>
        <v>0.21666666666666667</v>
      </c>
      <c r="AZ19" s="626">
        <v>2.6</v>
      </c>
      <c r="BA19" s="629">
        <v>8.8066277606293328E-10</v>
      </c>
      <c r="BB19" s="629">
        <v>2.6590391026517476E-9</v>
      </c>
      <c r="BC19" s="630">
        <v>2.6</v>
      </c>
      <c r="BD19" s="627">
        <v>4.4244031000000001E-10</v>
      </c>
    </row>
    <row r="20" spans="1:71" ht="15.75" x14ac:dyDescent="0.25">
      <c r="A20" s="290"/>
      <c r="B20" s="290"/>
      <c r="C20" s="128" t="s">
        <v>982</v>
      </c>
      <c r="D20" s="423">
        <f>D16/mpix</f>
        <v>1.7346800928636608E-2</v>
      </c>
      <c r="E20" s="129" t="s">
        <v>981</v>
      </c>
      <c r="F20" s="255" t="s">
        <v>796</v>
      </c>
      <c r="G20" s="290"/>
      <c r="H20" s="256"/>
      <c r="I20" s="38"/>
      <c r="J20" s="259"/>
      <c r="K20" s="109" t="s">
        <v>203</v>
      </c>
      <c r="L20" s="110" t="s">
        <v>93</v>
      </c>
      <c r="M20" s="111" t="s">
        <v>204</v>
      </c>
      <c r="N20" s="260" t="s">
        <v>94</v>
      </c>
      <c r="O20" s="38"/>
      <c r="P20" s="256"/>
      <c r="Q20" s="38"/>
      <c r="R20" s="290"/>
      <c r="S20" s="292" t="s">
        <v>929</v>
      </c>
      <c r="T20" s="337">
        <v>2</v>
      </c>
      <c r="U20" s="302" t="s">
        <v>918</v>
      </c>
      <c r="V20" s="303" t="s">
        <v>919</v>
      </c>
      <c r="W20" s="38"/>
      <c r="X20" s="256"/>
      <c r="AA20" s="103" t="s">
        <v>103</v>
      </c>
      <c r="AB20" s="137">
        <f>((PI()/4)*AB17^2)*tobs</f>
        <v>3.6924279641172251</v>
      </c>
      <c r="AC20" s="638" t="s">
        <v>104</v>
      </c>
      <c r="AD20" s="638"/>
      <c r="AE20" s="132" t="s">
        <v>779</v>
      </c>
      <c r="AG20" s="256"/>
      <c r="AI20" s="117" t="s">
        <v>738</v>
      </c>
      <c r="AK20" s="81"/>
      <c r="AL20" s="80"/>
      <c r="AM20" s="36"/>
      <c r="AO20" s="256"/>
      <c r="AP20" s="290"/>
      <c r="AR20" s="618"/>
      <c r="AX20" s="633">
        <f t="shared" si="0"/>
        <v>5</v>
      </c>
      <c r="AY20" s="628">
        <f t="shared" si="1"/>
        <v>0.25</v>
      </c>
      <c r="AZ20" s="626">
        <v>3</v>
      </c>
      <c r="BA20" s="629">
        <v>6.7389179962158688E-10</v>
      </c>
      <c r="BB20" s="629">
        <v>2.2382712897666715E-9</v>
      </c>
      <c r="BC20" s="630">
        <v>3</v>
      </c>
      <c r="BD20" s="627">
        <v>2.8144753E-10</v>
      </c>
    </row>
    <row r="21" spans="1:71" ht="15.75" x14ac:dyDescent="0.25">
      <c r="A21" s="290"/>
      <c r="B21" s="290"/>
      <c r="C21" s="120" t="s">
        <v>983</v>
      </c>
      <c r="D21" s="264">
        <f>D17/mpix</f>
        <v>1.0841110406746722E-2</v>
      </c>
      <c r="E21" s="129" t="s">
        <v>981</v>
      </c>
      <c r="F21" s="255" t="s">
        <v>795</v>
      </c>
      <c r="G21" s="290"/>
      <c r="H21" s="256"/>
      <c r="I21" s="38"/>
      <c r="K21" s="107" t="s">
        <v>851</v>
      </c>
      <c r="L21" s="263">
        <f>Signal/Noise</f>
        <v>5</v>
      </c>
      <c r="M21" s="129" t="s">
        <v>828</v>
      </c>
      <c r="N21" s="274"/>
      <c r="O21" s="38"/>
      <c r="P21" s="256"/>
      <c r="S21" s="103" t="s">
        <v>930</v>
      </c>
      <c r="T21" s="335">
        <f>(T17*nm/AB17)/arcsec/T18</f>
        <v>2.8720416059722274E-2</v>
      </c>
      <c r="U21" s="105" t="s">
        <v>23</v>
      </c>
      <c r="V21" s="305" t="s">
        <v>921</v>
      </c>
      <c r="X21" s="256"/>
      <c r="AA21" s="103" t="s">
        <v>781</v>
      </c>
      <c r="AB21" s="361">
        <f>L5*L6</f>
        <v>0</v>
      </c>
      <c r="AC21" s="638" t="s">
        <v>782</v>
      </c>
      <c r="AD21" s="638"/>
      <c r="AE21" s="304"/>
      <c r="AG21" s="256"/>
      <c r="AI21" s="82"/>
      <c r="AJ21" s="109" t="s">
        <v>203</v>
      </c>
      <c r="AK21" s="110" t="s">
        <v>93</v>
      </c>
      <c r="AL21" s="111" t="s">
        <v>204</v>
      </c>
      <c r="AM21" s="131" t="s">
        <v>94</v>
      </c>
      <c r="AO21" s="256"/>
      <c r="AP21" s="290"/>
      <c r="AR21" s="618"/>
      <c r="AS21" s="626" t="s">
        <v>1253</v>
      </c>
      <c r="AT21" s="626">
        <f>SQRT(noise_rate_total*AT16+(f_pp*spec_rate*AT16)^2)</f>
        <v>20.853510504476205</v>
      </c>
      <c r="AX21" s="633">
        <f t="shared" si="0"/>
        <v>5.6666666666666661</v>
      </c>
      <c r="AY21" s="628">
        <f t="shared" si="1"/>
        <v>0.28333333333333333</v>
      </c>
      <c r="AZ21" s="626">
        <v>3.4</v>
      </c>
      <c r="BA21" s="629">
        <v>6.6916470245616905E-10</v>
      </c>
      <c r="BB21" s="629">
        <v>2.0753148854308942E-9</v>
      </c>
      <c r="BC21" s="630">
        <v>3.4</v>
      </c>
      <c r="BD21" s="627">
        <v>3.5739460499999998E-10</v>
      </c>
    </row>
    <row r="22" spans="1:71" ht="15.75" x14ac:dyDescent="0.25">
      <c r="A22" s="290"/>
      <c r="B22" s="290"/>
      <c r="C22" s="120" t="s">
        <v>984</v>
      </c>
      <c r="D22" s="271">
        <f>D18/mpix</f>
        <v>3.5101102821924884E-2</v>
      </c>
      <c r="E22" s="129" t="s">
        <v>981</v>
      </c>
      <c r="F22" s="255" t="s">
        <v>795</v>
      </c>
      <c r="G22" s="290"/>
      <c r="H22" s="256"/>
      <c r="I22" s="38"/>
      <c r="K22" s="107" t="s">
        <v>840</v>
      </c>
      <c r="L22" s="272">
        <f>pl_rate*req_time</f>
        <v>105.71313728293893</v>
      </c>
      <c r="M22" s="129" t="s">
        <v>730</v>
      </c>
      <c r="N22" s="274" t="s">
        <v>901</v>
      </c>
      <c r="O22" s="38"/>
      <c r="P22" s="256"/>
      <c r="X22" s="256"/>
      <c r="Y22" s="38"/>
      <c r="Z22" s="38"/>
      <c r="AA22" s="290"/>
      <c r="AB22" s="290"/>
      <c r="AC22" s="290"/>
      <c r="AD22" s="290"/>
      <c r="AE22" s="290"/>
      <c r="AF22" s="290" t="s">
        <v>168</v>
      </c>
      <c r="AG22" s="256"/>
      <c r="AJ22" s="308" t="s">
        <v>1129</v>
      </c>
      <c r="AK22" s="528">
        <f>Throughput!C12</f>
        <v>0.83699999999999997</v>
      </c>
      <c r="AL22" s="233" t="s">
        <v>822</v>
      </c>
      <c r="AM22" s="132" t="s">
        <v>800</v>
      </c>
      <c r="AO22" s="256"/>
      <c r="AP22" s="290"/>
      <c r="AR22" s="618"/>
      <c r="AX22" s="633">
        <f t="shared" si="0"/>
        <v>6.333333333333333</v>
      </c>
      <c r="AY22" s="628">
        <f t="shared" si="1"/>
        <v>0.31666666666666665</v>
      </c>
      <c r="AZ22" s="626">
        <v>3.8</v>
      </c>
      <c r="BA22" s="629">
        <v>7.0233216981410785E-10</v>
      </c>
      <c r="BB22" s="629">
        <v>1.9846447790324362E-9</v>
      </c>
      <c r="BC22" s="630">
        <v>3.8</v>
      </c>
      <c r="BD22" s="627">
        <v>4.4036858999999997E-10</v>
      </c>
    </row>
    <row r="23" spans="1:71" ht="15.75" x14ac:dyDescent="0.25">
      <c r="A23" s="290"/>
      <c r="B23" s="117" t="s">
        <v>976</v>
      </c>
      <c r="C23" s="82"/>
      <c r="D23" s="269"/>
      <c r="E23" s="129"/>
      <c r="F23" s="36"/>
      <c r="G23" s="290"/>
      <c r="H23" s="256"/>
      <c r="K23" s="107" t="s">
        <v>837</v>
      </c>
      <c r="L23" s="271">
        <f>SQRT(SUMSQ(L27:L33))</f>
        <v>21.142627456587785</v>
      </c>
      <c r="M23" s="129" t="s">
        <v>730</v>
      </c>
      <c r="N23" s="274" t="s">
        <v>900</v>
      </c>
      <c r="P23" s="256"/>
      <c r="Q23" s="231"/>
      <c r="R23" s="232" t="s">
        <v>897</v>
      </c>
      <c r="S23" s="231"/>
      <c r="T23" s="231"/>
      <c r="U23" s="231"/>
      <c r="V23" s="231"/>
      <c r="W23" s="231"/>
      <c r="X23" s="256"/>
      <c r="Y23" s="346"/>
      <c r="Z23" s="346" t="s">
        <v>904</v>
      </c>
      <c r="AA23" s="346"/>
      <c r="AB23" s="346"/>
      <c r="AC23" s="346"/>
      <c r="AD23" s="346"/>
      <c r="AE23" s="346"/>
      <c r="AF23" s="346"/>
      <c r="AG23" s="256"/>
      <c r="AJ23" s="308" t="s">
        <v>1130</v>
      </c>
      <c r="AK23" s="115">
        <f>HLOOKUP(D6,Coronagraph_Specs,8)</f>
        <v>0.23387306999999999</v>
      </c>
      <c r="AL23" s="233" t="s">
        <v>822</v>
      </c>
      <c r="AM23" s="132" t="s">
        <v>206</v>
      </c>
      <c r="AO23" s="256"/>
      <c r="AP23" s="290"/>
      <c r="AR23" s="618"/>
      <c r="AT23" s="626">
        <f>f_SR*gen_phot_flux*Col_area*tpl*QE*AT16</f>
        <v>57840066099.425583</v>
      </c>
      <c r="AX23" s="633">
        <f t="shared" si="0"/>
        <v>7</v>
      </c>
      <c r="AY23" s="628">
        <f t="shared" si="1"/>
        <v>0.35000000000000003</v>
      </c>
      <c r="AZ23" s="626">
        <v>4.2</v>
      </c>
      <c r="BA23" s="629">
        <v>6.471055908268833E-10</v>
      </c>
      <c r="BB23" s="629">
        <v>1.8667104483708064E-9</v>
      </c>
      <c r="BC23" s="630">
        <v>4.2</v>
      </c>
      <c r="BD23" s="627">
        <v>4.1332642500000001E-10</v>
      </c>
    </row>
    <row r="24" spans="1:71" ht="15.75" x14ac:dyDescent="0.25">
      <c r="A24" s="290"/>
      <c r="B24" s="290"/>
      <c r="C24" s="128" t="s">
        <v>1011</v>
      </c>
      <c r="D24" s="263">
        <f>pl_rate*frame_time</f>
        <v>8.5909488909091669E-2</v>
      </c>
      <c r="E24" s="129" t="s">
        <v>981</v>
      </c>
      <c r="F24" s="255" t="s">
        <v>902</v>
      </c>
      <c r="G24" s="290"/>
      <c r="H24" s="256"/>
      <c r="I24" s="259"/>
      <c r="K24" s="103" t="s">
        <v>854</v>
      </c>
      <c r="L24" s="352">
        <f>req_time/D8</f>
        <v>1230.5175903770446</v>
      </c>
      <c r="M24" s="273" t="s">
        <v>856</v>
      </c>
      <c r="N24" s="274" t="s">
        <v>855</v>
      </c>
      <c r="O24" s="259"/>
      <c r="P24" s="256"/>
      <c r="Q24" s="248"/>
      <c r="R24" s="117" t="s">
        <v>898</v>
      </c>
      <c r="S24" s="248"/>
      <c r="T24" s="91"/>
      <c r="U24" s="248"/>
      <c r="V24" s="248"/>
      <c r="W24" s="248"/>
      <c r="X24" s="256"/>
      <c r="Y24" s="38"/>
      <c r="Z24" s="118" t="s">
        <v>760</v>
      </c>
      <c r="AA24" s="2"/>
      <c r="AB24" s="2"/>
      <c r="AC24" s="2"/>
      <c r="AD24" s="2"/>
      <c r="AE24" s="2"/>
      <c r="AG24" s="256"/>
      <c r="AJ24" s="308" t="s">
        <v>1131</v>
      </c>
      <c r="AK24" s="254">
        <f>HLOOKUP(D6,Coronagraph_Specs,5)</f>
        <v>2.1943265E-2</v>
      </c>
      <c r="AL24" s="233" t="s">
        <v>822</v>
      </c>
      <c r="AM24" s="132" t="s">
        <v>1220</v>
      </c>
      <c r="AO24" s="256"/>
      <c r="AP24" s="290"/>
      <c r="AR24" s="618"/>
      <c r="AX24" s="633">
        <f t="shared" si="0"/>
        <v>7.6666666666666661</v>
      </c>
      <c r="AY24" s="628">
        <f t="shared" si="1"/>
        <v>0.3833333333333333</v>
      </c>
      <c r="AZ24" s="626">
        <v>4.5999999999999996</v>
      </c>
      <c r="BA24" s="629">
        <v>6.4357271189620822E-10</v>
      </c>
      <c r="BB24" s="629">
        <v>1.8116176283757872E-9</v>
      </c>
      <c r="BC24" s="630">
        <v>4.5999999999999996</v>
      </c>
      <c r="BD24" s="627">
        <v>4.2863361E-10</v>
      </c>
    </row>
    <row r="25" spans="1:71" ht="15.75" x14ac:dyDescent="0.25">
      <c r="A25" s="290"/>
      <c r="B25" s="290"/>
      <c r="C25" s="120" t="s">
        <v>1012</v>
      </c>
      <c r="D25" s="264">
        <f>spec_rate*frame_time</f>
        <v>5.3690260128202591E-2</v>
      </c>
      <c r="E25" s="129" t="s">
        <v>981</v>
      </c>
      <c r="F25" s="255" t="s">
        <v>794</v>
      </c>
      <c r="G25" s="290"/>
      <c r="H25" s="256"/>
      <c r="J25" s="117" t="s">
        <v>899</v>
      </c>
      <c r="K25" s="250"/>
      <c r="L25" s="38"/>
      <c r="M25" s="38"/>
      <c r="N25" s="38"/>
      <c r="P25" s="256"/>
      <c r="Q25" s="248"/>
      <c r="R25" s="248"/>
      <c r="S25" s="109" t="s">
        <v>203</v>
      </c>
      <c r="T25" s="110" t="s">
        <v>93</v>
      </c>
      <c r="U25" s="111" t="s">
        <v>204</v>
      </c>
      <c r="V25" s="249" t="s">
        <v>94</v>
      </c>
      <c r="W25" s="248"/>
      <c r="X25" s="256"/>
      <c r="Y25" s="38"/>
      <c r="AA25" s="102" t="s">
        <v>761</v>
      </c>
      <c r="AB25" s="122" t="s">
        <v>762</v>
      </c>
      <c r="AC25" s="123" t="s">
        <v>741</v>
      </c>
      <c r="AD25" s="124" t="s">
        <v>763</v>
      </c>
      <c r="AE25" s="124" t="s">
        <v>94</v>
      </c>
      <c r="AG25" s="256"/>
      <c r="AJ25" s="308" t="s">
        <v>1132</v>
      </c>
      <c r="AK25" s="254">
        <f>HLOOKUP(D6,Coronagraph_Specs,11)</f>
        <v>0.52548084054931543</v>
      </c>
      <c r="AL25" s="233" t="s">
        <v>822</v>
      </c>
      <c r="AM25" s="132" t="s">
        <v>207</v>
      </c>
      <c r="AO25" s="256"/>
      <c r="AP25" s="290"/>
      <c r="AR25" s="618"/>
      <c r="AS25" s="626" t="s">
        <v>1256</v>
      </c>
      <c r="AT25" s="626">
        <f>AT17*AT21/AT23</f>
        <v>1.8026872988552224E-9</v>
      </c>
      <c r="AU25" s="626" t="s">
        <v>1255</v>
      </c>
      <c r="AX25" s="633">
        <f t="shared" si="0"/>
        <v>8.3333333333333339</v>
      </c>
      <c r="AY25" s="628">
        <f t="shared" si="1"/>
        <v>0.41666666666666669</v>
      </c>
      <c r="AZ25" s="626">
        <v>5</v>
      </c>
      <c r="BA25" s="629">
        <v>6.7450288033521422E-10</v>
      </c>
      <c r="BB25" s="629">
        <v>1.8026872988552224E-9</v>
      </c>
      <c r="BC25" s="630">
        <v>5</v>
      </c>
      <c r="BD25" s="627">
        <v>4.6116165500000002E-10</v>
      </c>
    </row>
    <row r="26" spans="1:71" ht="15.75" x14ac:dyDescent="0.25">
      <c r="A26" s="290"/>
      <c r="B26" s="290"/>
      <c r="C26" s="120" t="s">
        <v>1013</v>
      </c>
      <c r="D26" s="271">
        <f>zodi_rate*frame_time</f>
        <v>0.17383711359706311</v>
      </c>
      <c r="E26" s="129" t="s">
        <v>981</v>
      </c>
      <c r="F26" s="255" t="s">
        <v>794</v>
      </c>
      <c r="G26" s="290"/>
      <c r="H26" s="256"/>
      <c r="J26" s="259"/>
      <c r="K26" s="109" t="s">
        <v>203</v>
      </c>
      <c r="L26" s="110" t="s">
        <v>93</v>
      </c>
      <c r="M26" s="111" t="s">
        <v>204</v>
      </c>
      <c r="N26" s="260" t="s">
        <v>94</v>
      </c>
      <c r="P26" s="256"/>
      <c r="Q26" s="98"/>
      <c r="S26" s="292" t="s">
        <v>772</v>
      </c>
      <c r="T26" s="343">
        <v>22</v>
      </c>
      <c r="U26" s="302" t="s">
        <v>771</v>
      </c>
      <c r="V26" s="303" t="s">
        <v>770</v>
      </c>
      <c r="W26" s="98"/>
      <c r="X26" s="256"/>
      <c r="Y26" s="38"/>
      <c r="AA26" s="130" t="s">
        <v>764</v>
      </c>
      <c r="AB26" s="125">
        <v>3</v>
      </c>
      <c r="AC26" s="125">
        <v>75</v>
      </c>
      <c r="AD26" s="125">
        <v>0</v>
      </c>
      <c r="AE26" s="287"/>
      <c r="AG26" s="256"/>
      <c r="AJ26" s="308" t="s">
        <v>1133</v>
      </c>
      <c r="AK26" s="254">
        <f>Throughput!B42</f>
        <v>0.9</v>
      </c>
      <c r="AL26" s="233" t="s">
        <v>822</v>
      </c>
      <c r="AM26" s="132" t="s">
        <v>208</v>
      </c>
      <c r="AO26" s="256"/>
      <c r="AP26" s="290"/>
      <c r="AX26" s="633">
        <f t="shared" si="0"/>
        <v>9</v>
      </c>
      <c r="AY26" s="628">
        <f t="shared" si="1"/>
        <v>0.45</v>
      </c>
      <c r="AZ26" s="626">
        <v>5.4</v>
      </c>
      <c r="BA26" s="629">
        <v>1.7835484802254052E-9</v>
      </c>
      <c r="BB26" s="629">
        <v>3.6417565450306142E-9</v>
      </c>
      <c r="BC26" s="630">
        <v>5.4</v>
      </c>
      <c r="BD26" s="627">
        <v>6.195643E-10</v>
      </c>
      <c r="BH26" s="621"/>
      <c r="BI26" s="621"/>
      <c r="BJ26" s="621"/>
      <c r="BK26" s="621"/>
      <c r="BL26" s="621"/>
      <c r="BO26" s="621"/>
      <c r="BP26" s="589"/>
      <c r="BQ26" s="589"/>
      <c r="BR26" s="589"/>
      <c r="BS26" s="589"/>
    </row>
    <row r="27" spans="1:71" ht="15.75" x14ac:dyDescent="0.25">
      <c r="H27" s="256"/>
      <c r="I27" s="38"/>
      <c r="J27" s="38"/>
      <c r="K27" s="107" t="s">
        <v>844</v>
      </c>
      <c r="L27" s="258">
        <f>ENF*SQRT(pl_rate*req_time)</f>
        <v>10.281689417743513</v>
      </c>
      <c r="M27" s="129" t="s">
        <v>730</v>
      </c>
      <c r="N27" s="253" t="s">
        <v>847</v>
      </c>
      <c r="O27" s="38"/>
      <c r="P27" s="256"/>
      <c r="S27" s="292" t="s">
        <v>1126</v>
      </c>
      <c r="T27" s="343">
        <v>23</v>
      </c>
      <c r="U27" s="302" t="s">
        <v>771</v>
      </c>
      <c r="V27" s="303" t="s">
        <v>770</v>
      </c>
      <c r="X27" s="256"/>
      <c r="Y27" s="38"/>
      <c r="AA27" s="130" t="s">
        <v>765</v>
      </c>
      <c r="AB27" s="125">
        <v>1</v>
      </c>
      <c r="AC27" s="125">
        <v>1000</v>
      </c>
      <c r="AD27" s="125">
        <v>1000</v>
      </c>
      <c r="AE27" s="287"/>
      <c r="AG27" s="256"/>
      <c r="AJ27" s="308" t="s">
        <v>1134</v>
      </c>
      <c r="AK27" s="254">
        <f>HLOOKUP(D6,Coronagraph_Specs,12)</f>
        <v>1</v>
      </c>
      <c r="AL27" s="233" t="s">
        <v>822</v>
      </c>
      <c r="AM27" s="132" t="s">
        <v>209</v>
      </c>
      <c r="AO27" s="256"/>
      <c r="AP27" s="290"/>
      <c r="BH27" s="620"/>
      <c r="BI27" s="620"/>
      <c r="BJ27" s="620"/>
      <c r="BK27" s="620"/>
      <c r="BL27" s="620"/>
      <c r="BO27" s="620"/>
      <c r="BP27" s="280"/>
      <c r="BQ27" s="280"/>
      <c r="BR27" s="280"/>
      <c r="BS27" s="280"/>
    </row>
    <row r="28" spans="1:71" ht="15.75" x14ac:dyDescent="0.25">
      <c r="A28" s="234"/>
      <c r="B28" s="234" t="s">
        <v>978</v>
      </c>
      <c r="C28" s="234"/>
      <c r="D28" s="234"/>
      <c r="E28" s="234"/>
      <c r="F28" s="234"/>
      <c r="G28" s="234"/>
      <c r="H28" s="256"/>
      <c r="I28" s="38"/>
      <c r="K28" s="107" t="s">
        <v>843</v>
      </c>
      <c r="L28" s="258">
        <f>ENF*SQRT(spec_rate*req_time)</f>
        <v>8.128149206287528</v>
      </c>
      <c r="M28" s="129" t="s">
        <v>730</v>
      </c>
      <c r="N28" s="253" t="s">
        <v>848</v>
      </c>
      <c r="O28" s="38"/>
      <c r="P28" s="256"/>
      <c r="S28" s="120" t="s">
        <v>736</v>
      </c>
      <c r="T28" s="140">
        <f>10^(VLOOKUP(L4/0.000001,fluxTable,7)-0.4*AK4)*(L4/(h_planck*c_light))*(L5*L4/0.000001)</f>
        <v>62995119.427133702</v>
      </c>
      <c r="U28" s="105" t="s">
        <v>737</v>
      </c>
      <c r="V28" s="134" t="s">
        <v>974</v>
      </c>
      <c r="X28" s="256"/>
      <c r="Y28" s="38"/>
      <c r="AA28" s="130" t="s">
        <v>745</v>
      </c>
      <c r="AB28" s="125">
        <v>1</v>
      </c>
      <c r="AC28" s="126">
        <f>SQRT(2*(AC27-1)/AC27+1/AC27)</f>
        <v>1.4138599647772758</v>
      </c>
      <c r="AD28" s="125">
        <v>1</v>
      </c>
      <c r="AE28" s="255" t="s">
        <v>1139</v>
      </c>
      <c r="AG28" s="256"/>
      <c r="AH28" s="248"/>
      <c r="AN28" s="248"/>
      <c r="AO28" s="256"/>
      <c r="AP28" s="290"/>
      <c r="BH28" s="620"/>
      <c r="BI28" s="620"/>
      <c r="BJ28" s="620"/>
      <c r="BK28" s="620"/>
      <c r="BL28" s="620"/>
      <c r="BO28" s="620"/>
      <c r="BP28" s="280"/>
      <c r="BQ28" s="280"/>
      <c r="BR28" s="280"/>
      <c r="BS28" s="280"/>
    </row>
    <row r="29" spans="1:71" ht="15.75" x14ac:dyDescent="0.25">
      <c r="A29" s="290"/>
      <c r="B29" s="117" t="s">
        <v>977</v>
      </c>
      <c r="C29" s="82"/>
      <c r="D29" s="269"/>
      <c r="E29" s="80"/>
      <c r="F29" s="36"/>
      <c r="G29" s="290"/>
      <c r="H29" s="256"/>
      <c r="I29" s="38"/>
      <c r="K29" s="107" t="s">
        <v>789</v>
      </c>
      <c r="L29" s="258">
        <f>ENF*SQRT(zodi_rate*req_time)</f>
        <v>14.625649597250669</v>
      </c>
      <c r="M29" s="129" t="s">
        <v>730</v>
      </c>
      <c r="N29" s="253" t="s">
        <v>849</v>
      </c>
      <c r="O29" s="38"/>
      <c r="P29" s="256"/>
      <c r="S29" s="198" t="s">
        <v>830</v>
      </c>
      <c r="T29" s="251">
        <f>HLOOKUP(Photometry!AK7,Photometry!BS7:CA8,2)</f>
        <v>58234601.603567518</v>
      </c>
      <c r="U29" s="105" t="s">
        <v>737</v>
      </c>
      <c r="V29" s="134" t="s">
        <v>812</v>
      </c>
      <c r="X29" s="256"/>
      <c r="Y29" s="38"/>
      <c r="Z29" s="286"/>
      <c r="AA29" s="130" t="s">
        <v>862</v>
      </c>
      <c r="AB29" s="283">
        <v>13</v>
      </c>
      <c r="AC29" s="283">
        <v>13</v>
      </c>
      <c r="AD29" s="283">
        <v>13</v>
      </c>
      <c r="AE29" s="287"/>
      <c r="AF29" s="286"/>
      <c r="AG29" s="256"/>
      <c r="AH29" s="248"/>
      <c r="AI29" s="117" t="s">
        <v>831</v>
      </c>
      <c r="AJ29" s="248"/>
      <c r="AK29" s="81"/>
      <c r="AL29" s="80"/>
      <c r="AM29" s="36"/>
      <c r="AN29" s="248"/>
      <c r="AO29" s="256"/>
      <c r="AP29" s="290"/>
      <c r="BH29" s="620"/>
      <c r="BI29" s="620"/>
      <c r="BJ29" s="620"/>
      <c r="BK29" s="620"/>
      <c r="BL29" s="620"/>
      <c r="BO29" s="620"/>
      <c r="BP29" s="280"/>
      <c r="BQ29" s="280"/>
      <c r="BR29" s="280"/>
      <c r="BS29" s="280"/>
    </row>
    <row r="30" spans="1:71" ht="15.75" x14ac:dyDescent="0.25">
      <c r="A30" s="290"/>
      <c r="B30" s="82"/>
      <c r="C30" s="109" t="s">
        <v>203</v>
      </c>
      <c r="D30" s="110" t="s">
        <v>93</v>
      </c>
      <c r="E30" s="111" t="s">
        <v>204</v>
      </c>
      <c r="F30" s="262" t="s">
        <v>94</v>
      </c>
      <c r="G30" s="290"/>
      <c r="H30" s="256"/>
      <c r="I30" s="38"/>
      <c r="K30" s="107" t="s">
        <v>842</v>
      </c>
      <c r="L30" s="258">
        <f>ENF*SQRT(dark_current*mpix*req_time)</f>
        <v>2.3419414772659692</v>
      </c>
      <c r="M30" s="129" t="s">
        <v>730</v>
      </c>
      <c r="N30" s="103"/>
      <c r="O30" s="38"/>
      <c r="P30" s="256"/>
      <c r="S30" s="107" t="s">
        <v>1096</v>
      </c>
      <c r="T30" s="525">
        <f>(AK10*AU)/(AK5*pc)/AB19</f>
        <v>8.4735134530206508</v>
      </c>
      <c r="U30" s="121" t="s">
        <v>735</v>
      </c>
      <c r="V30" s="134" t="s">
        <v>1097</v>
      </c>
      <c r="X30" s="256"/>
      <c r="Y30" s="38"/>
      <c r="AA30" s="130" t="s">
        <v>908</v>
      </c>
      <c r="AB30" s="328">
        <v>1</v>
      </c>
      <c r="AC30" s="308">
        <v>1</v>
      </c>
      <c r="AD30" s="328">
        <v>0.8</v>
      </c>
      <c r="AE30" s="287" t="s">
        <v>906</v>
      </c>
      <c r="AF30" s="286"/>
      <c r="AG30" s="256"/>
      <c r="AI30" s="82"/>
      <c r="AJ30" s="109" t="s">
        <v>203</v>
      </c>
      <c r="AK30" s="110" t="s">
        <v>93</v>
      </c>
      <c r="AL30" s="111" t="s">
        <v>204</v>
      </c>
      <c r="AM30" s="249" t="s">
        <v>94</v>
      </c>
      <c r="AO30" s="256"/>
      <c r="AP30" s="290"/>
      <c r="BH30" s="620"/>
      <c r="BI30" s="620"/>
      <c r="BJ30" s="620"/>
      <c r="BK30" s="620"/>
      <c r="BL30" s="620"/>
      <c r="BO30" s="620"/>
      <c r="BP30" s="280"/>
      <c r="BQ30" s="280"/>
      <c r="BR30" s="280"/>
      <c r="BS30" s="280"/>
    </row>
    <row r="31" spans="1:71" ht="15.75" x14ac:dyDescent="0.25">
      <c r="A31" s="290"/>
      <c r="B31" s="290"/>
      <c r="C31" s="128" t="s">
        <v>790</v>
      </c>
      <c r="D31" s="266">
        <f>pl_rate/QE</f>
        <v>3.9772911531986881E-3</v>
      </c>
      <c r="E31" s="129" t="s">
        <v>793</v>
      </c>
      <c r="F31" s="255" t="s">
        <v>799</v>
      </c>
      <c r="G31" s="290"/>
      <c r="H31" s="256"/>
      <c r="I31" s="38"/>
      <c r="J31" s="38"/>
      <c r="K31" s="107" t="s">
        <v>845</v>
      </c>
      <c r="L31" s="258">
        <f>ENF*SQRT(CIC*mpix*frame_rate*req_time)</f>
        <v>3.4911602283286571</v>
      </c>
      <c r="M31" s="129" t="s">
        <v>730</v>
      </c>
      <c r="N31" s="103"/>
      <c r="O31" s="38"/>
      <c r="P31" s="256"/>
      <c r="S31" s="107" t="s">
        <v>1221</v>
      </c>
      <c r="T31" s="525">
        <f>HLOOKUP(D5,Coronagraph_Specs,9)</f>
        <v>2.7</v>
      </c>
      <c r="U31" s="121" t="s">
        <v>735</v>
      </c>
      <c r="V31" s="134" t="s">
        <v>1222</v>
      </c>
      <c r="X31" s="256"/>
      <c r="Y31" s="38"/>
      <c r="Z31" s="135" t="s">
        <v>878</v>
      </c>
      <c r="AA31" s="286"/>
      <c r="AB31" s="286"/>
      <c r="AC31" s="286"/>
      <c r="AD31" s="286"/>
      <c r="AE31" s="286"/>
      <c r="AF31" s="286"/>
      <c r="AG31" s="256"/>
      <c r="AJ31" s="308" t="s">
        <v>1135</v>
      </c>
      <c r="AK31" s="297">
        <f>tcor*tref*tfil*tpol</f>
        <v>1.0377688802936737E-2</v>
      </c>
      <c r="AL31" s="233" t="s">
        <v>822</v>
      </c>
      <c r="AM31" s="132" t="s">
        <v>739</v>
      </c>
      <c r="AO31" s="256"/>
      <c r="AP31" s="290"/>
      <c r="BH31" s="620"/>
      <c r="BI31" s="620"/>
      <c r="BJ31" s="620"/>
      <c r="BK31" s="620"/>
      <c r="BL31" s="620"/>
      <c r="BO31" s="620"/>
      <c r="BP31" s="280"/>
      <c r="BQ31" s="280"/>
      <c r="BR31" s="280"/>
      <c r="BS31" s="280"/>
    </row>
    <row r="32" spans="1:71" ht="15.75" x14ac:dyDescent="0.25">
      <c r="A32" s="290"/>
      <c r="B32" s="290"/>
      <c r="C32" s="120" t="s">
        <v>792</v>
      </c>
      <c r="D32" s="268">
        <f>spec_rate/QE</f>
        <v>2.4856601911204899E-3</v>
      </c>
      <c r="E32" s="129" t="s">
        <v>793</v>
      </c>
      <c r="F32" s="255" t="s">
        <v>794</v>
      </c>
      <c r="G32" s="290"/>
      <c r="H32" s="256"/>
      <c r="I32" s="259"/>
      <c r="J32" s="38"/>
      <c r="K32" s="107" t="s">
        <v>846</v>
      </c>
      <c r="L32" s="258">
        <f>SQRT((read_noise/gain)^2*mpix*frame_rate*req_time)</f>
        <v>0</v>
      </c>
      <c r="M32" s="129" t="s">
        <v>730</v>
      </c>
      <c r="N32" s="103"/>
      <c r="O32" s="259"/>
      <c r="P32" s="256"/>
      <c r="S32" s="107" t="s">
        <v>1100</v>
      </c>
      <c r="T32" s="525">
        <f>HLOOKUP(D6,Coronagraph_Specs,10)</f>
        <v>9.3000000000000007</v>
      </c>
      <c r="U32" s="121" t="s">
        <v>735</v>
      </c>
      <c r="V32" s="134" t="s">
        <v>1099</v>
      </c>
      <c r="X32" s="256"/>
      <c r="Y32" s="38"/>
      <c r="Z32" s="138"/>
      <c r="AA32" s="122" t="s">
        <v>203</v>
      </c>
      <c r="AB32" s="122" t="s">
        <v>784</v>
      </c>
      <c r="AC32" s="123" t="s">
        <v>787</v>
      </c>
      <c r="AD32" s="111" t="s">
        <v>204</v>
      </c>
      <c r="AE32" s="289" t="s">
        <v>94</v>
      </c>
      <c r="AF32" s="286" t="s">
        <v>168</v>
      </c>
      <c r="AG32" s="256"/>
      <c r="AJ32" s="308" t="s">
        <v>1136</v>
      </c>
      <c r="AK32" s="298">
        <f>tref*tfil*tpol</f>
        <v>0.47293275649438388</v>
      </c>
      <c r="AL32" s="233" t="s">
        <v>822</v>
      </c>
      <c r="AM32" s="132" t="s">
        <v>209</v>
      </c>
      <c r="AO32" s="256"/>
      <c r="AP32" s="290"/>
      <c r="BH32" s="620"/>
      <c r="BI32" s="620"/>
      <c r="BJ32" s="620"/>
      <c r="BK32" s="620"/>
      <c r="BL32" s="620"/>
      <c r="BO32" s="620"/>
      <c r="BP32" s="280"/>
      <c r="BQ32" s="280"/>
      <c r="BR32" s="280"/>
      <c r="BS32" s="280"/>
    </row>
    <row r="33" spans="1:71" ht="15.75" x14ac:dyDescent="0.25">
      <c r="A33" s="290"/>
      <c r="B33" s="290"/>
      <c r="C33" s="120" t="s">
        <v>791</v>
      </c>
      <c r="D33" s="266">
        <f>zodi_rate/QE</f>
        <v>8.0480145183825496E-3</v>
      </c>
      <c r="E33" s="129" t="s">
        <v>793</v>
      </c>
      <c r="F33" s="255" t="s">
        <v>794</v>
      </c>
      <c r="G33" s="290"/>
      <c r="H33" s="256"/>
      <c r="I33" s="38"/>
      <c r="J33" s="38"/>
      <c r="K33" s="107" t="s">
        <v>841</v>
      </c>
      <c r="L33" s="258">
        <f>f_pp*spec_rate*req_time</f>
        <v>6.6066809519672578</v>
      </c>
      <c r="M33" s="129" t="s">
        <v>730</v>
      </c>
      <c r="N33" s="253" t="s">
        <v>850</v>
      </c>
      <c r="O33" s="38"/>
      <c r="P33" s="256"/>
      <c r="S33" s="107" t="s">
        <v>1098</v>
      </c>
      <c r="T33" s="526">
        <f>IF(T30&lt;T32,T30,T32)</f>
        <v>8.4735134530206508</v>
      </c>
      <c r="U33" s="121" t="s">
        <v>735</v>
      </c>
      <c r="V33" s="134" t="s">
        <v>1101</v>
      </c>
      <c r="X33" s="256"/>
      <c r="Y33" s="38"/>
      <c r="Z33" s="138"/>
      <c r="AA33" s="284" t="s">
        <v>865</v>
      </c>
      <c r="AB33" s="285" t="s">
        <v>786</v>
      </c>
      <c r="AC33" s="285" t="s">
        <v>788</v>
      </c>
      <c r="AD33" s="233" t="s">
        <v>822</v>
      </c>
      <c r="AE33" s="287"/>
      <c r="AF33" s="290" t="s">
        <v>168</v>
      </c>
      <c r="AG33" s="256"/>
      <c r="AH33" s="38"/>
      <c r="AJ33" s="308" t="s">
        <v>1137</v>
      </c>
      <c r="AK33" s="297">
        <f>tocc*tref*tfil*tpol</f>
        <v>0.11060623566490399</v>
      </c>
      <c r="AL33" s="233" t="s">
        <v>822</v>
      </c>
      <c r="AM33" s="132" t="s">
        <v>739</v>
      </c>
      <c r="AN33" s="38"/>
      <c r="AO33" s="256"/>
      <c r="AP33" s="290"/>
      <c r="BH33" s="620"/>
      <c r="BI33" s="620"/>
      <c r="BJ33" s="620"/>
      <c r="BK33" s="620"/>
      <c r="BL33" s="620"/>
      <c r="BO33" s="620"/>
      <c r="BP33" s="280"/>
      <c r="BQ33" s="280"/>
      <c r="BR33" s="280"/>
      <c r="BS33" s="280"/>
    </row>
    <row r="34" spans="1:71" ht="15.75" x14ac:dyDescent="0.25">
      <c r="A34" s="290"/>
      <c r="B34" s="117" t="s">
        <v>979</v>
      </c>
      <c r="C34" s="82"/>
      <c r="D34" s="269"/>
      <c r="E34" s="80"/>
      <c r="F34" s="36"/>
      <c r="G34" s="290"/>
      <c r="H34" s="256"/>
      <c r="J34" s="117" t="s">
        <v>890</v>
      </c>
      <c r="P34" s="256"/>
      <c r="Q34" s="248"/>
      <c r="S34" s="103" t="s">
        <v>205</v>
      </c>
      <c r="T34" s="524">
        <f>AK15*(R_jupiter/(AK10*AU))^2</f>
        <v>1.782352504813853E-9</v>
      </c>
      <c r="U34" s="119"/>
      <c r="V34" s="132" t="s">
        <v>205</v>
      </c>
      <c r="X34" s="256"/>
      <c r="Y34" s="38"/>
      <c r="Z34" s="138"/>
      <c r="AA34" s="309" t="s">
        <v>783</v>
      </c>
      <c r="AB34" s="311" t="e">
        <f>1/AB21</f>
        <v>#DIV/0!</v>
      </c>
      <c r="AC34" s="310">
        <v>1</v>
      </c>
      <c r="AD34" s="233" t="s">
        <v>822</v>
      </c>
      <c r="AE34" s="287"/>
      <c r="AF34" s="290" t="s">
        <v>168</v>
      </c>
      <c r="AG34" s="256"/>
      <c r="AO34" s="256"/>
      <c r="AP34" s="290"/>
      <c r="BH34" s="622"/>
      <c r="BI34" s="622"/>
      <c r="BJ34" s="622"/>
      <c r="BK34" s="622"/>
      <c r="BL34" s="622"/>
      <c r="BO34" s="623"/>
      <c r="BP34" s="591"/>
      <c r="BQ34" s="591"/>
      <c r="BR34" s="591"/>
      <c r="BS34" s="591"/>
    </row>
    <row r="35" spans="1:71" ht="15.75" x14ac:dyDescent="0.25">
      <c r="A35" s="290"/>
      <c r="B35" s="290"/>
      <c r="C35" s="128" t="s">
        <v>753</v>
      </c>
      <c r="D35" s="266">
        <f>pl_rate/mpix</f>
        <v>5.7822669762122028E-4</v>
      </c>
      <c r="E35" s="129" t="s">
        <v>767</v>
      </c>
      <c r="F35" s="255" t="s">
        <v>796</v>
      </c>
      <c r="G35" s="290"/>
      <c r="H35" s="256"/>
      <c r="K35" s="109" t="s">
        <v>203</v>
      </c>
      <c r="L35" s="110" t="s">
        <v>93</v>
      </c>
      <c r="M35" s="111" t="s">
        <v>204</v>
      </c>
      <c r="N35" s="262" t="s">
        <v>94</v>
      </c>
      <c r="P35" s="256"/>
      <c r="S35" s="128" t="s">
        <v>753</v>
      </c>
      <c r="T35" s="520">
        <f>f_SR*gen_phot_flux*pl_contrast*Col_area*tpl*QE</f>
        <v>2.8636496303030556E-3</v>
      </c>
      <c r="U35" s="129" t="s">
        <v>767</v>
      </c>
      <c r="V35" s="133" t="s">
        <v>798</v>
      </c>
      <c r="X35" s="256"/>
      <c r="Y35" s="38"/>
      <c r="Z35" s="286"/>
      <c r="AA35" s="320" t="s">
        <v>853</v>
      </c>
      <c r="AB35" s="321">
        <f xml:space="preserve"> (T18*L4/(T17*nm))^2*T20*T19</f>
        <v>11.725436179981632</v>
      </c>
      <c r="AC35" s="321">
        <f>PI()/4/(T16^2)</f>
        <v>4.9524687152701317</v>
      </c>
      <c r="AD35" s="233" t="s">
        <v>822</v>
      </c>
      <c r="AE35" s="322"/>
      <c r="AF35" s="290" t="s">
        <v>168</v>
      </c>
      <c r="AG35" s="256"/>
      <c r="AO35" s="256"/>
      <c r="AP35" s="290"/>
    </row>
    <row r="36" spans="1:71" ht="15.75" x14ac:dyDescent="0.25">
      <c r="A36" s="290"/>
      <c r="B36" s="290"/>
      <c r="C36" s="120" t="s">
        <v>777</v>
      </c>
      <c r="D36" s="268">
        <f>spec_rate/mpix</f>
        <v>3.6137034689155738E-4</v>
      </c>
      <c r="E36" s="129" t="s">
        <v>767</v>
      </c>
      <c r="F36" s="255" t="s">
        <v>795</v>
      </c>
      <c r="G36" s="290"/>
      <c r="H36" s="256"/>
      <c r="K36" s="341" t="s">
        <v>937</v>
      </c>
      <c r="L36" s="267">
        <f>L37/L38</f>
        <v>0.15004385499170803</v>
      </c>
      <c r="M36" s="275" t="s">
        <v>828</v>
      </c>
      <c r="N36" s="103"/>
      <c r="P36" s="256"/>
      <c r="S36" s="103" t="s">
        <v>774</v>
      </c>
      <c r="T36" s="281">
        <f>f_SR*gen_phot_flux*HLOOKUP(D6,Coronagraph_Specs,6)*HLOOKUP(D6, Coronagraph_Specs, 14)*HLOOKUP(D6,Coronagraph_Specs,4)*Col_area*tspec*QE</f>
        <v>1.789675337606753E-3</v>
      </c>
      <c r="U36" s="105" t="s">
        <v>767</v>
      </c>
      <c r="V36" s="133" t="s">
        <v>798</v>
      </c>
      <c r="X36" s="256"/>
      <c r="AG36" s="256"/>
      <c r="AH36" s="93"/>
      <c r="AI36" s="463" t="s">
        <v>1008</v>
      </c>
      <c r="AJ36" s="93"/>
      <c r="AK36" s="93"/>
      <c r="AL36" s="93"/>
      <c r="AM36" s="93"/>
      <c r="AN36" s="93"/>
      <c r="AO36" s="256"/>
      <c r="AP36" s="290"/>
    </row>
    <row r="37" spans="1:71" ht="15.75" x14ac:dyDescent="0.25">
      <c r="A37" s="290"/>
      <c r="B37" s="290"/>
      <c r="C37" s="120" t="s">
        <v>776</v>
      </c>
      <c r="D37" s="266">
        <f>zodi_rate/mpix</f>
        <v>1.1700367607308294E-3</v>
      </c>
      <c r="E37" s="129" t="s">
        <v>767</v>
      </c>
      <c r="F37" s="255" t="s">
        <v>795</v>
      </c>
      <c r="G37" s="290"/>
      <c r="H37" s="256"/>
      <c r="K37" s="319" t="s">
        <v>840</v>
      </c>
      <c r="L37" s="329">
        <f>pl_rate*frame_time</f>
        <v>8.5909488909091669E-2</v>
      </c>
      <c r="M37" s="275" t="s">
        <v>730</v>
      </c>
      <c r="N37" s="103"/>
      <c r="P37" s="256"/>
      <c r="S37" s="103" t="s">
        <v>1151</v>
      </c>
      <c r="T37" s="115">
        <f>Constants!$H$6*10^(-0.4*T26)*(L5*L4/(Constants!D6*0.000001))</f>
        <v>9.7189902240860597</v>
      </c>
      <c r="U37" s="136" t="s">
        <v>1106</v>
      </c>
      <c r="V37" s="255" t="s">
        <v>1155</v>
      </c>
      <c r="X37" s="256"/>
      <c r="Y37" s="346"/>
      <c r="Z37" s="346" t="s">
        <v>754</v>
      </c>
      <c r="AA37" s="346"/>
      <c r="AB37" s="346"/>
      <c r="AC37" s="346"/>
      <c r="AD37" s="346"/>
      <c r="AE37" s="346"/>
      <c r="AF37" s="346"/>
      <c r="AG37" s="256"/>
      <c r="AH37" s="290"/>
      <c r="AI37" s="117" t="s">
        <v>1093</v>
      </c>
      <c r="AJ37" s="290"/>
      <c r="AK37" s="290"/>
      <c r="AL37" s="290"/>
      <c r="AM37" s="290"/>
      <c r="AN37" s="290"/>
      <c r="AO37" s="256"/>
      <c r="AP37" s="290"/>
    </row>
    <row r="38" spans="1:71" ht="15.75" x14ac:dyDescent="0.25">
      <c r="A38" s="290"/>
      <c r="B38" s="117" t="s">
        <v>980</v>
      </c>
      <c r="C38" s="82"/>
      <c r="D38" s="81"/>
      <c r="E38" s="80"/>
      <c r="F38" s="36"/>
      <c r="G38" s="290"/>
      <c r="H38" s="256"/>
      <c r="K38" s="319" t="s">
        <v>837</v>
      </c>
      <c r="L38" s="264">
        <f>SQRT(SUMSQ(L39:L45))</f>
        <v>0.57256252789452355</v>
      </c>
      <c r="M38" s="275" t="s">
        <v>730</v>
      </c>
      <c r="N38" s="103"/>
      <c r="P38" s="256"/>
      <c r="Q38" s="98"/>
      <c r="S38" s="103" t="s">
        <v>1152</v>
      </c>
      <c r="T38" s="115">
        <f>D11*AK16*Constants!$H$6*10^(-0.4*T27)*(L5*L4/(Constants!D6*0.000001))</f>
        <v>0.190565214791205</v>
      </c>
      <c r="U38" s="136" t="s">
        <v>1106</v>
      </c>
      <c r="V38" s="132" t="s">
        <v>1156</v>
      </c>
      <c r="W38" s="98"/>
      <c r="X38" s="256"/>
      <c r="Y38" s="38"/>
      <c r="Z38" s="117" t="s">
        <v>835</v>
      </c>
      <c r="AB38" s="35"/>
      <c r="AC38" s="98"/>
      <c r="AE38" s="290"/>
      <c r="AG38" s="256"/>
      <c r="AH38" s="290"/>
      <c r="AI38" s="290" t="s">
        <v>1029</v>
      </c>
      <c r="AN38" s="290"/>
      <c r="AO38" s="256"/>
      <c r="AP38" s="290"/>
    </row>
    <row r="39" spans="1:71" ht="15.75" x14ac:dyDescent="0.25">
      <c r="A39" s="290"/>
      <c r="B39" s="290"/>
      <c r="C39" s="128" t="s">
        <v>1144</v>
      </c>
      <c r="D39" s="560">
        <f>pl_rate</f>
        <v>2.8636496303030556E-3</v>
      </c>
      <c r="E39" s="129" t="s">
        <v>767</v>
      </c>
      <c r="F39" s="255" t="s">
        <v>798</v>
      </c>
      <c r="G39" s="290"/>
      <c r="H39" s="256"/>
      <c r="K39" s="318" t="s">
        <v>844</v>
      </c>
      <c r="L39" s="263">
        <f>ENF*SQRT(pl_rate*frame_time)</f>
        <v>0.29310320521804545</v>
      </c>
      <c r="M39" s="275" t="s">
        <v>730</v>
      </c>
      <c r="N39" s="103"/>
      <c r="P39" s="256"/>
      <c r="S39" s="103" t="s">
        <v>1153</v>
      </c>
      <c r="T39" s="564">
        <f>f_SR*T37*Col_area*tzodi*QE*HLOOKUP(D6,Coronagraph_Specs,7)</f>
        <v>5.6831382532891708E-3</v>
      </c>
      <c r="U39" s="136" t="s">
        <v>767</v>
      </c>
      <c r="V39" s="255" t="s">
        <v>1022</v>
      </c>
      <c r="X39" s="256"/>
      <c r="Y39" s="38"/>
      <c r="Z39" s="636">
        <v>1</v>
      </c>
      <c r="AA39" s="109" t="s">
        <v>203</v>
      </c>
      <c r="AB39" s="110" t="s">
        <v>78</v>
      </c>
      <c r="AC39" s="110" t="s">
        <v>79</v>
      </c>
      <c r="AD39" s="111" t="s">
        <v>204</v>
      </c>
      <c r="AE39" s="289" t="s">
        <v>94</v>
      </c>
      <c r="AG39" s="256"/>
      <c r="AH39" s="290"/>
      <c r="AI39" s="290"/>
      <c r="AJ39" s="120" t="s">
        <v>1017</v>
      </c>
      <c r="AK39" s="462">
        <f>ROUND((PI()/4)*(AB48^2-AB47^2)/T16^2,0)</f>
        <v>392</v>
      </c>
      <c r="AL39" s="129" t="s">
        <v>1004</v>
      </c>
      <c r="AM39" s="255" t="s">
        <v>1009</v>
      </c>
      <c r="AN39" s="290"/>
      <c r="AO39" s="256"/>
      <c r="AP39" s="290"/>
    </row>
    <row r="40" spans="1:71" ht="15.75" x14ac:dyDescent="0.25">
      <c r="A40" s="290"/>
      <c r="B40" s="290"/>
      <c r="C40" s="120" t="s">
        <v>1145</v>
      </c>
      <c r="D40" s="268">
        <f>spec_rate</f>
        <v>1.789675337606753E-3</v>
      </c>
      <c r="E40" s="129" t="s">
        <v>767</v>
      </c>
      <c r="F40" s="255" t="s">
        <v>794</v>
      </c>
      <c r="G40" s="290"/>
      <c r="H40" s="256"/>
      <c r="K40" s="318" t="s">
        <v>773</v>
      </c>
      <c r="L40" s="263">
        <f>ENF*SQRT(spec_rate*frame_time)</f>
        <v>0.23171158824755095</v>
      </c>
      <c r="M40" s="275" t="s">
        <v>730</v>
      </c>
      <c r="N40" s="103">
        <f>SQRT(90.4)*L36</f>
        <v>1.4266006873816699</v>
      </c>
      <c r="P40" s="256"/>
      <c r="S40" s="103" t="s">
        <v>1154</v>
      </c>
      <c r="T40" s="564">
        <f>f_SR*T38*Col_area*tzodi*QE*HLOOKUP(D6,Coronagraph_Specs,7)</f>
        <v>1.1143219994626621E-4</v>
      </c>
      <c r="U40" s="136" t="s">
        <v>767</v>
      </c>
      <c r="V40" s="255" t="s">
        <v>1022</v>
      </c>
      <c r="X40" s="256"/>
      <c r="Y40" s="38"/>
      <c r="Z40" s="636">
        <v>2</v>
      </c>
      <c r="AA40" s="238" t="s">
        <v>724</v>
      </c>
      <c r="AB40" s="104">
        <f>VLOOKUP(T33,HLC_Coronagraph,2)</f>
        <v>0.40039599999999997</v>
      </c>
      <c r="AC40" s="104">
        <f>VLOOKUP(T33,SPC_Coronagraph,2)</f>
        <v>0.58485200000000004</v>
      </c>
      <c r="AD40" s="113" t="s">
        <v>23</v>
      </c>
      <c r="AE40" s="287"/>
      <c r="AG40" s="256"/>
      <c r="AH40" s="290"/>
      <c r="AI40" s="290"/>
      <c r="AJ40" s="120" t="s">
        <v>1014</v>
      </c>
      <c r="AK40" s="462">
        <f>ROUND((PI()/4)*(AB47^2)/T16^2,0)</f>
        <v>36</v>
      </c>
      <c r="AL40" s="129" t="s">
        <v>1004</v>
      </c>
      <c r="AM40" s="255"/>
      <c r="AN40" s="290"/>
      <c r="AO40" s="256"/>
      <c r="AP40" s="290"/>
    </row>
    <row r="41" spans="1:71" ht="15.75" x14ac:dyDescent="0.25">
      <c r="A41" s="290"/>
      <c r="B41" s="290"/>
      <c r="C41" s="120" t="s">
        <v>826</v>
      </c>
      <c r="D41" s="266">
        <f>zodi_rate</f>
        <v>5.7945704532354368E-3</v>
      </c>
      <c r="E41" s="129" t="s">
        <v>767</v>
      </c>
      <c r="F41" s="255" t="s">
        <v>794</v>
      </c>
      <c r="G41" s="290"/>
      <c r="H41" s="256"/>
      <c r="I41" s="290"/>
      <c r="K41" s="318" t="s">
        <v>789</v>
      </c>
      <c r="L41" s="264">
        <f>ENF*SQRT(zodi_rate*frame_time)</f>
        <v>0.41693778144594079</v>
      </c>
      <c r="M41" s="275" t="s">
        <v>730</v>
      </c>
      <c r="N41" s="103"/>
      <c r="O41" s="290"/>
      <c r="P41" s="256"/>
      <c r="Q41" s="98"/>
      <c r="S41" s="103" t="s">
        <v>768</v>
      </c>
      <c r="T41" s="201">
        <f>SUM(T39:T40)</f>
        <v>5.7945704532354368E-3</v>
      </c>
      <c r="U41" s="105" t="s">
        <v>767</v>
      </c>
      <c r="V41" s="133" t="s">
        <v>1022</v>
      </c>
      <c r="W41" s="98"/>
      <c r="X41" s="256"/>
      <c r="Y41" s="38"/>
      <c r="Z41" s="636">
        <v>3</v>
      </c>
      <c r="AA41" s="238" t="s">
        <v>755</v>
      </c>
      <c r="AB41" s="104">
        <f>VLOOKUP(T33,HLC_Coronagraph,3)</f>
        <v>2.8009274E-12</v>
      </c>
      <c r="AC41" s="104">
        <f>VLOOKUP(T33,SPC_Coronagraph,3)</f>
        <v>6.1716808999999999E-12</v>
      </c>
      <c r="AD41" s="233" t="s">
        <v>822</v>
      </c>
      <c r="AE41" s="287" t="s">
        <v>813</v>
      </c>
      <c r="AG41" s="256"/>
      <c r="AJ41" s="120" t="s">
        <v>1015</v>
      </c>
      <c r="AK41" s="519">
        <f>SUM(D35,D36,D37)</f>
        <v>2.1096338052436071E-3</v>
      </c>
      <c r="AL41" s="129" t="s">
        <v>767</v>
      </c>
      <c r="AM41" s="255" t="s">
        <v>1028</v>
      </c>
      <c r="AO41" s="256"/>
      <c r="AP41" s="290"/>
      <c r="AR41" s="618"/>
    </row>
    <row r="42" spans="1:71" ht="15.75" x14ac:dyDescent="0.25">
      <c r="A42" s="290"/>
      <c r="B42" s="117" t="s">
        <v>1146</v>
      </c>
      <c r="C42" s="290"/>
      <c r="D42" s="265"/>
      <c r="E42" s="290"/>
      <c r="F42" s="290"/>
      <c r="G42" s="290"/>
      <c r="H42" s="256"/>
      <c r="I42" s="290"/>
      <c r="K42" s="318" t="s">
        <v>842</v>
      </c>
      <c r="L42" s="263">
        <f>ENF*SQRT(dark_current*mpix*frame_time)</f>
        <v>6.6762428384107772E-2</v>
      </c>
      <c r="M42" s="275" t="s">
        <v>730</v>
      </c>
      <c r="N42" s="103"/>
      <c r="O42" s="290"/>
      <c r="P42" s="256"/>
      <c r="Q42" s="38"/>
      <c r="R42" s="38"/>
      <c r="S42" s="103" t="s">
        <v>894</v>
      </c>
      <c r="T42" s="254">
        <f>ENF^2*(pl_rate+spec_rate+zodi_rate)+ENF^2*(dark_current*mpix+CIC*mpix*frame_rate)+(read_noise/gain)^2*mpix*frame_rate</f>
        <v>1.0926634063621359E-2</v>
      </c>
      <c r="U42" s="105" t="s">
        <v>767</v>
      </c>
      <c r="V42" s="252" t="s">
        <v>838</v>
      </c>
      <c r="W42" s="38"/>
      <c r="X42" s="256"/>
      <c r="Y42" s="38"/>
      <c r="Z42" s="636">
        <v>4</v>
      </c>
      <c r="AA42" s="238" t="s">
        <v>756</v>
      </c>
      <c r="AB42" s="104">
        <f>VLOOKUP(T33,HLC_Coronagraph,4)</f>
        <v>9.2232331000000004E-10</v>
      </c>
      <c r="AC42" s="104">
        <f>VLOOKUP(T33,SPC_Coronagraph,4)</f>
        <v>4.6088999999999997E-9</v>
      </c>
      <c r="AD42" s="233" t="s">
        <v>822</v>
      </c>
      <c r="AE42" s="287" t="s">
        <v>814</v>
      </c>
      <c r="AG42" s="256"/>
      <c r="AJ42" s="120" t="s">
        <v>1023</v>
      </c>
      <c r="AK42" s="462">
        <v>10</v>
      </c>
      <c r="AL42" s="129" t="s">
        <v>743</v>
      </c>
      <c r="AM42" s="255" t="s">
        <v>1016</v>
      </c>
      <c r="AO42" s="256"/>
      <c r="AP42" s="290"/>
      <c r="AR42" s="618"/>
    </row>
    <row r="43" spans="1:71" ht="15.75" x14ac:dyDescent="0.25">
      <c r="C43" s="128" t="s">
        <v>1147</v>
      </c>
      <c r="D43" s="268">
        <f>ENF^2*dark_current*mpix</f>
        <v>1.4857406145810396E-4</v>
      </c>
      <c r="E43" s="129" t="s">
        <v>767</v>
      </c>
      <c r="F43" s="255" t="s">
        <v>1148</v>
      </c>
      <c r="H43" s="256"/>
      <c r="K43" s="318" t="s">
        <v>845</v>
      </c>
      <c r="L43" s="263">
        <f>ENF*SQRT(CIC*mpix)</f>
        <v>9.9523552139884272E-2</v>
      </c>
      <c r="M43" s="275" t="s">
        <v>730</v>
      </c>
      <c r="N43" s="103"/>
      <c r="P43" s="256"/>
      <c r="X43" s="256"/>
      <c r="Y43" s="38"/>
      <c r="Z43" s="636">
        <v>5</v>
      </c>
      <c r="AA43" s="238" t="s">
        <v>757</v>
      </c>
      <c r="AB43" s="104">
        <f>VLOOKUP(T33,HLC_Coronagraph,5)</f>
        <v>2.1943265E-2</v>
      </c>
      <c r="AC43" s="104">
        <f>VLOOKUP(T33,SPC_Coronagraph,5)</f>
        <v>2.5047234000000002E-2</v>
      </c>
      <c r="AD43" s="233" t="s">
        <v>822</v>
      </c>
      <c r="AE43" s="287" t="s">
        <v>815</v>
      </c>
      <c r="AF43" t="s">
        <v>168</v>
      </c>
      <c r="AG43" s="256"/>
      <c r="AJ43" s="120" t="s">
        <v>1018</v>
      </c>
      <c r="AK43" s="272">
        <f>AK39*AK41</f>
        <v>0.82697645165549394</v>
      </c>
      <c r="AL43" s="129" t="s">
        <v>767</v>
      </c>
      <c r="AM43" s="255" t="s">
        <v>1021</v>
      </c>
      <c r="AO43" s="256"/>
      <c r="AP43" s="290"/>
      <c r="AR43" s="618"/>
    </row>
    <row r="44" spans="1:71" ht="15.75" x14ac:dyDescent="0.25">
      <c r="C44" s="120" t="s">
        <v>1149</v>
      </c>
      <c r="D44" s="268">
        <f>ENF^2*CIC*mpix*frame_rate</f>
        <v>3.301645810180088E-4</v>
      </c>
      <c r="E44" s="129" t="s">
        <v>767</v>
      </c>
      <c r="F44" s="255" t="s">
        <v>1148</v>
      </c>
      <c r="H44" s="256"/>
      <c r="K44" s="318" t="s">
        <v>846</v>
      </c>
      <c r="L44" s="263">
        <f>SQRT((read_noise/gain)^2*mpix)</f>
        <v>0</v>
      </c>
      <c r="M44" s="275" t="s">
        <v>730</v>
      </c>
      <c r="N44" s="103"/>
      <c r="P44" s="256"/>
      <c r="X44" s="256"/>
      <c r="Y44" s="38"/>
      <c r="Z44" s="636">
        <v>6</v>
      </c>
      <c r="AA44" s="238" t="s">
        <v>758</v>
      </c>
      <c r="AB44" s="104">
        <f>VLOOKUP(T33,HLC_Coronagraph,6)</f>
        <v>3.0368172999999999E-3</v>
      </c>
      <c r="AC44" s="104">
        <f>VLOOKUP(T33,SPC_Coronagraph,6)</f>
        <v>1.3390788999999999E-3</v>
      </c>
      <c r="AD44" s="233" t="s">
        <v>822</v>
      </c>
      <c r="AE44" s="287" t="s">
        <v>816</v>
      </c>
      <c r="AF44" t="s">
        <v>168</v>
      </c>
      <c r="AG44" s="256"/>
      <c r="AJ44" s="120" t="s">
        <v>1019</v>
      </c>
      <c r="AK44" s="272">
        <f>AK41*AK42*AK43</f>
        <v>1.7446174785528356E-2</v>
      </c>
      <c r="AL44" s="129" t="s">
        <v>767</v>
      </c>
      <c r="AM44" s="255" t="s">
        <v>1020</v>
      </c>
      <c r="AO44" s="256"/>
      <c r="AP44" s="290"/>
      <c r="AR44" s="618"/>
      <c r="AS44" s="631"/>
      <c r="BP44" s="38"/>
      <c r="BQ44" s="38"/>
    </row>
    <row r="45" spans="1:71" ht="15.75" x14ac:dyDescent="0.25">
      <c r="C45" s="120" t="s">
        <v>1150</v>
      </c>
      <c r="D45" s="266">
        <f>(read_noise/gain)^2*mpix*frame_rate</f>
        <v>0</v>
      </c>
      <c r="E45" s="129" t="s">
        <v>767</v>
      </c>
      <c r="F45" s="255"/>
      <c r="H45" s="256"/>
      <c r="K45" s="318" t="s">
        <v>893</v>
      </c>
      <c r="L45" s="264">
        <f>f_pp*spec_rate*frame_time</f>
        <v>5.3690260128202594E-3</v>
      </c>
      <c r="M45" s="275" t="s">
        <v>730</v>
      </c>
      <c r="N45" s="103"/>
      <c r="P45" s="256"/>
      <c r="X45" s="256"/>
      <c r="Y45" s="38"/>
      <c r="Z45" s="636">
        <v>7</v>
      </c>
      <c r="AA45" s="238" t="s">
        <v>759</v>
      </c>
      <c r="AB45" s="104">
        <f>VLOOKUP(T33,HLC_Coronagraph,7)</f>
        <v>1.9885794E-3</v>
      </c>
      <c r="AC45" s="104">
        <f>VLOOKUP(T33,SPC_Coronagraph,7)</f>
        <v>4.8690581000000004E-3</v>
      </c>
      <c r="AD45" s="113" t="s">
        <v>766</v>
      </c>
      <c r="AE45" s="287" t="s">
        <v>817</v>
      </c>
      <c r="AG45" s="256"/>
      <c r="AJ45" s="120" t="s">
        <v>1024</v>
      </c>
      <c r="AK45" s="272">
        <f>SUM(AK43:AK44)</f>
        <v>0.84442262644102228</v>
      </c>
      <c r="AL45" s="129" t="s">
        <v>767</v>
      </c>
      <c r="AM45" s="255"/>
      <c r="AO45" s="256"/>
      <c r="AP45" s="290"/>
      <c r="AR45" s="618"/>
      <c r="AT45" s="632"/>
      <c r="BQ45" s="38"/>
    </row>
    <row r="46" spans="1:71" ht="15.75" x14ac:dyDescent="0.25">
      <c r="B46" s="290"/>
      <c r="C46" s="290"/>
      <c r="D46" s="290"/>
      <c r="E46" s="290"/>
      <c r="F46" s="290"/>
      <c r="H46" s="256"/>
      <c r="K46" s="290"/>
      <c r="L46" s="290"/>
      <c r="M46" s="290"/>
      <c r="N46" s="290"/>
      <c r="P46" s="256"/>
      <c r="X46" s="256"/>
      <c r="Y46" s="38"/>
      <c r="Z46" s="636">
        <v>8</v>
      </c>
      <c r="AA46" s="238" t="s">
        <v>1095</v>
      </c>
      <c r="AB46" s="104">
        <f>VLOOKUP(T33,HLC_Coronagraph,8)</f>
        <v>0.23387306999999999</v>
      </c>
      <c r="AC46" s="104">
        <f>VLOOKUP(T33,SPC_Coronagraph,8)</f>
        <v>0.17728569</v>
      </c>
      <c r="AD46" s="233" t="s">
        <v>822</v>
      </c>
      <c r="AE46" s="287" t="s">
        <v>818</v>
      </c>
      <c r="AG46" s="256"/>
      <c r="AJ46" s="120" t="s">
        <v>1007</v>
      </c>
      <c r="AK46" s="272">
        <v>1</v>
      </c>
      <c r="AL46" s="129" t="s">
        <v>1005</v>
      </c>
      <c r="AM46" s="255" t="s">
        <v>1025</v>
      </c>
      <c r="AO46" s="256"/>
      <c r="AP46" s="290"/>
      <c r="AR46" s="618"/>
      <c r="AT46" s="632"/>
      <c r="BQ46" s="38"/>
    </row>
    <row r="47" spans="1:71" ht="15.75" x14ac:dyDescent="0.25">
      <c r="B47" s="290"/>
      <c r="C47" s="290"/>
      <c r="D47" s="290"/>
      <c r="E47" s="290"/>
      <c r="F47" s="290"/>
      <c r="H47" s="256"/>
      <c r="P47" s="256"/>
      <c r="X47" s="256"/>
      <c r="Y47" s="38"/>
      <c r="Z47" s="636">
        <v>9</v>
      </c>
      <c r="AA47" s="238" t="s">
        <v>823</v>
      </c>
      <c r="AB47" s="115">
        <f>MIN(INDEX(HLC_Coronagraph,,1))</f>
        <v>2.7</v>
      </c>
      <c r="AC47" s="115">
        <f>MIN(INDEX(SPC_Coronagraph,,1))</f>
        <v>2.6</v>
      </c>
      <c r="AD47" s="121" t="s">
        <v>735</v>
      </c>
      <c r="AE47" s="287" t="s">
        <v>819</v>
      </c>
      <c r="AG47" s="256"/>
      <c r="AJ47" s="120"/>
      <c r="AK47" s="268">
        <f>AK46*365*24*3600</f>
        <v>31536000</v>
      </c>
      <c r="AL47" s="129" t="s">
        <v>16</v>
      </c>
      <c r="AM47" s="255"/>
      <c r="AO47" s="256"/>
      <c r="AP47" s="290"/>
      <c r="AR47" s="618"/>
      <c r="AT47" s="632"/>
    </row>
    <row r="48" spans="1:71" ht="15.75" x14ac:dyDescent="0.25">
      <c r="B48" s="290"/>
      <c r="C48" s="290"/>
      <c r="D48" s="290"/>
      <c r="E48" s="290"/>
      <c r="F48" s="290"/>
      <c r="H48" s="256"/>
      <c r="P48" s="256"/>
      <c r="U48">
        <f>diff_limit/arcsec</f>
        <v>4.9172833556797226E-2</v>
      </c>
      <c r="X48" s="256"/>
      <c r="Y48" s="38"/>
      <c r="Z48" s="636">
        <v>10</v>
      </c>
      <c r="AA48" s="238" t="s">
        <v>824</v>
      </c>
      <c r="AB48" s="115">
        <f>MAX(INDEX(HLC_Coronagraph,,1))</f>
        <v>9.3000000000000007</v>
      </c>
      <c r="AC48" s="115">
        <f>MAX(INDEX(SPC_Coronagraph,,1))</f>
        <v>9</v>
      </c>
      <c r="AD48" s="121" t="s">
        <v>735</v>
      </c>
      <c r="AE48" s="287" t="s">
        <v>819</v>
      </c>
      <c r="AG48" s="256"/>
      <c r="AJ48" s="120" t="s">
        <v>1026</v>
      </c>
      <c r="AK48" s="268">
        <v>1000</v>
      </c>
      <c r="AL48" s="129" t="s">
        <v>743</v>
      </c>
      <c r="AM48" s="255" t="s">
        <v>1033</v>
      </c>
      <c r="AO48" s="256"/>
      <c r="AP48" s="290"/>
      <c r="AR48" s="618"/>
      <c r="AT48" s="632"/>
    </row>
    <row r="49" spans="2:46" ht="15.75" x14ac:dyDescent="0.25">
      <c r="B49" s="290"/>
      <c r="C49" s="290"/>
      <c r="D49" s="290"/>
      <c r="E49" s="290"/>
      <c r="F49" s="290"/>
      <c r="H49" s="256"/>
      <c r="P49" s="256"/>
      <c r="X49" s="256"/>
      <c r="Y49" s="38"/>
      <c r="Z49" s="636">
        <v>11</v>
      </c>
      <c r="AA49" s="562" t="s">
        <v>1142</v>
      </c>
      <c r="AB49" s="115">
        <f>PRODUCT(Throughput!B12:B41)</f>
        <v>0.52548084054931543</v>
      </c>
      <c r="AC49" s="115">
        <f>PRODUCT(Throughput!I12:I41)</f>
        <v>0.48794649479579288</v>
      </c>
      <c r="AD49" s="233" t="s">
        <v>822</v>
      </c>
      <c r="AE49" s="287" t="s">
        <v>819</v>
      </c>
      <c r="AG49" s="256"/>
      <c r="AJ49" s="120" t="s">
        <v>1027</v>
      </c>
      <c r="AK49" s="464">
        <v>0.05</v>
      </c>
      <c r="AL49" s="129" t="s">
        <v>743</v>
      </c>
      <c r="AM49" s="255" t="s">
        <v>1032</v>
      </c>
      <c r="AO49" s="256"/>
      <c r="AP49" s="290"/>
      <c r="AR49" s="618"/>
      <c r="AT49" s="632"/>
    </row>
    <row r="50" spans="2:46" ht="15.75" x14ac:dyDescent="0.25">
      <c r="B50" s="290"/>
      <c r="C50" s="290"/>
      <c r="D50" s="290"/>
      <c r="E50" s="290"/>
      <c r="F50" s="290"/>
      <c r="H50" s="256"/>
      <c r="P50" s="256"/>
      <c r="X50" s="256"/>
      <c r="Y50" s="38"/>
      <c r="Z50" s="636">
        <v>12</v>
      </c>
      <c r="AA50" s="562" t="s">
        <v>1162</v>
      </c>
      <c r="AB50" s="115">
        <f>Coronagraph!G2</f>
        <v>1</v>
      </c>
      <c r="AC50" s="115">
        <f>Coronagraph!S2</f>
        <v>0.48</v>
      </c>
      <c r="AD50" s="233" t="s">
        <v>822</v>
      </c>
      <c r="AE50" s="287" t="s">
        <v>1163</v>
      </c>
      <c r="AF50" s="279" t="s">
        <v>168</v>
      </c>
      <c r="AG50" s="256"/>
      <c r="AJ50" s="120" t="s">
        <v>1030</v>
      </c>
      <c r="AK50" s="268">
        <f>AK47*AK45</f>
        <v>26629711.947444078</v>
      </c>
      <c r="AL50" s="129" t="s">
        <v>1006</v>
      </c>
      <c r="AM50" s="255" t="s">
        <v>1035</v>
      </c>
      <c r="AO50" s="256"/>
      <c r="AP50" s="290"/>
      <c r="AR50" s="618"/>
      <c r="AT50" s="632"/>
    </row>
    <row r="51" spans="2:46" ht="15.75" x14ac:dyDescent="0.25">
      <c r="B51" s="290"/>
      <c r="C51" s="290"/>
      <c r="D51" s="290"/>
      <c r="E51" s="290"/>
      <c r="F51" s="290"/>
      <c r="H51" s="256"/>
      <c r="P51" s="257"/>
      <c r="U51">
        <f>HLOOKUP(D6,Coronagraph_Specs,2)</f>
        <v>0.40039599999999997</v>
      </c>
      <c r="X51" s="257"/>
      <c r="Y51" s="38"/>
      <c r="Z51" s="636">
        <v>13</v>
      </c>
      <c r="AA51" s="238" t="s">
        <v>860</v>
      </c>
      <c r="AB51" s="115">
        <v>0.3</v>
      </c>
      <c r="AC51" s="115">
        <v>0.2</v>
      </c>
      <c r="AD51" s="121" t="s">
        <v>859</v>
      </c>
      <c r="AE51" s="287" t="s">
        <v>858</v>
      </c>
      <c r="AF51" t="s">
        <v>168</v>
      </c>
      <c r="AG51" s="256"/>
      <c r="AJ51" s="120" t="s">
        <v>1031</v>
      </c>
      <c r="AK51" s="268">
        <f>AK50*AK48*AK49</f>
        <v>1331485597.3722038</v>
      </c>
      <c r="AL51" s="129" t="s">
        <v>1006</v>
      </c>
      <c r="AM51" s="255" t="s">
        <v>1037</v>
      </c>
      <c r="AO51" s="256"/>
      <c r="AP51" s="290"/>
      <c r="AR51" s="618"/>
      <c r="AT51" s="632"/>
    </row>
    <row r="52" spans="2:46" ht="15.75" x14ac:dyDescent="0.25">
      <c r="B52" s="290"/>
      <c r="C52" s="290"/>
      <c r="D52" s="290"/>
      <c r="E52" s="290"/>
      <c r="F52" s="290"/>
      <c r="H52" s="256"/>
      <c r="P52" s="257"/>
      <c r="X52" s="257"/>
      <c r="Z52" s="636">
        <v>14</v>
      </c>
      <c r="AA52" s="238" t="s">
        <v>857</v>
      </c>
      <c r="AB52" s="115">
        <f>PI()/4/AB51^2</f>
        <v>8.7266462599716483</v>
      </c>
      <c r="AC52" s="115">
        <f>PI()/4/AC51^2</f>
        <v>19.634954084936204</v>
      </c>
      <c r="AD52" s="121" t="s">
        <v>859</v>
      </c>
      <c r="AE52" s="287" t="s">
        <v>861</v>
      </c>
      <c r="AG52" s="256"/>
      <c r="AJ52" s="465" t="s">
        <v>1034</v>
      </c>
      <c r="AK52" s="466">
        <f>SUM(AK50:AK51)</f>
        <v>1358115309.3196478</v>
      </c>
      <c r="AL52" s="467" t="s">
        <v>1006</v>
      </c>
      <c r="AM52" s="468" t="s">
        <v>1036</v>
      </c>
      <c r="AO52" s="256"/>
      <c r="AP52" s="290"/>
      <c r="AR52" s="618"/>
      <c r="AT52" s="632"/>
    </row>
    <row r="53" spans="2:46" x14ac:dyDescent="0.25">
      <c r="B53" s="290"/>
      <c r="C53" s="290"/>
      <c r="D53" s="290"/>
      <c r="E53" s="290"/>
      <c r="F53" s="290"/>
      <c r="H53" s="257"/>
      <c r="P53" s="257"/>
      <c r="X53" s="257"/>
      <c r="AG53" s="257"/>
      <c r="AI53" s="290"/>
      <c r="AJ53" s="290"/>
      <c r="AK53" s="290"/>
      <c r="AL53" s="290"/>
      <c r="AM53" s="290"/>
      <c r="AO53" s="257"/>
      <c r="AP53" s="290"/>
      <c r="AR53" s="618"/>
      <c r="AT53" s="632"/>
    </row>
    <row r="54" spans="2:46" x14ac:dyDescent="0.25">
      <c r="H54" s="257"/>
      <c r="P54" s="257"/>
      <c r="X54" s="257"/>
      <c r="AG54" s="257"/>
      <c r="AI54" s="290"/>
      <c r="AJ54" s="290"/>
      <c r="AK54" s="290"/>
      <c r="AL54" s="290"/>
      <c r="AM54" s="290"/>
      <c r="AO54" s="257"/>
      <c r="AP54" s="290"/>
      <c r="AR54" s="618"/>
      <c r="AT54" s="632"/>
    </row>
    <row r="55" spans="2:46" x14ac:dyDescent="0.25">
      <c r="H55" s="257"/>
      <c r="P55" s="257"/>
      <c r="X55" s="257"/>
      <c r="AG55" s="257"/>
      <c r="AI55" s="290"/>
      <c r="AJ55" s="290"/>
      <c r="AK55" s="290"/>
      <c r="AL55" s="290"/>
      <c r="AM55" s="290"/>
      <c r="AO55" s="257"/>
      <c r="AP55" s="290"/>
    </row>
    <row r="56" spans="2:46" x14ac:dyDescent="0.25">
      <c r="H56" s="257"/>
      <c r="P56" s="257"/>
      <c r="X56" s="257"/>
      <c r="AG56" s="257"/>
      <c r="AI56" s="290"/>
      <c r="AJ56" s="290"/>
      <c r="AK56" s="290"/>
      <c r="AL56" s="290"/>
      <c r="AM56" s="290"/>
      <c r="AO56" s="257"/>
      <c r="AP56" s="290"/>
    </row>
    <row r="57" spans="2:46" x14ac:dyDescent="0.25">
      <c r="H57" s="257"/>
      <c r="P57" s="257"/>
      <c r="X57" s="257"/>
      <c r="AG57" s="257"/>
      <c r="AI57" s="290"/>
      <c r="AJ57" s="290"/>
      <c r="AK57" s="290"/>
      <c r="AL57" s="290"/>
      <c r="AM57" s="290"/>
      <c r="AO57" s="257"/>
      <c r="AP57" s="290"/>
    </row>
    <row r="58" spans="2:46" ht="15.75" x14ac:dyDescent="0.25">
      <c r="H58" s="38"/>
      <c r="P58" s="38"/>
      <c r="X58" s="38"/>
      <c r="AG58" s="38"/>
      <c r="AI58" s="290"/>
      <c r="AJ58" s="290"/>
      <c r="AK58" s="290"/>
      <c r="AL58" s="290"/>
      <c r="AM58" s="290"/>
      <c r="AO58" s="38"/>
      <c r="AP58" s="290"/>
    </row>
    <row r="59" spans="2:46" ht="15.75" x14ac:dyDescent="0.25">
      <c r="C59" t="s">
        <v>1128</v>
      </c>
      <c r="H59" s="38"/>
      <c r="P59" s="38"/>
      <c r="X59" s="38"/>
      <c r="AG59" s="38"/>
      <c r="AI59" s="290"/>
      <c r="AJ59" s="290"/>
      <c r="AK59" s="290"/>
      <c r="AL59" s="290"/>
      <c r="AM59" s="290"/>
      <c r="AO59" s="38"/>
      <c r="AP59" s="290"/>
    </row>
    <row r="60" spans="2:46" ht="15.75" x14ac:dyDescent="0.25">
      <c r="C60" s="561" t="s">
        <v>1127</v>
      </c>
      <c r="H60" s="38"/>
      <c r="P60" s="38"/>
      <c r="X60" s="38"/>
      <c r="AG60" s="38"/>
      <c r="AI60" s="290"/>
      <c r="AJ60" s="290"/>
      <c r="AK60" s="290"/>
      <c r="AL60" s="290"/>
      <c r="AM60" s="290"/>
      <c r="AO60" s="38"/>
      <c r="AP60" s="290"/>
    </row>
    <row r="61" spans="2:46" ht="15.75" x14ac:dyDescent="0.25">
      <c r="H61" s="38"/>
      <c r="P61" s="38"/>
      <c r="X61" s="38"/>
      <c r="AG61" s="38"/>
      <c r="AI61" s="290"/>
      <c r="AJ61" s="290"/>
      <c r="AK61" s="290"/>
      <c r="AL61" s="290"/>
      <c r="AM61" s="290"/>
      <c r="AO61" s="38"/>
      <c r="AP61" s="290"/>
    </row>
    <row r="62" spans="2:46" ht="15.75" x14ac:dyDescent="0.25">
      <c r="H62" s="38"/>
      <c r="P62" s="38"/>
      <c r="X62" s="38"/>
      <c r="AG62" s="38"/>
      <c r="AJ62" s="290"/>
      <c r="AK62" s="290"/>
      <c r="AL62" s="290"/>
      <c r="AM62" s="290"/>
      <c r="AO62" s="38"/>
      <c r="AP62" s="290"/>
    </row>
    <row r="63" spans="2:46" ht="15.75" x14ac:dyDescent="0.25">
      <c r="H63" s="38"/>
      <c r="P63" s="38"/>
      <c r="AG63" s="38"/>
      <c r="AO63" s="38"/>
      <c r="AP63" s="290"/>
    </row>
    <row r="64" spans="2:46" ht="15.75" x14ac:dyDescent="0.25">
      <c r="H64" s="38"/>
      <c r="AG64" s="38"/>
      <c r="AK64" s="290"/>
      <c r="AP64" s="290"/>
    </row>
    <row r="65" spans="8:42" ht="15.75" x14ac:dyDescent="0.25">
      <c r="H65" s="38"/>
      <c r="AJ65" t="s">
        <v>1143</v>
      </c>
      <c r="AK65" s="563">
        <f>PRODUCT(AK25:AK26)</f>
        <v>0.47293275649438388</v>
      </c>
      <c r="AP65" s="290"/>
    </row>
    <row r="66" spans="8:42" x14ac:dyDescent="0.25">
      <c r="AK66">
        <f>0.441/AK65</f>
        <v>0.93247928789901213</v>
      </c>
      <c r="AP66" s="290"/>
    </row>
    <row r="67" spans="8:42" x14ac:dyDescent="0.25">
      <c r="AP67" s="290"/>
    </row>
    <row r="68" spans="8:42" x14ac:dyDescent="0.25">
      <c r="AJ68" s="290"/>
      <c r="AK68" s="290"/>
      <c r="AL68" s="290"/>
      <c r="AM68" s="290"/>
      <c r="AP68" s="290"/>
    </row>
    <row r="69" spans="8:42" x14ac:dyDescent="0.25">
      <c r="AP69" s="290"/>
    </row>
    <row r="70" spans="8:42" x14ac:dyDescent="0.25">
      <c r="AP70" s="290"/>
    </row>
    <row r="71" spans="8:42" x14ac:dyDescent="0.25">
      <c r="AP71" s="290"/>
    </row>
    <row r="72" spans="8:42" x14ac:dyDescent="0.25">
      <c r="AP72" s="290"/>
    </row>
    <row r="73" spans="8:42" x14ac:dyDescent="0.25">
      <c r="AP73" s="290"/>
    </row>
    <row r="74" spans="8:42" x14ac:dyDescent="0.25">
      <c r="AP74" s="290"/>
    </row>
    <row r="75" spans="8:42" x14ac:dyDescent="0.25">
      <c r="AP75" s="290"/>
    </row>
    <row r="76" spans="8:42" x14ac:dyDescent="0.25">
      <c r="AP76" s="290"/>
    </row>
    <row r="77" spans="8:42" x14ac:dyDescent="0.25">
      <c r="AP77" s="290"/>
    </row>
    <row r="78" spans="8:42" x14ac:dyDescent="0.25">
      <c r="AP78" s="290"/>
    </row>
    <row r="79" spans="8:42" x14ac:dyDescent="0.25">
      <c r="AP79" s="290"/>
    </row>
    <row r="80" spans="8:42" x14ac:dyDescent="0.25">
      <c r="AP80" s="290"/>
    </row>
    <row r="81" spans="42:42" x14ac:dyDescent="0.25">
      <c r="AP81" s="290"/>
    </row>
    <row r="82" spans="42:42" x14ac:dyDescent="0.25">
      <c r="AP82" s="290"/>
    </row>
    <row r="83" spans="42:42" x14ac:dyDescent="0.25">
      <c r="AP83" s="290"/>
    </row>
    <row r="84" spans="42:42" x14ac:dyDescent="0.25">
      <c r="AP84" s="290"/>
    </row>
    <row r="85" spans="42:42" x14ac:dyDescent="0.25">
      <c r="AP85" s="290"/>
    </row>
    <row r="86" spans="42:42" x14ac:dyDescent="0.25">
      <c r="AP86" s="290"/>
    </row>
    <row r="87" spans="42:42" x14ac:dyDescent="0.25">
      <c r="AP87" s="290"/>
    </row>
    <row r="88" spans="42:42" x14ac:dyDescent="0.25">
      <c r="AP88" s="290"/>
    </row>
    <row r="89" spans="42:42" x14ac:dyDescent="0.25">
      <c r="AP89" s="290"/>
    </row>
    <row r="90" spans="42:42" x14ac:dyDescent="0.25">
      <c r="AP90" s="290"/>
    </row>
    <row r="91" spans="42:42" x14ac:dyDescent="0.25">
      <c r="AP91" s="290"/>
    </row>
    <row r="92" spans="42:42" x14ac:dyDescent="0.25">
      <c r="AP92" s="290"/>
    </row>
    <row r="93" spans="42:42" x14ac:dyDescent="0.25">
      <c r="AP93" s="290"/>
    </row>
    <row r="94" spans="42:42" x14ac:dyDescent="0.25">
      <c r="AP94" s="290"/>
    </row>
    <row r="95" spans="42:42" x14ac:dyDescent="0.25">
      <c r="AP95" s="290"/>
    </row>
    <row r="96" spans="42:42" x14ac:dyDescent="0.25">
      <c r="AP96" s="290"/>
    </row>
    <row r="97" spans="42:42" x14ac:dyDescent="0.25">
      <c r="AP97" s="290"/>
    </row>
    <row r="98" spans="42:42" x14ac:dyDescent="0.25">
      <c r="AP98" s="290"/>
    </row>
    <row r="99" spans="42:42" x14ac:dyDescent="0.25">
      <c r="AP99" s="290"/>
    </row>
    <row r="100" spans="42:42" x14ac:dyDescent="0.25">
      <c r="AP100" s="290"/>
    </row>
    <row r="101" spans="42:42" x14ac:dyDescent="0.25">
      <c r="AP101" s="290"/>
    </row>
    <row r="102" spans="42:42" x14ac:dyDescent="0.25">
      <c r="AP102" s="290"/>
    </row>
    <row r="103" spans="42:42" x14ac:dyDescent="0.25">
      <c r="AP103" s="290"/>
    </row>
    <row r="104" spans="42:42" x14ac:dyDescent="0.25">
      <c r="AP104" s="290"/>
    </row>
    <row r="105" spans="42:42" x14ac:dyDescent="0.25">
      <c r="AP105" s="290"/>
    </row>
    <row r="106" spans="42:42" x14ac:dyDescent="0.25">
      <c r="AP106" s="290"/>
    </row>
    <row r="107" spans="42:42" x14ac:dyDescent="0.25">
      <c r="AP107" s="290"/>
    </row>
    <row r="108" spans="42:42" x14ac:dyDescent="0.25">
      <c r="AP108" s="290"/>
    </row>
    <row r="109" spans="42:42" x14ac:dyDescent="0.25">
      <c r="AP109" s="290"/>
    </row>
    <row r="110" spans="42:42" x14ac:dyDescent="0.25">
      <c r="AP110" s="290"/>
    </row>
    <row r="111" spans="42:42" x14ac:dyDescent="0.25">
      <c r="AP111" s="290"/>
    </row>
    <row r="112" spans="42:42" x14ac:dyDescent="0.25">
      <c r="AP112" s="290"/>
    </row>
    <row r="113" spans="42:42" x14ac:dyDescent="0.25">
      <c r="AP113" s="290"/>
    </row>
    <row r="114" spans="42:42" x14ac:dyDescent="0.25">
      <c r="AP114" s="290"/>
    </row>
    <row r="115" spans="42:42" x14ac:dyDescent="0.25">
      <c r="AP115" s="290"/>
    </row>
    <row r="116" spans="42:42" x14ac:dyDescent="0.25">
      <c r="AP116" s="290"/>
    </row>
    <row r="117" spans="42:42" x14ac:dyDescent="0.25">
      <c r="AP117" s="290"/>
    </row>
    <row r="118" spans="42:42" x14ac:dyDescent="0.25">
      <c r="AP118" s="290"/>
    </row>
    <row r="119" spans="42:42" x14ac:dyDescent="0.25">
      <c r="AP119" s="290"/>
    </row>
    <row r="120" spans="42:42" x14ac:dyDescent="0.25">
      <c r="AP120" s="290"/>
    </row>
    <row r="121" spans="42:42" x14ac:dyDescent="0.25">
      <c r="AP121" s="290"/>
    </row>
    <row r="122" spans="42:42" x14ac:dyDescent="0.25">
      <c r="AP122" s="290"/>
    </row>
    <row r="123" spans="42:42" x14ac:dyDescent="0.25">
      <c r="AP123" s="290"/>
    </row>
    <row r="124" spans="42:42" x14ac:dyDescent="0.25">
      <c r="AP124" s="290"/>
    </row>
    <row r="125" spans="42:42" x14ac:dyDescent="0.25">
      <c r="AP125" s="290"/>
    </row>
    <row r="126" spans="42:42" x14ac:dyDescent="0.25">
      <c r="AP126" s="290"/>
    </row>
    <row r="127" spans="42:42" x14ac:dyDescent="0.25">
      <c r="AP127" s="290"/>
    </row>
    <row r="128" spans="42:42" x14ac:dyDescent="0.25">
      <c r="AP128" s="290"/>
    </row>
    <row r="129" spans="42:42" x14ac:dyDescent="0.25">
      <c r="AP129" s="290"/>
    </row>
    <row r="130" spans="42:42" x14ac:dyDescent="0.25">
      <c r="AP130" s="290"/>
    </row>
    <row r="131" spans="42:42" x14ac:dyDescent="0.25">
      <c r="AP131" s="290"/>
    </row>
    <row r="132" spans="42:42" x14ac:dyDescent="0.25">
      <c r="AP132" s="290"/>
    </row>
    <row r="133" spans="42:42" x14ac:dyDescent="0.25">
      <c r="AP133" s="290"/>
    </row>
    <row r="134" spans="42:42" x14ac:dyDescent="0.25">
      <c r="AP134" s="290"/>
    </row>
    <row r="135" spans="42:42" x14ac:dyDescent="0.25">
      <c r="AP135" s="290"/>
    </row>
    <row r="136" spans="42:42" x14ac:dyDescent="0.25">
      <c r="AP136" s="290"/>
    </row>
    <row r="137" spans="42:42" x14ac:dyDescent="0.25">
      <c r="AP137" s="290"/>
    </row>
    <row r="138" spans="42:42" x14ac:dyDescent="0.25">
      <c r="AP138" s="290"/>
    </row>
    <row r="139" spans="42:42" x14ac:dyDescent="0.25">
      <c r="AP139" s="290"/>
    </row>
    <row r="140" spans="42:42" x14ac:dyDescent="0.25">
      <c r="AP140" s="290"/>
    </row>
    <row r="141" spans="42:42" x14ac:dyDescent="0.25">
      <c r="AP141" s="290"/>
    </row>
    <row r="142" spans="42:42" x14ac:dyDescent="0.25">
      <c r="AP142" s="290"/>
    </row>
    <row r="143" spans="42:42" x14ac:dyDescent="0.25">
      <c r="AP143" s="290"/>
    </row>
    <row r="144" spans="42:42" x14ac:dyDescent="0.25">
      <c r="AP144" s="290"/>
    </row>
    <row r="145" spans="42:42" x14ac:dyDescent="0.25">
      <c r="AP145" s="290"/>
    </row>
    <row r="146" spans="42:42" x14ac:dyDescent="0.25">
      <c r="AP146" s="290"/>
    </row>
    <row r="147" spans="42:42" x14ac:dyDescent="0.25">
      <c r="AP147" s="290"/>
    </row>
    <row r="148" spans="42:42" x14ac:dyDescent="0.25">
      <c r="AP148" s="290"/>
    </row>
    <row r="149" spans="42:42" x14ac:dyDescent="0.25">
      <c r="AP149" s="290"/>
    </row>
    <row r="150" spans="42:42" x14ac:dyDescent="0.25">
      <c r="AP150" s="290"/>
    </row>
    <row r="151" spans="42:42" x14ac:dyDescent="0.25">
      <c r="AP151" s="290"/>
    </row>
    <row r="152" spans="42:42" x14ac:dyDescent="0.25">
      <c r="AP152" s="290"/>
    </row>
    <row r="153" spans="42:42" x14ac:dyDescent="0.25">
      <c r="AP153" s="290"/>
    </row>
    <row r="154" spans="42:42" x14ac:dyDescent="0.25">
      <c r="AP154" s="290"/>
    </row>
    <row r="155" spans="42:42" x14ac:dyDescent="0.25">
      <c r="AP155" s="290"/>
    </row>
    <row r="156" spans="42:42" x14ac:dyDescent="0.25">
      <c r="AP156" s="290"/>
    </row>
    <row r="157" spans="42:42" x14ac:dyDescent="0.25">
      <c r="AP157" s="290"/>
    </row>
    <row r="158" spans="42:42" x14ac:dyDescent="0.25">
      <c r="AP158" s="290"/>
    </row>
    <row r="159" spans="42:42" x14ac:dyDescent="0.25">
      <c r="AP159" s="290"/>
    </row>
    <row r="160" spans="42:42" x14ac:dyDescent="0.25">
      <c r="AP160" s="290"/>
    </row>
    <row r="161" spans="42:42" x14ac:dyDescent="0.25">
      <c r="AP161" s="290"/>
    </row>
    <row r="162" spans="42:42" x14ac:dyDescent="0.25">
      <c r="AP162" s="290"/>
    </row>
    <row r="163" spans="42:42" x14ac:dyDescent="0.25">
      <c r="AP163" s="290"/>
    </row>
    <row r="164" spans="42:42" x14ac:dyDescent="0.25">
      <c r="AP164" s="290"/>
    </row>
    <row r="165" spans="42:42" x14ac:dyDescent="0.25">
      <c r="AP165" s="290"/>
    </row>
    <row r="166" spans="42:42" x14ac:dyDescent="0.25">
      <c r="AP166" s="290"/>
    </row>
    <row r="167" spans="42:42" x14ac:dyDescent="0.25">
      <c r="AP167" s="290"/>
    </row>
    <row r="168" spans="42:42" x14ac:dyDescent="0.25">
      <c r="AP168" s="290"/>
    </row>
    <row r="169" spans="42:42" x14ac:dyDescent="0.25">
      <c r="AP169" s="290"/>
    </row>
    <row r="170" spans="42:42" x14ac:dyDescent="0.25">
      <c r="AP170" s="290"/>
    </row>
    <row r="171" spans="42:42" x14ac:dyDescent="0.25">
      <c r="AP171" s="290"/>
    </row>
    <row r="172" spans="42:42" x14ac:dyDescent="0.25">
      <c r="AP172" s="290"/>
    </row>
    <row r="173" spans="42:42" x14ac:dyDescent="0.25">
      <c r="AP173" s="290"/>
    </row>
    <row r="174" spans="42:42" x14ac:dyDescent="0.25">
      <c r="AP174" s="290"/>
    </row>
    <row r="175" spans="42:42" x14ac:dyDescent="0.25">
      <c r="AP175" s="290"/>
    </row>
    <row r="176" spans="42:42" x14ac:dyDescent="0.25">
      <c r="AP176" s="290"/>
    </row>
    <row r="177" spans="42:42" x14ac:dyDescent="0.25">
      <c r="AP177" s="290"/>
    </row>
    <row r="178" spans="42:42" x14ac:dyDescent="0.25">
      <c r="AP178" s="290"/>
    </row>
    <row r="179" spans="42:42" x14ac:dyDescent="0.25">
      <c r="AP179" s="290"/>
    </row>
    <row r="180" spans="42:42" x14ac:dyDescent="0.25">
      <c r="AP180" s="290"/>
    </row>
    <row r="181" spans="42:42" x14ac:dyDescent="0.25">
      <c r="AP181" s="290"/>
    </row>
    <row r="182" spans="42:42" x14ac:dyDescent="0.25">
      <c r="AP182" s="290"/>
    </row>
    <row r="183" spans="42:42" x14ac:dyDescent="0.25">
      <c r="AP183" s="290"/>
    </row>
    <row r="184" spans="42:42" x14ac:dyDescent="0.25">
      <c r="AP184" s="290"/>
    </row>
    <row r="185" spans="42:42" x14ac:dyDescent="0.25">
      <c r="AP185" s="290"/>
    </row>
    <row r="186" spans="42:42" x14ac:dyDescent="0.25">
      <c r="AP186" s="290"/>
    </row>
    <row r="187" spans="42:42" x14ac:dyDescent="0.25">
      <c r="AP187" s="290"/>
    </row>
    <row r="188" spans="42:42" x14ac:dyDescent="0.25">
      <c r="AP188" s="290"/>
    </row>
    <row r="189" spans="42:42" x14ac:dyDescent="0.25">
      <c r="AP189" s="290"/>
    </row>
    <row r="190" spans="42:42" x14ac:dyDescent="0.25">
      <c r="AP190" s="290"/>
    </row>
    <row r="191" spans="42:42" x14ac:dyDescent="0.25">
      <c r="AP191" s="290"/>
    </row>
    <row r="192" spans="42:42" x14ac:dyDescent="0.25">
      <c r="AP192" s="290"/>
    </row>
    <row r="193" spans="42:42" x14ac:dyDescent="0.25">
      <c r="AP193" s="290"/>
    </row>
    <row r="194" spans="42:42" x14ac:dyDescent="0.25">
      <c r="AP194" s="290"/>
    </row>
    <row r="195" spans="42:42" x14ac:dyDescent="0.25">
      <c r="AP195" s="290"/>
    </row>
    <row r="196" spans="42:42" x14ac:dyDescent="0.25">
      <c r="AP196" s="290"/>
    </row>
    <row r="197" spans="42:42" x14ac:dyDescent="0.25">
      <c r="AP197" s="290"/>
    </row>
    <row r="198" spans="42:42" x14ac:dyDescent="0.25">
      <c r="AP198" s="290"/>
    </row>
    <row r="199" spans="42:42" x14ac:dyDescent="0.25">
      <c r="AP199" s="290"/>
    </row>
    <row r="200" spans="42:42" x14ac:dyDescent="0.25">
      <c r="AP200" s="290"/>
    </row>
    <row r="201" spans="42:42" x14ac:dyDescent="0.25">
      <c r="AP201" s="290"/>
    </row>
    <row r="202" spans="42:42" x14ac:dyDescent="0.25">
      <c r="AP202" s="290"/>
    </row>
    <row r="203" spans="42:42" x14ac:dyDescent="0.25">
      <c r="AP203" s="290"/>
    </row>
    <row r="204" spans="42:42" x14ac:dyDescent="0.25">
      <c r="AP204" s="290"/>
    </row>
    <row r="205" spans="42:42" x14ac:dyDescent="0.25">
      <c r="AP205" s="290"/>
    </row>
    <row r="206" spans="42:42" x14ac:dyDescent="0.25">
      <c r="AP206" s="290"/>
    </row>
    <row r="207" spans="42:42" x14ac:dyDescent="0.25">
      <c r="AP207" s="290"/>
    </row>
    <row r="208" spans="42:42" x14ac:dyDescent="0.25">
      <c r="AP208" s="290"/>
    </row>
    <row r="209" spans="42:42" x14ac:dyDescent="0.25">
      <c r="AP209" s="290"/>
    </row>
    <row r="210" spans="42:42" x14ac:dyDescent="0.25">
      <c r="AP210" s="290"/>
    </row>
    <row r="211" spans="42:42" x14ac:dyDescent="0.25">
      <c r="AP211" s="290"/>
    </row>
    <row r="212" spans="42:42" x14ac:dyDescent="0.25">
      <c r="AP212" s="290"/>
    </row>
    <row r="213" spans="42:42" x14ac:dyDescent="0.25">
      <c r="AP213" s="290"/>
    </row>
    <row r="214" spans="42:42" x14ac:dyDescent="0.25">
      <c r="AP214" s="290"/>
    </row>
    <row r="215" spans="42:42" x14ac:dyDescent="0.25">
      <c r="AP215" s="290"/>
    </row>
    <row r="216" spans="42:42" x14ac:dyDescent="0.25">
      <c r="AP216" s="290"/>
    </row>
    <row r="217" spans="42:42" x14ac:dyDescent="0.25">
      <c r="AP217" s="290"/>
    </row>
    <row r="218" spans="42:42" x14ac:dyDescent="0.25">
      <c r="AP218" s="290"/>
    </row>
    <row r="219" spans="42:42" x14ac:dyDescent="0.25">
      <c r="AP219" s="290"/>
    </row>
    <row r="220" spans="42:42" x14ac:dyDescent="0.25">
      <c r="AP220" s="290"/>
    </row>
    <row r="221" spans="42:42" x14ac:dyDescent="0.25">
      <c r="AP221" s="290"/>
    </row>
    <row r="222" spans="42:42" x14ac:dyDescent="0.25">
      <c r="AP222" s="290"/>
    </row>
    <row r="223" spans="42:42" x14ac:dyDescent="0.25">
      <c r="AP223" s="290"/>
    </row>
    <row r="224" spans="42:42" x14ac:dyDescent="0.25">
      <c r="AP224" s="290"/>
    </row>
    <row r="225" spans="42:42" x14ac:dyDescent="0.25">
      <c r="AP225" s="290"/>
    </row>
    <row r="226" spans="42:42" x14ac:dyDescent="0.25">
      <c r="AP226" s="290"/>
    </row>
    <row r="227" spans="42:42" x14ac:dyDescent="0.25">
      <c r="AP227" s="290"/>
    </row>
    <row r="228" spans="42:42" x14ac:dyDescent="0.25">
      <c r="AP228" s="290"/>
    </row>
    <row r="229" spans="42:42" x14ac:dyDescent="0.25">
      <c r="AP229" s="290"/>
    </row>
    <row r="230" spans="42:42" x14ac:dyDescent="0.25">
      <c r="AP230" s="290"/>
    </row>
    <row r="231" spans="42:42" x14ac:dyDescent="0.25">
      <c r="AP231" s="290"/>
    </row>
    <row r="232" spans="42:42" x14ac:dyDescent="0.25">
      <c r="AP232" s="290"/>
    </row>
    <row r="233" spans="42:42" x14ac:dyDescent="0.25">
      <c r="AP233" s="290"/>
    </row>
    <row r="234" spans="42:42" x14ac:dyDescent="0.25">
      <c r="AP234" s="290"/>
    </row>
    <row r="235" spans="42:42" x14ac:dyDescent="0.25">
      <c r="AP235" s="290"/>
    </row>
    <row r="236" spans="42:42" x14ac:dyDescent="0.25">
      <c r="AP236" s="290"/>
    </row>
    <row r="237" spans="42:42" x14ac:dyDescent="0.25">
      <c r="AP237" s="290"/>
    </row>
    <row r="238" spans="42:42" x14ac:dyDescent="0.25">
      <c r="AP238" s="290"/>
    </row>
    <row r="239" spans="42:42" x14ac:dyDescent="0.25">
      <c r="AP239" s="290"/>
    </row>
    <row r="240" spans="42:42" x14ac:dyDescent="0.25">
      <c r="AP240" s="290"/>
    </row>
    <row r="241" spans="42:42" x14ac:dyDescent="0.25">
      <c r="AP241" s="290"/>
    </row>
    <row r="242" spans="42:42" x14ac:dyDescent="0.25">
      <c r="AP242" s="290"/>
    </row>
    <row r="243" spans="42:42" x14ac:dyDescent="0.25">
      <c r="AP243" s="290"/>
    </row>
    <row r="244" spans="42:42" x14ac:dyDescent="0.25">
      <c r="AP244" s="290"/>
    </row>
    <row r="245" spans="42:42" x14ac:dyDescent="0.25">
      <c r="AP245" s="290"/>
    </row>
    <row r="246" spans="42:42" x14ac:dyDescent="0.25">
      <c r="AP246" s="290"/>
    </row>
    <row r="247" spans="42:42" x14ac:dyDescent="0.25">
      <c r="AP247" s="290"/>
    </row>
    <row r="248" spans="42:42" x14ac:dyDescent="0.25">
      <c r="AP248" s="290"/>
    </row>
    <row r="249" spans="42:42" x14ac:dyDescent="0.25">
      <c r="AP249" s="290"/>
    </row>
    <row r="250" spans="42:42" x14ac:dyDescent="0.25">
      <c r="AP250" s="290"/>
    </row>
    <row r="251" spans="42:42" x14ac:dyDescent="0.25">
      <c r="AP251" s="290"/>
    </row>
    <row r="252" spans="42:42" x14ac:dyDescent="0.25">
      <c r="AP252" s="290"/>
    </row>
    <row r="253" spans="42:42" x14ac:dyDescent="0.25">
      <c r="AP253" s="290"/>
    </row>
    <row r="254" spans="42:42" x14ac:dyDescent="0.25">
      <c r="AP254" s="290"/>
    </row>
    <row r="255" spans="42:42" x14ac:dyDescent="0.25">
      <c r="AP255" s="290"/>
    </row>
    <row r="256" spans="42:42" x14ac:dyDescent="0.25">
      <c r="AP256" s="290"/>
    </row>
    <row r="257" spans="42:42" x14ac:dyDescent="0.25">
      <c r="AP257" s="290"/>
    </row>
    <row r="258" spans="42:42" x14ac:dyDescent="0.25">
      <c r="AP258" s="290"/>
    </row>
    <row r="259" spans="42:42" x14ac:dyDescent="0.25">
      <c r="AP259" s="290"/>
    </row>
    <row r="260" spans="42:42" x14ac:dyDescent="0.25">
      <c r="AP260" s="290"/>
    </row>
    <row r="261" spans="42:42" x14ac:dyDescent="0.25">
      <c r="AP261" s="290"/>
    </row>
    <row r="262" spans="42:42" x14ac:dyDescent="0.25">
      <c r="AP262" s="290"/>
    </row>
    <row r="263" spans="42:42" x14ac:dyDescent="0.25">
      <c r="AP263" s="290"/>
    </row>
    <row r="264" spans="42:42" x14ac:dyDescent="0.25">
      <c r="AP264" s="290"/>
    </row>
    <row r="265" spans="42:42" x14ac:dyDescent="0.25">
      <c r="AP265" s="290"/>
    </row>
    <row r="266" spans="42:42" x14ac:dyDescent="0.25">
      <c r="AP266" s="290"/>
    </row>
    <row r="267" spans="42:42" x14ac:dyDescent="0.25">
      <c r="AP267" s="290"/>
    </row>
    <row r="268" spans="42:42" x14ac:dyDescent="0.25">
      <c r="AP268" s="290"/>
    </row>
    <row r="269" spans="42:42" x14ac:dyDescent="0.25">
      <c r="AP269" s="290"/>
    </row>
    <row r="270" spans="42:42" x14ac:dyDescent="0.25">
      <c r="AP270" s="290"/>
    </row>
    <row r="271" spans="42:42" x14ac:dyDescent="0.25">
      <c r="AP271" s="290"/>
    </row>
    <row r="272" spans="42:42" x14ac:dyDescent="0.25">
      <c r="AP272" s="290"/>
    </row>
    <row r="273" spans="42:42" x14ac:dyDescent="0.25">
      <c r="AP273" s="290"/>
    </row>
    <row r="274" spans="42:42" x14ac:dyDescent="0.25">
      <c r="AP274" s="290"/>
    </row>
    <row r="275" spans="42:42" x14ac:dyDescent="0.25">
      <c r="AP275" s="290"/>
    </row>
    <row r="276" spans="42:42" x14ac:dyDescent="0.25">
      <c r="AP276" s="290"/>
    </row>
    <row r="277" spans="42:42" x14ac:dyDescent="0.25">
      <c r="AP277" s="290"/>
    </row>
    <row r="278" spans="42:42" x14ac:dyDescent="0.25">
      <c r="AP278" s="290"/>
    </row>
    <row r="279" spans="42:42" x14ac:dyDescent="0.25">
      <c r="AP279" s="290"/>
    </row>
    <row r="280" spans="42:42" x14ac:dyDescent="0.25">
      <c r="AP280" s="290"/>
    </row>
    <row r="281" spans="42:42" x14ac:dyDescent="0.25">
      <c r="AP281" s="290"/>
    </row>
    <row r="282" spans="42:42" x14ac:dyDescent="0.25">
      <c r="AP282" s="290"/>
    </row>
    <row r="283" spans="42:42" x14ac:dyDescent="0.25">
      <c r="AP283" s="290"/>
    </row>
    <row r="284" spans="42:42" x14ac:dyDescent="0.25">
      <c r="AP284" s="290"/>
    </row>
    <row r="285" spans="42:42" x14ac:dyDescent="0.25">
      <c r="AP285" s="290"/>
    </row>
    <row r="286" spans="42:42" x14ac:dyDescent="0.25">
      <c r="AP286" s="290"/>
    </row>
    <row r="287" spans="42:42" x14ac:dyDescent="0.25">
      <c r="AP287" s="290"/>
    </row>
    <row r="288" spans="42:42" x14ac:dyDescent="0.25">
      <c r="AP288" s="290"/>
    </row>
    <row r="289" spans="42:42" x14ac:dyDescent="0.25">
      <c r="AP289" s="290"/>
    </row>
    <row r="290" spans="42:42" x14ac:dyDescent="0.25">
      <c r="AP290" s="290"/>
    </row>
    <row r="291" spans="42:42" x14ac:dyDescent="0.25">
      <c r="AP291" s="290"/>
    </row>
    <row r="292" spans="42:42" x14ac:dyDescent="0.25">
      <c r="AP292" s="290"/>
    </row>
    <row r="293" spans="42:42" x14ac:dyDescent="0.25">
      <c r="AP293" s="290"/>
    </row>
    <row r="294" spans="42:42" x14ac:dyDescent="0.25">
      <c r="AP294" s="290"/>
    </row>
    <row r="295" spans="42:42" x14ac:dyDescent="0.25">
      <c r="AP295" s="290"/>
    </row>
    <row r="296" spans="42:42" x14ac:dyDescent="0.25">
      <c r="AP296" s="290"/>
    </row>
    <row r="297" spans="42:42" x14ac:dyDescent="0.25">
      <c r="AP297" s="290"/>
    </row>
    <row r="298" spans="42:42" x14ac:dyDescent="0.25">
      <c r="AP298" s="290"/>
    </row>
    <row r="299" spans="42:42" x14ac:dyDescent="0.25">
      <c r="AP299" s="290"/>
    </row>
    <row r="300" spans="42:42" x14ac:dyDescent="0.25">
      <c r="AP300" s="290"/>
    </row>
    <row r="301" spans="42:42" x14ac:dyDescent="0.25">
      <c r="AP301" s="290"/>
    </row>
    <row r="302" spans="42:42" x14ac:dyDescent="0.25">
      <c r="AP302" s="290"/>
    </row>
    <row r="303" spans="42:42" x14ac:dyDescent="0.25">
      <c r="AP303" s="290"/>
    </row>
    <row r="304" spans="42:42" x14ac:dyDescent="0.25">
      <c r="AP304" s="290"/>
    </row>
    <row r="305" spans="42:42" x14ac:dyDescent="0.25">
      <c r="AP305" s="290"/>
    </row>
    <row r="306" spans="42:42" x14ac:dyDescent="0.25">
      <c r="AP306" s="290"/>
    </row>
    <row r="307" spans="42:42" x14ac:dyDescent="0.25">
      <c r="AP307" s="290"/>
    </row>
    <row r="308" spans="42:42" x14ac:dyDescent="0.25">
      <c r="AP308" s="290"/>
    </row>
    <row r="309" spans="42:42" x14ac:dyDescent="0.25">
      <c r="AP309" s="290"/>
    </row>
    <row r="310" spans="42:42" x14ac:dyDescent="0.25">
      <c r="AP310" s="290"/>
    </row>
    <row r="311" spans="42:42" x14ac:dyDescent="0.25">
      <c r="AP311" s="290"/>
    </row>
    <row r="312" spans="42:42" x14ac:dyDescent="0.25">
      <c r="AP312" s="290"/>
    </row>
    <row r="313" spans="42:42" x14ac:dyDescent="0.25">
      <c r="AP313" s="290"/>
    </row>
    <row r="314" spans="42:42" x14ac:dyDescent="0.25">
      <c r="AP314" s="290"/>
    </row>
    <row r="315" spans="42:42" x14ac:dyDescent="0.25">
      <c r="AP315" s="290"/>
    </row>
    <row r="316" spans="42:42" x14ac:dyDescent="0.25">
      <c r="AP316" s="290"/>
    </row>
    <row r="317" spans="42:42" x14ac:dyDescent="0.25">
      <c r="AP317" s="290"/>
    </row>
    <row r="318" spans="42:42" x14ac:dyDescent="0.25">
      <c r="AP318" s="290"/>
    </row>
    <row r="319" spans="42:42" x14ac:dyDescent="0.25">
      <c r="AP319" s="290"/>
    </row>
    <row r="320" spans="42:42" x14ac:dyDescent="0.25">
      <c r="AP320" s="290"/>
    </row>
    <row r="321" spans="42:42" x14ac:dyDescent="0.25">
      <c r="AP321" s="290"/>
    </row>
    <row r="322" spans="42:42" x14ac:dyDescent="0.25">
      <c r="AP322" s="290"/>
    </row>
    <row r="323" spans="42:42" x14ac:dyDescent="0.25">
      <c r="AP323" s="290"/>
    </row>
    <row r="324" spans="42:42" x14ac:dyDescent="0.25">
      <c r="AP324" s="290"/>
    </row>
    <row r="325" spans="42:42" x14ac:dyDescent="0.25">
      <c r="AP325" s="290"/>
    </row>
    <row r="326" spans="42:42" x14ac:dyDescent="0.25">
      <c r="AP326" s="290"/>
    </row>
    <row r="327" spans="42:42" x14ac:dyDescent="0.25">
      <c r="AP327" s="290"/>
    </row>
    <row r="328" spans="42:42" x14ac:dyDescent="0.25">
      <c r="AP328" s="290"/>
    </row>
    <row r="329" spans="42:42" x14ac:dyDescent="0.25">
      <c r="AP329" s="290"/>
    </row>
    <row r="330" spans="42:42" x14ac:dyDescent="0.25">
      <c r="AP330" s="290"/>
    </row>
    <row r="331" spans="42:42" x14ac:dyDescent="0.25">
      <c r="AP331" s="290"/>
    </row>
    <row r="332" spans="42:42" x14ac:dyDescent="0.25">
      <c r="AP332" s="290"/>
    </row>
    <row r="333" spans="42:42" x14ac:dyDescent="0.25">
      <c r="AP333" s="290"/>
    </row>
    <row r="334" spans="42:42" x14ac:dyDescent="0.25">
      <c r="AP334" s="290"/>
    </row>
    <row r="335" spans="42:42" x14ac:dyDescent="0.25">
      <c r="AP335" s="290"/>
    </row>
    <row r="336" spans="42:42" x14ac:dyDescent="0.25">
      <c r="AP336" s="290"/>
    </row>
    <row r="337" spans="42:42" x14ac:dyDescent="0.25">
      <c r="AP337" s="290"/>
    </row>
    <row r="338" spans="42:42" x14ac:dyDescent="0.25">
      <c r="AP338" s="290"/>
    </row>
    <row r="339" spans="42:42" x14ac:dyDescent="0.25">
      <c r="AP339" s="290"/>
    </row>
    <row r="340" spans="42:42" x14ac:dyDescent="0.25">
      <c r="AP340" s="290"/>
    </row>
    <row r="341" spans="42:42" x14ac:dyDescent="0.25">
      <c r="AP341" s="290"/>
    </row>
    <row r="342" spans="42:42" x14ac:dyDescent="0.25">
      <c r="AP342" s="290"/>
    </row>
    <row r="343" spans="42:42" x14ac:dyDescent="0.25">
      <c r="AP343" s="290"/>
    </row>
    <row r="344" spans="42:42" x14ac:dyDescent="0.25">
      <c r="AP344" s="290"/>
    </row>
    <row r="345" spans="42:42" x14ac:dyDescent="0.25">
      <c r="AP345" s="290"/>
    </row>
    <row r="346" spans="42:42" x14ac:dyDescent="0.25">
      <c r="AP346" s="290"/>
    </row>
    <row r="347" spans="42:42" x14ac:dyDescent="0.25">
      <c r="AP347" s="290"/>
    </row>
    <row r="348" spans="42:42" x14ac:dyDescent="0.25">
      <c r="AP348" s="290"/>
    </row>
    <row r="349" spans="42:42" x14ac:dyDescent="0.25">
      <c r="AP349" s="290"/>
    </row>
    <row r="350" spans="42:42" x14ac:dyDescent="0.25">
      <c r="AP350" s="290"/>
    </row>
    <row r="351" spans="42:42" x14ac:dyDescent="0.25">
      <c r="AP351" s="290"/>
    </row>
    <row r="352" spans="42:42" x14ac:dyDescent="0.25">
      <c r="AP352" s="290"/>
    </row>
    <row r="353" spans="42:42" x14ac:dyDescent="0.25">
      <c r="AP353" s="290"/>
    </row>
    <row r="354" spans="42:42" x14ac:dyDescent="0.25">
      <c r="AP354" s="290"/>
    </row>
    <row r="355" spans="42:42" x14ac:dyDescent="0.25">
      <c r="AP355" s="290"/>
    </row>
    <row r="356" spans="42:42" x14ac:dyDescent="0.25">
      <c r="AP356" s="290"/>
    </row>
    <row r="357" spans="42:42" x14ac:dyDescent="0.25">
      <c r="AP357" s="290"/>
    </row>
    <row r="358" spans="42:42" x14ac:dyDescent="0.25">
      <c r="AP358" s="290"/>
    </row>
    <row r="359" spans="42:42" x14ac:dyDescent="0.25">
      <c r="AP359" s="290"/>
    </row>
    <row r="360" spans="42:42" x14ac:dyDescent="0.25">
      <c r="AP360" s="290"/>
    </row>
    <row r="361" spans="42:42" x14ac:dyDescent="0.25">
      <c r="AP361" s="290"/>
    </row>
    <row r="362" spans="42:42" x14ac:dyDescent="0.25">
      <c r="AP362" s="290"/>
    </row>
    <row r="363" spans="42:42" x14ac:dyDescent="0.25">
      <c r="AP363" s="290"/>
    </row>
    <row r="364" spans="42:42" x14ac:dyDescent="0.25">
      <c r="AP364" s="290"/>
    </row>
    <row r="365" spans="42:42" x14ac:dyDescent="0.25">
      <c r="AP365" s="290"/>
    </row>
    <row r="366" spans="42:42" x14ac:dyDescent="0.25">
      <c r="AP366" s="290"/>
    </row>
    <row r="367" spans="42:42" x14ac:dyDescent="0.25">
      <c r="AP367" s="290"/>
    </row>
    <row r="368" spans="42:42" x14ac:dyDescent="0.25">
      <c r="AP368" s="290"/>
    </row>
    <row r="369" spans="42:42" x14ac:dyDescent="0.25">
      <c r="AP369" s="290"/>
    </row>
    <row r="370" spans="42:42" x14ac:dyDescent="0.25">
      <c r="AP370" s="290"/>
    </row>
    <row r="371" spans="42:42" x14ac:dyDescent="0.25">
      <c r="AP371" s="290"/>
    </row>
    <row r="372" spans="42:42" x14ac:dyDescent="0.25">
      <c r="AP372" s="290"/>
    </row>
    <row r="373" spans="42:42" x14ac:dyDescent="0.25">
      <c r="AP373" s="290"/>
    </row>
    <row r="374" spans="42:42" x14ac:dyDescent="0.25">
      <c r="AP374" s="290"/>
    </row>
    <row r="375" spans="42:42" x14ac:dyDescent="0.25">
      <c r="AP375" s="290"/>
    </row>
    <row r="376" spans="42:42" x14ac:dyDescent="0.25">
      <c r="AP376" s="290"/>
    </row>
    <row r="377" spans="42:42" x14ac:dyDescent="0.25">
      <c r="AP377" s="290"/>
    </row>
    <row r="378" spans="42:42" x14ac:dyDescent="0.25">
      <c r="AP378" s="290"/>
    </row>
    <row r="379" spans="42:42" x14ac:dyDescent="0.25">
      <c r="AP379" s="290"/>
    </row>
    <row r="380" spans="42:42" x14ac:dyDescent="0.25">
      <c r="AP380" s="290"/>
    </row>
    <row r="381" spans="42:42" x14ac:dyDescent="0.25">
      <c r="AP381" s="290"/>
    </row>
    <row r="382" spans="42:42" x14ac:dyDescent="0.25">
      <c r="AP382" s="290"/>
    </row>
    <row r="383" spans="42:42" x14ac:dyDescent="0.25">
      <c r="AP383" s="290"/>
    </row>
    <row r="384" spans="42:42" x14ac:dyDescent="0.25">
      <c r="AP384" s="290"/>
    </row>
    <row r="385" spans="42:42" x14ac:dyDescent="0.25">
      <c r="AP385" s="290"/>
    </row>
    <row r="386" spans="42:42" x14ac:dyDescent="0.25">
      <c r="AP386" s="290"/>
    </row>
    <row r="387" spans="42:42" x14ac:dyDescent="0.25">
      <c r="AP387" s="290"/>
    </row>
    <row r="388" spans="42:42" x14ac:dyDescent="0.25">
      <c r="AP388" s="290"/>
    </row>
    <row r="389" spans="42:42" x14ac:dyDescent="0.25">
      <c r="AP389" s="290"/>
    </row>
    <row r="390" spans="42:42" x14ac:dyDescent="0.25">
      <c r="AP390" s="290"/>
    </row>
    <row r="391" spans="42:42" x14ac:dyDescent="0.25">
      <c r="AP391" s="290"/>
    </row>
    <row r="392" spans="42:42" x14ac:dyDescent="0.25">
      <c r="AP392" s="290"/>
    </row>
    <row r="393" spans="42:42" x14ac:dyDescent="0.25">
      <c r="AP393" s="290"/>
    </row>
    <row r="394" spans="42:42" x14ac:dyDescent="0.25">
      <c r="AP394" s="290"/>
    </row>
    <row r="395" spans="42:42" x14ac:dyDescent="0.25">
      <c r="AP395" s="290"/>
    </row>
    <row r="396" spans="42:42" x14ac:dyDescent="0.25">
      <c r="AP396" s="290"/>
    </row>
    <row r="397" spans="42:42" x14ac:dyDescent="0.25">
      <c r="AP397" s="290"/>
    </row>
    <row r="398" spans="42:42" x14ac:dyDescent="0.25">
      <c r="AP398" s="290"/>
    </row>
    <row r="399" spans="42:42" x14ac:dyDescent="0.25">
      <c r="AP399" s="290"/>
    </row>
    <row r="400" spans="42:42" x14ac:dyDescent="0.25">
      <c r="AP400" s="290"/>
    </row>
    <row r="401" spans="42:42" x14ac:dyDescent="0.25">
      <c r="AP401" s="290"/>
    </row>
    <row r="402" spans="42:42" x14ac:dyDescent="0.25">
      <c r="AP402" s="290"/>
    </row>
    <row r="403" spans="42:42" x14ac:dyDescent="0.25">
      <c r="AP403" s="290"/>
    </row>
    <row r="404" spans="42:42" x14ac:dyDescent="0.25">
      <c r="AP404" s="290"/>
    </row>
    <row r="405" spans="42:42" x14ac:dyDescent="0.25">
      <c r="AP405" s="290"/>
    </row>
    <row r="406" spans="42:42" x14ac:dyDescent="0.25">
      <c r="AP406" s="290"/>
    </row>
    <row r="407" spans="42:42" x14ac:dyDescent="0.25">
      <c r="AP407" s="290"/>
    </row>
    <row r="408" spans="42:42" x14ac:dyDescent="0.25">
      <c r="AP408" s="290"/>
    </row>
    <row r="409" spans="42:42" x14ac:dyDescent="0.25">
      <c r="AP409" s="290"/>
    </row>
    <row r="410" spans="42:42" x14ac:dyDescent="0.25">
      <c r="AP410" s="290"/>
    </row>
    <row r="411" spans="42:42" x14ac:dyDescent="0.25">
      <c r="AP411" s="290"/>
    </row>
    <row r="412" spans="42:42" x14ac:dyDescent="0.25">
      <c r="AP412" s="290"/>
    </row>
    <row r="413" spans="42:42" x14ac:dyDescent="0.25">
      <c r="AP413" s="290"/>
    </row>
    <row r="414" spans="42:42" x14ac:dyDescent="0.25">
      <c r="AP414" s="290"/>
    </row>
    <row r="415" spans="42:42" x14ac:dyDescent="0.25">
      <c r="AP415" s="290"/>
    </row>
    <row r="416" spans="42:42" x14ac:dyDescent="0.25">
      <c r="AP416" s="290"/>
    </row>
    <row r="417" spans="42:42" x14ac:dyDescent="0.25">
      <c r="AP417" s="290"/>
    </row>
    <row r="418" spans="42:42" x14ac:dyDescent="0.25">
      <c r="AP418" s="290"/>
    </row>
    <row r="419" spans="42:42" x14ac:dyDescent="0.25">
      <c r="AP419" s="290"/>
    </row>
    <row r="420" spans="42:42" x14ac:dyDescent="0.25">
      <c r="AP420" s="290"/>
    </row>
    <row r="421" spans="42:42" x14ac:dyDescent="0.25">
      <c r="AP421" s="290"/>
    </row>
    <row r="422" spans="42:42" x14ac:dyDescent="0.25">
      <c r="AP422" s="290"/>
    </row>
    <row r="423" spans="42:42" x14ac:dyDescent="0.25">
      <c r="AP423" s="290"/>
    </row>
    <row r="424" spans="42:42" x14ac:dyDescent="0.25">
      <c r="AP424" s="290"/>
    </row>
    <row r="425" spans="42:42" x14ac:dyDescent="0.25">
      <c r="AP425" s="290"/>
    </row>
    <row r="426" spans="42:42" x14ac:dyDescent="0.25">
      <c r="AP426" s="290"/>
    </row>
    <row r="427" spans="42:42" x14ac:dyDescent="0.25">
      <c r="AP427" s="290"/>
    </row>
    <row r="428" spans="42:42" x14ac:dyDescent="0.25">
      <c r="AP428" s="290"/>
    </row>
    <row r="429" spans="42:42" x14ac:dyDescent="0.25">
      <c r="AP429" s="290"/>
    </row>
    <row r="430" spans="42:42" x14ac:dyDescent="0.25">
      <c r="AP430" s="290"/>
    </row>
    <row r="431" spans="42:42" x14ac:dyDescent="0.25">
      <c r="AP431" s="290"/>
    </row>
    <row r="432" spans="42:42" x14ac:dyDescent="0.25">
      <c r="AP432" s="290"/>
    </row>
    <row r="433" spans="42:42" x14ac:dyDescent="0.25">
      <c r="AP433" s="290"/>
    </row>
    <row r="434" spans="42:42" x14ac:dyDescent="0.25">
      <c r="AP434" s="290"/>
    </row>
    <row r="435" spans="42:42" x14ac:dyDescent="0.25">
      <c r="AP435" s="290"/>
    </row>
  </sheetData>
  <scenarios current="10" show="10">
    <scenario name="Custom" locked="1" count="13" user="Nemati, Bijan (383B)" comment="Created by Stern, Timothy W (383B-Affiliate) on 8/4/2016_x000a_Modified by Stern, Timothy W (383B-Affiliate) on 8/4/2016_x000a_Modified by Nemati, Bijan (383B) on 8/22/2016_x000a_Modified by Nemati, Bijan (383B) on 9/22/2016_x000a_Modified by Nemati, Bijan (383B) on 10/24/20">
      <inputCells r="D3" val="Custom"/>
      <inputCells r="D4" val="5"/>
      <inputCells r="D5" val="PC EMCCD"/>
      <inputCells r="D6" val="HLC"/>
      <inputCells r="D7" val="14"/>
      <inputCells r="D8" val="10"/>
      <inputCells r="D9" val="0.1" numFmtId="9"/>
      <inputCells r="D10" val="4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maging 1" locked="1" count="13" user="Nemati, Bijan (383B)" comment="Created by Stern, Timothy W (383B-Affiliate) on 8/4/2016_x000a_Modified by Nemati, Bijan (383B) on 8/16/2016_x000a_Modified by Nemati, Bijan (383B) on 9/22/2016_x000a_Modified by Nemati, Bijan (383B) on 10/24/2016">
      <inputCells r="D3" val="Imaging 1"/>
      <inputCells r="D4" val="5"/>
      <inputCells r="D5" val="PC EMCCD"/>
      <inputCells r="D6" val="HLC"/>
      <inputCells r="D7" val="1"/>
      <inputCells r="D8" val="10"/>
      <inputCells r="D9" val="0" numFmtId="9"/>
      <inputCells r="D10" val="4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maging 2" locked="1" count="14" user="Nemati, Bijan (383B)" comment="Created by Stern, Timothy W (383B-Affiliate) on 8/4/2016_x000a_Modified by Nemati, Bijan (383B) on 8/16/2016_x000a_Modified by Nemati, Bijan (383B) on 9/14/2016_x000a_Modified by Nemati, Bijan (383B) on 9/22/2016_x000a_Modified by Nemati, Bijan (383B) on 10/24/2016">
      <inputCells r="D3" val="Imaging 2"/>
      <inputCells r="D4" val="5"/>
      <inputCells r="D5" val="PC EMCCD"/>
      <inputCells r="D6" val="HLC"/>
      <inputCells r="D7" val="1"/>
      <inputCells r="D8" val="10"/>
      <inputCells r="D9" val="0" numFmtId="16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  <inputCells r="AC6" val="0.00000055" numFmtId="11"/>
    </scenario>
    <scenario name="IFS 1" locked="1" count="13" user="Nemati, Bijan (383B)" comment="Created by Stern, Timothy W (383B-Affiliate) on 8/4/2016_x000a_Modified by Nemati, Bijan (383B) on 9/22/2016_x000a_Modified by Nemati, Bijan (383B) on 10/24/2016">
      <inputCells r="D3" val="IFS 1"/>
      <inputCells r="D4" val="5"/>
      <inputCells r="D5" val="PC EMCCD"/>
      <inputCells r="D6" val="SPC"/>
      <inputCells r="D7" val="1"/>
      <inputCells r="D8" val="10"/>
      <inputCells r="D9" val="0" numFmtId="16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FS 2" locked="1" count="13" user="Nemati, Bijan (383B)" comment="Created by Stern, Timothy W (383B-Affiliate) on 8/4/2016_x000a_Modified by Nemati, Bijan (383B) on 9/22/2016_x000a_Modified by Nemati, Bijan (383B) on 10/24/2016">
      <inputCells r="D3" val="IFS 2"/>
      <inputCells r="D4" val="5"/>
      <inputCells r="D5" val="PC EMCCD"/>
      <inputCells r="D6" val="SPC"/>
      <inputCells r="D7" val="1"/>
      <inputCells r="D8" val="10"/>
      <inputCells r="D9" val="0" numFmtId="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FS 3" locked="1" count="13" user="Nemati, Bijan (383B)" comment="Created by Stern, Timothy W (383B-Affiliate) on 8/4/2016_x000a_Modified by Nemati, Bijan (383B) on 9/22/2016_x000a_Modified by Nemati, Bijan (383B) on 10/24/2016">
      <inputCells r="D3" val="IFS 3"/>
      <inputCells r="D4" val="5"/>
      <inputCells r="D5" val="PC EMCCD"/>
      <inputCells r="D6" val="SPC"/>
      <inputCells r="D7" val="1"/>
      <inputCells r="D8" val="10"/>
      <inputCells r="D9" val="0" numFmtId="9"/>
      <inputCells r="D10" val="90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ComparisonImaging2" count="14" user="Nemati, Bijan (383B)" comment="Created by Nemati, Bijan (383B) on 9/9/2016_x000a_Modified by Nemati, Bijan (383B) on 9/9/2016_x000a_Modified by Nemati, Bijan (383B) on 9/14/2016_x000a_Modified by Nemati, Bijan (383B) on 9/21/2016_x000a_Modified by Nemati, Bijan (383B) on 9/22/2016_x000a_Modified by Nemati, Bija">
      <inputCells r="D3" val="Imaging 2"/>
      <inputCells r="D4" val="5"/>
      <inputCells r="D5" val="PC EMCCD"/>
      <inputCells r="D6" val="HLC"/>
      <inputCells r="D7" val="1"/>
      <inputCells r="D8" val="10"/>
      <inputCells r="D9" val="0.0333333333333333" numFmtId="169"/>
      <inputCells r="D10" val="97"/>
      <inputCells r="T15" val="450" numFmtId="1"/>
      <inputCells r="T17" val="660" numFmtId="1"/>
      <inputCells r="T18" val="2" numFmtId="1"/>
      <inputCells r="T19" val="2" numFmtId="1"/>
      <inputCells r="T20" val="2" numFmtId="1"/>
      <inputCells r="AC6" val="0.000000565" numFmtId="11"/>
    </scenario>
    <scenario name="ComparisonIFS1" locked="1" count="13" user="Nemati, Bijan (383B)" comment="Created by Nemati, Bijan (383B) on 9/9/2016_x000a_Modified by Nemati, Bijan (383B) on 9/22/2016_x000a_Modified by Nemati, Bijan (383B) on 10/24/2016">
      <inputCells r="D3" val="IFS 1"/>
      <inputCells r="D4" val="5"/>
      <inputCells r="D5" val="PC EMCCD"/>
      <inputCells r="D6" val="SPC"/>
      <inputCells r="D7" val="1"/>
      <inputCells r="D8" val="10"/>
      <inputCells r="D9" val="0.0333333" numFmtId="169"/>
      <inputCells r="D10" val="97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FS 1comp" locked="1" count="13" user="Nemati, Bijan (383B)" comment="Created by Nemati, Bijan (383B) on 10/7/2016_x000a_Modified by Nemati, Bijan (383B) on 10/7/2016_x000a_Modified by Nemati, Bijan (383B) on 10/17/2016_x000a_Modified by Nemati, Bijan (383B) on 10/24/2016">
      <inputCells r="D3" val="IFS 1comp"/>
      <inputCells r="D4" val="15"/>
      <inputCells r="D5" val="PC EMCCD"/>
      <inputCells r="D6" val="SPC"/>
      <inputCells r="D7" val="1"/>
      <inputCells r="D8" val="30"/>
      <inputCells r="D9" val="0.1" numFmtId="169"/>
      <inputCells r="D10" val="4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Img 2comp" locked="1" count="13" user="Nemati, Bijan (383B)" comment="Created by Nemati, Bijan (383B) on 10/7/2016_x000a_Modified by Nemati, Bijan (383B) on 10/7/2016_x000a_Modified by Nemati, Bijan (383B) on 10/17/2016_x000a_Modified by Nemati, Bijan (383B) on 10/24/2016">
      <inputCells r="D3" val="Img 2comp"/>
      <inputCells r="D4" val="5"/>
      <inputCells r="D5" val="PC EMCCD"/>
      <inputCells r="D6" val="HLC"/>
      <inputCells r="D7" val="1"/>
      <inputCells r="D8" val="30"/>
      <inputCells r="D9" val="0.0333" numFmtId="169"/>
      <inputCells r="D10" val="65"/>
      <inputCells r="T15" val="450" numFmtId="1"/>
      <inputCells r="T17" val="660" numFmtId="1"/>
      <inputCells r="T18" val="2" numFmtId="1"/>
      <inputCells r="T19" val="2" numFmtId="1"/>
      <inputCells r="T20" val="2" numFmtId="1"/>
    </scenario>
    <scenario name="GehrelsPlot5mag" locked="1" count="10" user="Nemati, Bijan (383B)" comment="Created by Nemati, Bijan (383B) on 10/31/2016_x000a_Modified by Nemati, Bijan (383B) on 10/31/2016">
      <inputCells r="D3" val="Img 2comp"/>
      <inputCells r="D4" val="5"/>
      <inputCells r="D5" val="PC EMCCD"/>
      <inputCells r="D6" val="HLC"/>
      <inputCells r="D7" val="9"/>
      <inputCells r="D8" val="30"/>
      <inputCells r="D9" val="0.1" numFmtId="169"/>
      <inputCells r="D11" val="1"/>
      <inputCells r="AK4" val="5"/>
      <inputCells r="AK5" val="12"/>
    </scenario>
  </scenarios>
  <sortState ref="AS40:AT73">
    <sortCondition ref="AT40:AT73"/>
  </sortState>
  <mergeCells count="9">
    <mergeCell ref="AR3:AS3"/>
    <mergeCell ref="AC21:AD21"/>
    <mergeCell ref="K16:K18"/>
    <mergeCell ref="N16:N18"/>
    <mergeCell ref="AC16:AD16"/>
    <mergeCell ref="AC17:AD17"/>
    <mergeCell ref="AC18:AD18"/>
    <mergeCell ref="AC19:AD19"/>
    <mergeCell ref="AC20:AD20"/>
  </mergeCells>
  <conditionalFormatting sqref="L27:L33">
    <cfRule type="dataBar" priority="16">
      <dataBar>
        <cfvo type="min"/>
        <cfvo type="max"/>
        <color theme="7"/>
      </dataBar>
      <extLst>
        <ext xmlns:x14="http://schemas.microsoft.com/office/spreadsheetml/2009/9/main" uri="{B025F937-C7B1-47D3-B67F-A62EFF666E3E}">
          <x14:id>{E4B1D9DC-F80A-4CC3-AF98-963299A1A4C0}</x14:id>
        </ext>
      </extLst>
    </cfRule>
  </conditionalFormatting>
  <conditionalFormatting sqref="L39:L45">
    <cfRule type="dataBar" priority="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{DF775439-B018-4E34-8CD6-FB87A7C87366}</x14:id>
        </ext>
      </extLst>
    </cfRule>
  </conditionalFormatting>
  <conditionalFormatting sqref="AB47:AC48">
    <cfRule type="expression" dxfId="23" priority="63">
      <formula>+$T$33="Check Range"</formula>
    </cfRule>
  </conditionalFormatting>
  <conditionalFormatting sqref="AW10:BA10 AS6:BF8 AS10:AS13 AU11:BF13 AS9:BA9 BB9:BF1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26:BS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6:BL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5">
    <dataValidation allowBlank="1" showInputMessage="1" showErrorMessage="1" errorTitle="Value not within range!" error="make sure value within range of 1-10" sqref="T33"/>
    <dataValidation type="list" allowBlank="1" showInputMessage="1" showErrorMessage="1" sqref="D6">
      <formula1>Masktype</formula1>
    </dataValidation>
    <dataValidation type="list" allowBlank="1" showInputMessage="1" showErrorMessage="1" sqref="D5">
      <formula1>$AB$25:$AD$25</formula1>
    </dataValidation>
    <dataValidation type="whole" allowBlank="1" showInputMessage="1" showErrorMessage="1" sqref="D11">
      <formula1>0</formula1>
      <formula2>1</formula2>
    </dataValidation>
    <dataValidation type="list" allowBlank="1" showInputMessage="1" showErrorMessage="1" sqref="D3">
      <formula1>$AA$4:$AA$12</formula1>
    </dataValidation>
  </dataValidations>
  <hyperlinks>
    <hyperlink ref="C60" r:id="rId1" location="gid=0"/>
  </hyperlinks>
  <pageMargins left="0.7" right="0.7" top="0.75" bottom="0.75" header="0.3" footer="0.3"/>
  <pageSetup scale="13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B1D9DC-F80A-4CC3-AF98-963299A1A4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L27:L33</xm:sqref>
        </x14:conditionalFormatting>
        <x14:conditionalFormatting xmlns:xm="http://schemas.microsoft.com/office/excel/2006/main">
          <x14:cfRule type="dataBar" id="{DF775439-B018-4E34-8CD6-FB87A7C873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L39:L45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I45"/>
  <sheetViews>
    <sheetView workbookViewId="0"/>
  </sheetViews>
  <sheetFormatPr defaultColWidth="12.5703125" defaultRowHeight="15.75" x14ac:dyDescent="0.25"/>
  <cols>
    <col min="1" max="1" width="2.28515625" style="38" customWidth="1"/>
    <col min="2" max="2" width="26.140625" style="38" customWidth="1"/>
    <col min="3" max="3" width="12.5703125" style="357"/>
    <col min="4" max="4" width="12.5703125" style="353"/>
    <col min="5" max="5" width="33.85546875" style="38" customWidth="1"/>
    <col min="6" max="6" width="7.28515625" style="38" customWidth="1"/>
    <col min="7" max="7" width="2.5703125" style="38" customWidth="1"/>
    <col min="8" max="8" width="18" style="38" customWidth="1"/>
    <col min="9" max="9" width="12.85546875" style="38" customWidth="1"/>
    <col min="10" max="10" width="3.85546875" style="38" customWidth="1"/>
    <col min="11" max="11" width="12.85546875" style="38" customWidth="1"/>
    <col min="12" max="12" width="3.85546875" style="38" customWidth="1"/>
    <col min="13" max="13" width="12.85546875" style="325" customWidth="1"/>
    <col min="14" max="14" width="3.85546875" style="38" customWidth="1"/>
    <col min="15" max="15" width="12.85546875" style="38" customWidth="1"/>
    <col min="16" max="16" width="3.85546875" style="38" customWidth="1"/>
    <col min="17" max="17" width="12.85546875" style="38" customWidth="1"/>
    <col min="18" max="18" width="3.85546875" style="38" customWidth="1"/>
    <col min="19" max="19" width="12.85546875" style="38" customWidth="1"/>
    <col min="20" max="20" width="5.42578125" style="38" customWidth="1"/>
    <col min="21" max="21" width="12.5703125" style="38"/>
    <col min="22" max="33" width="10.28515625" style="38" customWidth="1"/>
    <col min="34" max="34" width="10.85546875" style="38" customWidth="1"/>
    <col min="35" max="35" width="10.28515625" style="38" customWidth="1"/>
    <col min="36" max="16384" width="12.5703125" style="38"/>
  </cols>
  <sheetData>
    <row r="1" spans="2:35" s="421" customFormat="1" ht="27.75" customHeight="1" x14ac:dyDescent="0.45">
      <c r="B1" s="422" t="s">
        <v>964</v>
      </c>
      <c r="E1" s="421" t="s">
        <v>973</v>
      </c>
    </row>
    <row r="2" spans="2:35" ht="19.5" customHeight="1" x14ac:dyDescent="0.25">
      <c r="C2" s="38"/>
      <c r="D2" s="38"/>
      <c r="M2" s="38"/>
    </row>
    <row r="3" spans="2:35" x14ac:dyDescent="0.25">
      <c r="B3" s="414" t="s">
        <v>203</v>
      </c>
      <c r="C3" s="415" t="s">
        <v>93</v>
      </c>
      <c r="D3" s="416" t="s">
        <v>204</v>
      </c>
      <c r="E3" s="417" t="s">
        <v>94</v>
      </c>
      <c r="G3" s="484"/>
      <c r="H3" s="485"/>
      <c r="I3" s="485"/>
      <c r="J3" s="485"/>
      <c r="K3" s="485"/>
      <c r="L3" s="485"/>
      <c r="M3" s="486"/>
      <c r="N3" s="485"/>
      <c r="O3" s="485"/>
      <c r="P3" s="485"/>
      <c r="Q3" s="485"/>
      <c r="R3" s="485"/>
      <c r="S3" s="485"/>
      <c r="T3" s="487"/>
    </row>
    <row r="4" spans="2:35" s="325" customFormat="1" x14ac:dyDescent="0.25">
      <c r="B4" s="369" t="s">
        <v>955</v>
      </c>
      <c r="C4" s="370"/>
      <c r="D4" s="371"/>
      <c r="E4" s="372"/>
      <c r="F4" s="38"/>
      <c r="G4" s="488"/>
      <c r="H4" s="489"/>
      <c r="I4" s="489"/>
      <c r="J4" s="489"/>
      <c r="K4" s="489"/>
      <c r="L4" s="489"/>
      <c r="M4" s="441"/>
      <c r="N4" s="441"/>
      <c r="O4" s="441"/>
      <c r="P4" s="441"/>
      <c r="Q4" s="441"/>
      <c r="R4" s="489"/>
      <c r="S4" s="489"/>
      <c r="T4" s="490"/>
    </row>
    <row r="5" spans="2:35" s="325" customFormat="1" x14ac:dyDescent="0.25">
      <c r="B5" s="398" t="s">
        <v>959</v>
      </c>
      <c r="C5" s="399">
        <f>Photometry!D24/N_spectra</f>
        <v>2.1477372227272917E-2</v>
      </c>
      <c r="D5" s="400" t="s">
        <v>947</v>
      </c>
      <c r="E5" s="401" t="s">
        <v>956</v>
      </c>
      <c r="F5" s="38"/>
      <c r="G5" s="488"/>
      <c r="H5" s="491"/>
      <c r="I5" s="489"/>
      <c r="J5" s="489"/>
      <c r="K5" s="491"/>
      <c r="L5" s="491"/>
      <c r="M5" s="441"/>
      <c r="N5" s="441"/>
      <c r="O5" s="441"/>
      <c r="P5" s="441"/>
      <c r="Q5" s="441"/>
      <c r="R5" s="491"/>
      <c r="S5" s="491"/>
      <c r="T5" s="490"/>
    </row>
    <row r="6" spans="2:35" ht="16.5" thickBot="1" x14ac:dyDescent="0.3">
      <c r="B6" s="402" t="s">
        <v>960</v>
      </c>
      <c r="C6" s="403">
        <f>SQRT(C8)</f>
        <v>0.28626867708004694</v>
      </c>
      <c r="D6" s="404" t="s">
        <v>947</v>
      </c>
      <c r="E6" s="405" t="s">
        <v>962</v>
      </c>
      <c r="G6" s="488"/>
      <c r="H6" s="491" t="s">
        <v>828</v>
      </c>
      <c r="I6" s="481">
        <v>5</v>
      </c>
      <c r="J6" s="491"/>
      <c r="K6" s="472">
        <v>5</v>
      </c>
      <c r="L6" s="491"/>
      <c r="M6" s="418">
        <v>5</v>
      </c>
      <c r="N6" s="441"/>
      <c r="O6" s="469">
        <v>5</v>
      </c>
      <c r="P6" s="441"/>
      <c r="Q6" s="475">
        <v>5</v>
      </c>
      <c r="R6" s="491"/>
      <c r="S6" s="478">
        <v>5</v>
      </c>
      <c r="T6" s="492"/>
    </row>
    <row r="7" spans="2:35" x14ac:dyDescent="0.25">
      <c r="B7" s="406" t="s">
        <v>966</v>
      </c>
      <c r="C7" s="407">
        <f>C22/C21</f>
        <v>1.2381171788175329</v>
      </c>
      <c r="D7" s="408" t="s">
        <v>945</v>
      </c>
      <c r="E7" s="409" t="s">
        <v>956</v>
      </c>
      <c r="G7" s="488"/>
      <c r="H7" s="489" t="s">
        <v>1038</v>
      </c>
      <c r="I7" s="482" t="s">
        <v>763</v>
      </c>
      <c r="J7" s="489"/>
      <c r="K7" s="473" t="s">
        <v>763</v>
      </c>
      <c r="L7" s="489"/>
      <c r="M7" s="419" t="s">
        <v>763</v>
      </c>
      <c r="N7" s="441"/>
      <c r="O7" s="470" t="s">
        <v>763</v>
      </c>
      <c r="P7" s="441"/>
      <c r="Q7" s="476" t="s">
        <v>763</v>
      </c>
      <c r="R7" s="489"/>
      <c r="S7" s="479" t="s">
        <v>763</v>
      </c>
      <c r="T7" s="492"/>
      <c r="V7" s="448"/>
      <c r="W7" s="449"/>
      <c r="X7" s="449"/>
      <c r="Y7" s="450" t="s">
        <v>168</v>
      </c>
      <c r="Z7" s="450"/>
      <c r="AA7" s="450"/>
      <c r="AB7" s="450"/>
      <c r="AC7" s="450"/>
      <c r="AD7" s="449"/>
      <c r="AE7" s="450"/>
      <c r="AF7" s="449"/>
      <c r="AG7" s="449"/>
      <c r="AH7" s="451"/>
      <c r="AI7" s="452"/>
    </row>
    <row r="8" spans="2:35" x14ac:dyDescent="0.25">
      <c r="B8" s="128" t="s">
        <v>967</v>
      </c>
      <c r="C8" s="392">
        <f>SUMSQ(C9:C14)</f>
        <v>8.1949755477160185E-2</v>
      </c>
      <c r="D8" s="393" t="s">
        <v>947</v>
      </c>
      <c r="E8" s="394" t="s">
        <v>968</v>
      </c>
      <c r="G8" s="488"/>
      <c r="H8" s="489" t="s">
        <v>1039</v>
      </c>
      <c r="I8" s="482" t="s">
        <v>78</v>
      </c>
      <c r="J8" s="489"/>
      <c r="K8" s="473" t="s">
        <v>78</v>
      </c>
      <c r="L8" s="489"/>
      <c r="M8" s="419" t="s">
        <v>78</v>
      </c>
      <c r="N8" s="441"/>
      <c r="O8" s="470" t="s">
        <v>79</v>
      </c>
      <c r="P8" s="441"/>
      <c r="Q8" s="476" t="s">
        <v>79</v>
      </c>
      <c r="R8" s="489"/>
      <c r="S8" s="479" t="s">
        <v>79</v>
      </c>
      <c r="T8" s="492"/>
      <c r="V8" s="453"/>
      <c r="W8" s="650" t="s">
        <v>999</v>
      </c>
      <c r="X8" s="647"/>
      <c r="Y8" s="645" t="s">
        <v>988</v>
      </c>
      <c r="Z8" s="646"/>
      <c r="AA8" s="647"/>
      <c r="AB8" s="645" t="s">
        <v>882</v>
      </c>
      <c r="AC8" s="646"/>
      <c r="AD8" s="647"/>
      <c r="AE8" s="441"/>
      <c r="AF8" s="427" t="s">
        <v>996</v>
      </c>
      <c r="AG8" s="203"/>
      <c r="AH8" s="428"/>
      <c r="AI8" s="454"/>
    </row>
    <row r="9" spans="2:35" x14ac:dyDescent="0.25">
      <c r="B9" s="377" t="s">
        <v>844</v>
      </c>
      <c r="C9" s="365">
        <f>ENF*SQRT(pl_rate/N_spectra*frame_time)</f>
        <v>0.14655160260902272</v>
      </c>
      <c r="D9" s="355" t="s">
        <v>947</v>
      </c>
      <c r="E9" s="374" t="s">
        <v>956</v>
      </c>
      <c r="G9" s="488"/>
      <c r="H9" s="489" t="s">
        <v>1040</v>
      </c>
      <c r="I9" s="482">
        <v>14</v>
      </c>
      <c r="J9" s="489"/>
      <c r="K9" s="473">
        <v>24</v>
      </c>
      <c r="L9" s="489"/>
      <c r="M9" s="419">
        <v>24</v>
      </c>
      <c r="N9" s="441"/>
      <c r="O9" s="470">
        <v>24</v>
      </c>
      <c r="P9" s="441"/>
      <c r="Q9" s="476">
        <v>24</v>
      </c>
      <c r="R9" s="489"/>
      <c r="S9" s="479">
        <v>24</v>
      </c>
      <c r="T9" s="492"/>
      <c r="V9" s="453"/>
      <c r="W9" s="651"/>
      <c r="X9" s="652"/>
      <c r="Y9" s="446" t="s">
        <v>987</v>
      </c>
      <c r="Z9" s="648" t="s">
        <v>998</v>
      </c>
      <c r="AA9" s="649"/>
      <c r="AB9" s="517" t="s">
        <v>987</v>
      </c>
      <c r="AC9" s="648" t="s">
        <v>998</v>
      </c>
      <c r="AD9" s="649"/>
      <c r="AE9" s="441"/>
      <c r="AF9" s="446" t="s">
        <v>990</v>
      </c>
      <c r="AG9" s="206"/>
      <c r="AH9" s="429"/>
      <c r="AI9" s="454"/>
    </row>
    <row r="10" spans="2:35" ht="16.5" thickBot="1" x14ac:dyDescent="0.3">
      <c r="B10" s="377" t="s">
        <v>773</v>
      </c>
      <c r="C10" s="365">
        <f>ENF*SQRT(spec_rate/N_spectra*frame_time)</f>
        <v>0.11585579412377547</v>
      </c>
      <c r="D10" s="355" t="s">
        <v>947</v>
      </c>
      <c r="E10" s="374" t="s">
        <v>956</v>
      </c>
      <c r="G10" s="488"/>
      <c r="H10" s="489" t="s">
        <v>829</v>
      </c>
      <c r="I10" s="482">
        <v>10</v>
      </c>
      <c r="J10" s="489"/>
      <c r="K10" s="473">
        <v>10</v>
      </c>
      <c r="L10" s="489"/>
      <c r="M10" s="419">
        <v>10</v>
      </c>
      <c r="N10" s="441"/>
      <c r="O10" s="470">
        <v>10</v>
      </c>
      <c r="P10" s="441"/>
      <c r="Q10" s="476">
        <v>10</v>
      </c>
      <c r="R10" s="489"/>
      <c r="S10" s="479">
        <v>10</v>
      </c>
      <c r="T10" s="492"/>
      <c r="V10" s="453"/>
      <c r="W10" s="434" t="s">
        <v>721</v>
      </c>
      <c r="X10" s="439" t="s">
        <v>997</v>
      </c>
      <c r="Y10" s="434" t="s">
        <v>986</v>
      </c>
      <c r="Z10" s="432" t="s">
        <v>1000</v>
      </c>
      <c r="AA10" s="433" t="s">
        <v>1001</v>
      </c>
      <c r="AB10" s="434" t="s">
        <v>986</v>
      </c>
      <c r="AC10" s="432" t="s">
        <v>1000</v>
      </c>
      <c r="AD10" s="433" t="s">
        <v>1001</v>
      </c>
      <c r="AE10" s="441"/>
      <c r="AF10" s="446">
        <v>0.15</v>
      </c>
      <c r="AG10" s="381" t="s">
        <v>991</v>
      </c>
      <c r="AH10" s="429" t="s">
        <v>992</v>
      </c>
      <c r="AI10" s="454"/>
    </row>
    <row r="11" spans="2:35" ht="16.5" thickTop="1" x14ac:dyDescent="0.25">
      <c r="B11" s="377" t="s">
        <v>789</v>
      </c>
      <c r="C11" s="365">
        <f>ENF*SQRT(zodi_rate/N_spectra*frame_time)</f>
        <v>0.2084688907229704</v>
      </c>
      <c r="D11" s="355" t="s">
        <v>947</v>
      </c>
      <c r="E11" s="374" t="s">
        <v>956</v>
      </c>
      <c r="G11" s="488"/>
      <c r="H11" s="489" t="s">
        <v>775</v>
      </c>
      <c r="I11" s="482">
        <v>0.1</v>
      </c>
      <c r="J11" s="489"/>
      <c r="K11" s="473">
        <v>0</v>
      </c>
      <c r="L11" s="489"/>
      <c r="M11" s="419">
        <v>0</v>
      </c>
      <c r="N11" s="441"/>
      <c r="O11" s="470">
        <v>0</v>
      </c>
      <c r="P11" s="441"/>
      <c r="Q11" s="476">
        <v>0</v>
      </c>
      <c r="R11" s="489"/>
      <c r="S11" s="479">
        <v>0</v>
      </c>
      <c r="T11" s="492"/>
      <c r="V11" s="455"/>
      <c r="W11" s="440">
        <v>1.1499999999999999</v>
      </c>
      <c r="X11" s="447">
        <v>24</v>
      </c>
      <c r="Y11" s="446">
        <v>3.5000000000000003E-2</v>
      </c>
      <c r="Z11" s="425" t="s">
        <v>995</v>
      </c>
      <c r="AA11" s="435" t="s">
        <v>995</v>
      </c>
      <c r="AB11" s="446">
        <v>1.0940000000000001</v>
      </c>
      <c r="AC11" s="425" t="s">
        <v>995</v>
      </c>
      <c r="AD11" s="435" t="s">
        <v>995</v>
      </c>
      <c r="AE11" s="441"/>
      <c r="AF11" s="446">
        <v>0.05</v>
      </c>
      <c r="AG11" s="381" t="s">
        <v>991</v>
      </c>
      <c r="AH11" s="429" t="s">
        <v>993</v>
      </c>
      <c r="AI11" s="454"/>
    </row>
    <row r="12" spans="2:35" x14ac:dyDescent="0.25">
      <c r="B12" s="377" t="s">
        <v>842</v>
      </c>
      <c r="C12" s="365">
        <f>ENF*SQRT(dark_current*(mpix/N_spectra)*frame_time)</f>
        <v>3.3381214192053886E-2</v>
      </c>
      <c r="D12" s="355" t="s">
        <v>947</v>
      </c>
      <c r="E12" s="374" t="s">
        <v>956</v>
      </c>
      <c r="G12" s="488"/>
      <c r="H12" s="489" t="s">
        <v>789</v>
      </c>
      <c r="I12" s="482">
        <v>1</v>
      </c>
      <c r="J12" s="489"/>
      <c r="K12" s="473">
        <v>1</v>
      </c>
      <c r="L12" s="489"/>
      <c r="M12" s="419">
        <v>1</v>
      </c>
      <c r="N12" s="441"/>
      <c r="O12" s="470">
        <v>1</v>
      </c>
      <c r="P12" s="441"/>
      <c r="Q12" s="476">
        <v>1</v>
      </c>
      <c r="R12" s="489"/>
      <c r="S12" s="479">
        <v>1</v>
      </c>
      <c r="T12" s="492"/>
      <c r="V12" s="455"/>
      <c r="W12" s="440">
        <v>3.22</v>
      </c>
      <c r="X12" s="447">
        <v>28</v>
      </c>
      <c r="Y12" s="436">
        <v>2E-3</v>
      </c>
      <c r="Z12" s="426"/>
      <c r="AA12" s="437"/>
      <c r="AB12" s="446">
        <v>7.9000000000000001E-2</v>
      </c>
      <c r="AC12" s="425" t="s">
        <v>995</v>
      </c>
      <c r="AD12" s="435" t="s">
        <v>995</v>
      </c>
      <c r="AE12" s="441"/>
      <c r="AF12" s="446">
        <v>8</v>
      </c>
      <c r="AG12" s="206" t="s">
        <v>994</v>
      </c>
      <c r="AH12" s="429"/>
      <c r="AI12" s="454"/>
    </row>
    <row r="13" spans="2:35" x14ac:dyDescent="0.25">
      <c r="B13" s="377" t="s">
        <v>845</v>
      </c>
      <c r="C13" s="365">
        <f>ENF*SQRT(CIC*mpix/N_spectra)</f>
        <v>4.9761776069942136E-2</v>
      </c>
      <c r="D13" s="355" t="s">
        <v>947</v>
      </c>
      <c r="E13" s="374" t="s">
        <v>956</v>
      </c>
      <c r="G13" s="488"/>
      <c r="H13" s="489" t="s">
        <v>1041</v>
      </c>
      <c r="I13" s="482">
        <v>450</v>
      </c>
      <c r="J13" s="489"/>
      <c r="K13" s="473">
        <v>450</v>
      </c>
      <c r="L13" s="489"/>
      <c r="M13" s="419">
        <v>450</v>
      </c>
      <c r="N13" s="441"/>
      <c r="O13" s="470">
        <v>450</v>
      </c>
      <c r="P13" s="441"/>
      <c r="Q13" s="476">
        <v>450</v>
      </c>
      <c r="R13" s="489"/>
      <c r="S13" s="479">
        <v>450</v>
      </c>
      <c r="T13" s="492"/>
      <c r="V13" s="455"/>
      <c r="W13" s="440">
        <v>4.0999999999999996</v>
      </c>
      <c r="X13" s="447">
        <v>21</v>
      </c>
      <c r="Y13" s="446">
        <v>1.1000000000000001E-3</v>
      </c>
      <c r="Z13" s="381"/>
      <c r="AA13" s="447"/>
      <c r="AB13" s="446">
        <v>3.49E-2</v>
      </c>
      <c r="AC13" s="425" t="s">
        <v>995</v>
      </c>
      <c r="AD13" s="435" t="s">
        <v>995</v>
      </c>
      <c r="AE13" s="441"/>
      <c r="AF13" s="205"/>
      <c r="AG13" s="206"/>
      <c r="AH13" s="429"/>
      <c r="AI13" s="454"/>
    </row>
    <row r="14" spans="2:35" x14ac:dyDescent="0.25">
      <c r="B14" s="390" t="s">
        <v>846</v>
      </c>
      <c r="C14" s="391">
        <f>SQRT((read_noise/gain)^2*mpix/N_spectra)</f>
        <v>0</v>
      </c>
      <c r="D14" s="368" t="s">
        <v>947</v>
      </c>
      <c r="E14" s="384" t="s">
        <v>956</v>
      </c>
      <c r="G14" s="488"/>
      <c r="H14" s="489" t="s">
        <v>1042</v>
      </c>
      <c r="I14" s="482">
        <v>660</v>
      </c>
      <c r="J14" s="489"/>
      <c r="K14" s="473">
        <v>660</v>
      </c>
      <c r="L14" s="489"/>
      <c r="M14" s="419">
        <v>660</v>
      </c>
      <c r="N14" s="441"/>
      <c r="O14" s="470">
        <v>660</v>
      </c>
      <c r="P14" s="441"/>
      <c r="Q14" s="476">
        <v>660</v>
      </c>
      <c r="R14" s="489"/>
      <c r="S14" s="479">
        <v>660</v>
      </c>
      <c r="T14" s="492"/>
      <c r="V14" s="455"/>
      <c r="W14" s="440">
        <v>5.04</v>
      </c>
      <c r="X14" s="447">
        <v>27</v>
      </c>
      <c r="Y14" s="446">
        <v>4.0000000000000002E-4</v>
      </c>
      <c r="Z14" s="381"/>
      <c r="AA14" s="447"/>
      <c r="AB14" s="446">
        <v>1.4E-2</v>
      </c>
      <c r="AC14" s="425" t="s">
        <v>995</v>
      </c>
      <c r="AD14" s="207"/>
      <c r="AE14" s="441"/>
      <c r="AF14" s="430">
        <f>AF10/AF12</f>
        <v>1.8749999999999999E-2</v>
      </c>
      <c r="AG14" s="381" t="s">
        <v>752</v>
      </c>
      <c r="AH14" s="429" t="s">
        <v>992</v>
      </c>
      <c r="AI14" s="454"/>
    </row>
    <row r="15" spans="2:35" x14ac:dyDescent="0.25">
      <c r="B15" s="373" t="s">
        <v>961</v>
      </c>
      <c r="C15" s="364">
        <f>C5/C6</f>
        <v>7.5025226113953708E-2</v>
      </c>
      <c r="D15" s="355" t="s">
        <v>828</v>
      </c>
      <c r="E15" s="374" t="s">
        <v>956</v>
      </c>
      <c r="G15" s="488"/>
      <c r="H15" s="489" t="s">
        <v>927</v>
      </c>
      <c r="I15" s="482">
        <v>2</v>
      </c>
      <c r="J15" s="489"/>
      <c r="K15" s="473">
        <v>2</v>
      </c>
      <c r="L15" s="489"/>
      <c r="M15" s="419">
        <v>2</v>
      </c>
      <c r="N15" s="441"/>
      <c r="O15" s="470">
        <v>2</v>
      </c>
      <c r="P15" s="441"/>
      <c r="Q15" s="476">
        <v>2</v>
      </c>
      <c r="R15" s="489"/>
      <c r="S15" s="479">
        <v>2</v>
      </c>
      <c r="T15" s="492"/>
      <c r="V15" s="453"/>
      <c r="W15" s="446">
        <v>5.72</v>
      </c>
      <c r="X15" s="447">
        <v>29</v>
      </c>
      <c r="Y15" s="446"/>
      <c r="Z15" s="381"/>
      <c r="AA15" s="447"/>
      <c r="AB15" s="446">
        <v>8.3999999999999995E-3</v>
      </c>
      <c r="AC15" s="425" t="s">
        <v>995</v>
      </c>
      <c r="AD15" s="207"/>
      <c r="AE15" s="441"/>
      <c r="AF15" s="424">
        <f>AF11/AF12</f>
        <v>6.2500000000000003E-3</v>
      </c>
      <c r="AG15" s="444" t="s">
        <v>752</v>
      </c>
      <c r="AH15" s="431" t="s">
        <v>993</v>
      </c>
      <c r="AI15" s="454"/>
    </row>
    <row r="16" spans="2:35" x14ac:dyDescent="0.25">
      <c r="B16" s="373" t="s">
        <v>958</v>
      </c>
      <c r="C16" s="364">
        <f>C15*SQRT(N_spectra)</f>
        <v>0.15005045222790742</v>
      </c>
      <c r="D16" s="355" t="s">
        <v>828</v>
      </c>
      <c r="E16" s="374" t="s">
        <v>957</v>
      </c>
      <c r="G16" s="488"/>
      <c r="H16" s="489" t="s">
        <v>928</v>
      </c>
      <c r="I16" s="482">
        <v>2</v>
      </c>
      <c r="J16" s="489"/>
      <c r="K16" s="473">
        <v>2</v>
      </c>
      <c r="L16" s="489"/>
      <c r="M16" s="419">
        <v>2</v>
      </c>
      <c r="N16" s="441"/>
      <c r="O16" s="470">
        <v>2</v>
      </c>
      <c r="P16" s="441"/>
      <c r="Q16" s="476">
        <v>2</v>
      </c>
      <c r="R16" s="489"/>
      <c r="S16" s="479">
        <v>2</v>
      </c>
      <c r="T16" s="492"/>
      <c r="V16" s="453"/>
      <c r="W16" s="446">
        <v>5.25</v>
      </c>
      <c r="X16" s="447">
        <v>33</v>
      </c>
      <c r="Y16" s="446"/>
      <c r="Z16" s="381"/>
      <c r="AA16" s="447"/>
      <c r="AB16" s="446">
        <v>4.4999999999999997E-3</v>
      </c>
      <c r="AC16" s="425"/>
      <c r="AD16" s="207"/>
      <c r="AE16" s="441"/>
      <c r="AF16" s="441"/>
      <c r="AG16" s="441"/>
      <c r="AH16" s="456"/>
      <c r="AI16" s="454"/>
    </row>
    <row r="17" spans="2:35" x14ac:dyDescent="0.25">
      <c r="B17" s="375" t="s">
        <v>948</v>
      </c>
      <c r="C17" s="366">
        <f>Photometry!L24</f>
        <v>1230.5175903770446</v>
      </c>
      <c r="D17" s="355" t="s">
        <v>949</v>
      </c>
      <c r="E17" s="376"/>
      <c r="G17" s="488"/>
      <c r="H17" s="489" t="s">
        <v>929</v>
      </c>
      <c r="I17" s="483">
        <v>2</v>
      </c>
      <c r="J17" s="489"/>
      <c r="K17" s="474">
        <v>2</v>
      </c>
      <c r="L17" s="489"/>
      <c r="M17" s="420">
        <v>2</v>
      </c>
      <c r="N17" s="441"/>
      <c r="O17" s="471">
        <v>2</v>
      </c>
      <c r="P17" s="441"/>
      <c r="Q17" s="477">
        <v>2</v>
      </c>
      <c r="R17" s="489"/>
      <c r="S17" s="480">
        <v>2</v>
      </c>
      <c r="T17" s="492"/>
      <c r="V17" s="453"/>
      <c r="W17" s="446">
        <v>5.04</v>
      </c>
      <c r="X17" s="447">
        <v>14</v>
      </c>
      <c r="Y17" s="446"/>
      <c r="Z17" s="381"/>
      <c r="AA17" s="447"/>
      <c r="AB17" s="446">
        <v>8.5000000000000006E-3</v>
      </c>
      <c r="AC17" s="425" t="s">
        <v>995</v>
      </c>
      <c r="AD17" s="207"/>
      <c r="AE17" s="441"/>
      <c r="AF17" s="442" t="s">
        <v>1000</v>
      </c>
      <c r="AG17" s="441" t="s">
        <v>1002</v>
      </c>
      <c r="AH17" s="456"/>
      <c r="AI17" s="454"/>
    </row>
    <row r="18" spans="2:35" x14ac:dyDescent="0.25">
      <c r="B18" s="378" t="s">
        <v>950</v>
      </c>
      <c r="C18" s="367">
        <f>C16*SQRT(C17)</f>
        <v>5.2635799245238699</v>
      </c>
      <c r="D18" s="368"/>
      <c r="E18" s="384" t="s">
        <v>951</v>
      </c>
      <c r="F18" s="325"/>
      <c r="G18" s="493"/>
      <c r="H18" s="494"/>
      <c r="I18" s="495"/>
      <c r="J18" s="494"/>
      <c r="K18" s="494"/>
      <c r="L18" s="494"/>
      <c r="M18" s="495"/>
      <c r="N18" s="494"/>
      <c r="O18" s="494"/>
      <c r="P18" s="494"/>
      <c r="Q18" s="494"/>
      <c r="R18" s="494"/>
      <c r="S18" s="494"/>
      <c r="T18" s="496"/>
      <c r="V18" s="453"/>
      <c r="W18" s="446">
        <v>3.73</v>
      </c>
      <c r="X18" s="447">
        <v>2</v>
      </c>
      <c r="Y18" s="446"/>
      <c r="Z18" s="381"/>
      <c r="AA18" s="447"/>
      <c r="AB18" s="446">
        <v>1.24E-2</v>
      </c>
      <c r="AC18" s="425" t="s">
        <v>995</v>
      </c>
      <c r="AD18" s="207"/>
      <c r="AE18" s="441"/>
      <c r="AF18" s="443" t="s">
        <v>1001</v>
      </c>
      <c r="AG18" s="441" t="s">
        <v>1003</v>
      </c>
      <c r="AH18" s="456"/>
      <c r="AI18" s="454"/>
    </row>
    <row r="19" spans="2:35" x14ac:dyDescent="0.25">
      <c r="B19" s="325"/>
      <c r="C19" s="359"/>
      <c r="V19" s="455"/>
      <c r="W19" s="440">
        <v>4.0999999999999996</v>
      </c>
      <c r="X19" s="447">
        <v>8</v>
      </c>
      <c r="Y19" s="446">
        <v>2.9999999999999997E-4</v>
      </c>
      <c r="Z19" s="381"/>
      <c r="AA19" s="447"/>
      <c r="AB19" s="446">
        <v>9.4000000000000004E-3</v>
      </c>
      <c r="AC19" s="425" t="s">
        <v>995</v>
      </c>
      <c r="AD19" s="207"/>
      <c r="AE19" s="441"/>
      <c r="AF19" s="441"/>
      <c r="AG19" s="441"/>
      <c r="AH19" s="456"/>
      <c r="AI19" s="454"/>
    </row>
    <row r="20" spans="2:35" x14ac:dyDescent="0.25">
      <c r="B20" s="38" t="s">
        <v>952</v>
      </c>
      <c r="C20" s="359">
        <f>f_SR</f>
        <v>1</v>
      </c>
      <c r="D20" s="355" t="s">
        <v>783</v>
      </c>
      <c r="E20" s="363">
        <f>1/C20</f>
        <v>1</v>
      </c>
      <c r="V20" s="453"/>
      <c r="W20" s="446">
        <v>5.52</v>
      </c>
      <c r="X20" s="447">
        <v>36</v>
      </c>
      <c r="Y20" s="446"/>
      <c r="Z20" s="381"/>
      <c r="AA20" s="447"/>
      <c r="AB20" s="446">
        <v>2.5999999999999999E-3</v>
      </c>
      <c r="AC20" s="381"/>
      <c r="AD20" s="207"/>
      <c r="AE20" s="441"/>
      <c r="AF20" s="441"/>
      <c r="AG20" s="456"/>
      <c r="AH20" s="456"/>
      <c r="AI20" s="454"/>
    </row>
    <row r="21" spans="2:35" x14ac:dyDescent="0.25">
      <c r="B21" s="354" t="s">
        <v>954</v>
      </c>
      <c r="C21" s="362">
        <f>Photometry!T18^2</f>
        <v>4</v>
      </c>
      <c r="D21" s="355" t="s">
        <v>953</v>
      </c>
      <c r="E21" s="356"/>
      <c r="V21" s="453"/>
      <c r="W21" s="438">
        <v>5.67</v>
      </c>
      <c r="X21" s="445">
        <v>23</v>
      </c>
      <c r="Y21" s="438"/>
      <c r="Z21" s="444"/>
      <c r="AA21" s="445"/>
      <c r="AB21" s="438">
        <v>4.7999999999999996E-3</v>
      </c>
      <c r="AC21" s="444"/>
      <c r="AD21" s="211"/>
      <c r="AE21" s="441"/>
      <c r="AF21" s="441"/>
      <c r="AG21" s="456"/>
      <c r="AH21" s="456"/>
      <c r="AI21" s="454"/>
    </row>
    <row r="22" spans="2:35" ht="16.5" thickBot="1" x14ac:dyDescent="0.3">
      <c r="B22" s="354" t="s">
        <v>944</v>
      </c>
      <c r="C22" s="360">
        <f>mpix</f>
        <v>4.9524687152701317</v>
      </c>
      <c r="D22" s="355" t="s">
        <v>945</v>
      </c>
      <c r="E22" s="356" t="s">
        <v>946</v>
      </c>
      <c r="V22" s="457"/>
      <c r="W22" s="458"/>
      <c r="X22" s="459"/>
      <c r="Y22" s="459"/>
      <c r="Z22" s="459"/>
      <c r="AA22" s="459"/>
      <c r="AB22" s="459"/>
      <c r="AC22" s="459"/>
      <c r="AD22" s="458"/>
      <c r="AE22" s="458"/>
      <c r="AF22" s="458"/>
      <c r="AG22" s="460"/>
      <c r="AH22" s="460"/>
      <c r="AI22" s="461"/>
    </row>
    <row r="23" spans="2:35" x14ac:dyDescent="0.25">
      <c r="C23" s="359"/>
      <c r="D23" s="355"/>
    </row>
    <row r="24" spans="2:35" x14ac:dyDescent="0.25">
      <c r="B24" s="410" t="s">
        <v>963</v>
      </c>
      <c r="C24" s="411"/>
      <c r="D24" s="412"/>
      <c r="E24" s="413"/>
    </row>
    <row r="25" spans="2:35" x14ac:dyDescent="0.25">
      <c r="B25" s="380" t="s">
        <v>941</v>
      </c>
      <c r="C25" s="381" t="str">
        <f>Photometry!D3</f>
        <v>Img 2comp</v>
      </c>
      <c r="D25" s="355"/>
      <c r="E25" s="374"/>
      <c r="I25" s="379"/>
      <c r="K25" s="379"/>
      <c r="M25" s="379"/>
      <c r="O25" s="379"/>
      <c r="Q25" s="379"/>
      <c r="R25" s="379"/>
      <c r="S25" s="379"/>
      <c r="V25" s="38" t="s">
        <v>1116</v>
      </c>
    </row>
    <row r="26" spans="2:35" ht="16.5" thickBot="1" x14ac:dyDescent="0.3">
      <c r="B26" s="380" t="s">
        <v>785</v>
      </c>
      <c r="C26" s="381">
        <f>Photometry!D4</f>
        <v>5</v>
      </c>
      <c r="D26" s="355"/>
      <c r="E26" s="374"/>
      <c r="R26" s="379"/>
    </row>
    <row r="27" spans="2:35" x14ac:dyDescent="0.25">
      <c r="B27" s="380" t="s">
        <v>821</v>
      </c>
      <c r="C27" s="381" t="str">
        <f>Photometry!D5</f>
        <v>PC EMCCD</v>
      </c>
      <c r="D27" s="355"/>
      <c r="E27" s="374"/>
      <c r="R27" s="379"/>
      <c r="V27" s="547"/>
      <c r="W27" s="548"/>
      <c r="X27" s="548"/>
      <c r="Y27" s="548"/>
      <c r="Z27" s="548"/>
      <c r="AA27" s="548"/>
      <c r="AB27" s="548"/>
      <c r="AC27" s="548"/>
      <c r="AD27" s="548"/>
      <c r="AE27" s="548"/>
      <c r="AF27" s="548"/>
      <c r="AG27" s="548"/>
      <c r="AH27" s="548"/>
      <c r="AI27" s="549"/>
    </row>
    <row r="28" spans="2:35" x14ac:dyDescent="0.25">
      <c r="B28" s="380" t="s">
        <v>911</v>
      </c>
      <c r="C28" s="381" t="str">
        <f>Photometry!D6</f>
        <v>HLC</v>
      </c>
      <c r="D28" s="355"/>
      <c r="E28" s="374"/>
      <c r="R28" s="379"/>
      <c r="V28" s="550"/>
      <c r="W28" s="650" t="s">
        <v>999</v>
      </c>
      <c r="X28" s="647"/>
      <c r="Y28" s="645" t="s">
        <v>988</v>
      </c>
      <c r="Z28" s="646"/>
      <c r="AA28" s="647"/>
      <c r="AB28" s="645" t="s">
        <v>989</v>
      </c>
      <c r="AC28" s="646"/>
      <c r="AD28" s="647"/>
      <c r="AE28" s="489"/>
      <c r="AF28" s="427" t="s">
        <v>996</v>
      </c>
      <c r="AG28" s="203"/>
      <c r="AH28" s="428"/>
      <c r="AI28" s="551"/>
    </row>
    <row r="29" spans="2:35" x14ac:dyDescent="0.25">
      <c r="B29" s="382" t="s">
        <v>909</v>
      </c>
      <c r="C29" s="381">
        <f>Photometry!D7</f>
        <v>9</v>
      </c>
      <c r="D29" s="355" t="str">
        <f>Photometry!AK8</f>
        <v>47Uma</v>
      </c>
      <c r="E29" s="374"/>
      <c r="R29" s="379"/>
      <c r="V29" s="550"/>
      <c r="W29" s="651"/>
      <c r="X29" s="652"/>
      <c r="Y29" s="517" t="s">
        <v>987</v>
      </c>
      <c r="Z29" s="648"/>
      <c r="AA29" s="649"/>
      <c r="AB29" s="517" t="s">
        <v>987</v>
      </c>
      <c r="AC29" s="648"/>
      <c r="AD29" s="649"/>
      <c r="AE29" s="489"/>
      <c r="AF29" s="517" t="s">
        <v>990</v>
      </c>
      <c r="AG29" s="206"/>
      <c r="AH29" s="429"/>
      <c r="AI29" s="551"/>
    </row>
    <row r="30" spans="2:35" x14ac:dyDescent="0.25">
      <c r="B30" s="380" t="s">
        <v>829</v>
      </c>
      <c r="C30" s="381">
        <f>Photometry!D8</f>
        <v>30</v>
      </c>
      <c r="D30" s="247" t="s">
        <v>224</v>
      </c>
      <c r="E30" s="374"/>
      <c r="R30" s="379"/>
      <c r="V30" s="550"/>
      <c r="W30" s="517" t="s">
        <v>721</v>
      </c>
      <c r="X30" s="518" t="s">
        <v>997</v>
      </c>
      <c r="Y30" s="438" t="s">
        <v>986</v>
      </c>
      <c r="Z30" s="424" t="s">
        <v>1000</v>
      </c>
      <c r="AA30" s="542" t="s">
        <v>1001</v>
      </c>
      <c r="AB30" s="438" t="s">
        <v>986</v>
      </c>
      <c r="AC30" s="424" t="s">
        <v>1000</v>
      </c>
      <c r="AD30" s="542" t="s">
        <v>1001</v>
      </c>
      <c r="AE30" s="489"/>
      <c r="AF30" s="517">
        <v>0.06</v>
      </c>
      <c r="AG30" s="381" t="s">
        <v>991</v>
      </c>
      <c r="AH30" s="429" t="s">
        <v>992</v>
      </c>
      <c r="AI30" s="551"/>
    </row>
    <row r="31" spans="2:35" x14ac:dyDescent="0.25">
      <c r="B31" s="380" t="s">
        <v>895</v>
      </c>
      <c r="C31" s="383">
        <f>Photometry!D9</f>
        <v>0.1</v>
      </c>
      <c r="D31" s="246" t="s">
        <v>775</v>
      </c>
      <c r="E31" s="374"/>
      <c r="R31" s="379"/>
      <c r="V31" s="550"/>
      <c r="W31" s="529">
        <f t="shared" ref="W31:W41" si="0">VLOOKUP(X31,RVp4List,2)</f>
        <v>1.1499999999999999</v>
      </c>
      <c r="X31" s="530">
        <v>24</v>
      </c>
      <c r="Y31" s="535">
        <v>8.0904401994762384E-2</v>
      </c>
      <c r="Z31" s="425" t="s">
        <v>995</v>
      </c>
      <c r="AA31" s="425" t="s">
        <v>995</v>
      </c>
      <c r="AB31" s="539">
        <v>2.5314540772401215</v>
      </c>
      <c r="AC31" s="543" t="s">
        <v>995</v>
      </c>
      <c r="AD31" s="544" t="s">
        <v>995</v>
      </c>
      <c r="AE31" s="489"/>
      <c r="AF31" s="517">
        <v>0.02</v>
      </c>
      <c r="AG31" s="381" t="s">
        <v>991</v>
      </c>
      <c r="AH31" s="429" t="s">
        <v>993</v>
      </c>
      <c r="AI31" s="551"/>
    </row>
    <row r="32" spans="2:35" x14ac:dyDescent="0.25">
      <c r="B32" s="380" t="s">
        <v>769</v>
      </c>
      <c r="C32" s="385">
        <f>Photometry!D47</f>
        <v>0</v>
      </c>
      <c r="D32" s="246" t="s">
        <v>920</v>
      </c>
      <c r="E32" s="374"/>
      <c r="R32" s="379"/>
      <c r="V32" s="550"/>
      <c r="W32" s="531">
        <f t="shared" si="0"/>
        <v>3.22</v>
      </c>
      <c r="X32" s="532">
        <v>28</v>
      </c>
      <c r="Y32" s="535">
        <v>4.3761126091193467E-3</v>
      </c>
      <c r="Z32" s="425" t="s">
        <v>995</v>
      </c>
      <c r="AA32" s="376"/>
      <c r="AB32" s="540">
        <v>0.18259766845970915</v>
      </c>
      <c r="AC32" s="425" t="s">
        <v>995</v>
      </c>
      <c r="AD32" s="435" t="s">
        <v>995</v>
      </c>
      <c r="AE32" s="489"/>
      <c r="AF32" s="517">
        <v>9</v>
      </c>
      <c r="AG32" s="206" t="s">
        <v>994</v>
      </c>
      <c r="AH32" s="429"/>
      <c r="AI32" s="551"/>
    </row>
    <row r="33" spans="2:35" x14ac:dyDescent="0.25">
      <c r="B33" s="380" t="s">
        <v>933</v>
      </c>
      <c r="C33" s="385">
        <f>Photometry!T15</f>
        <v>450</v>
      </c>
      <c r="D33" s="246" t="s">
        <v>864</v>
      </c>
      <c r="E33" s="374"/>
      <c r="R33" s="386"/>
      <c r="V33" s="550"/>
      <c r="W33" s="531">
        <f t="shared" si="0"/>
        <v>4.0999999999999996</v>
      </c>
      <c r="X33" s="532">
        <v>21</v>
      </c>
      <c r="Y33" s="535">
        <v>2.4347357866127848E-3</v>
      </c>
      <c r="Z33" s="425" t="s">
        <v>995</v>
      </c>
      <c r="AA33" s="376"/>
      <c r="AB33" s="540">
        <v>8.0853744207493985E-2</v>
      </c>
      <c r="AC33" s="425" t="s">
        <v>995</v>
      </c>
      <c r="AD33" s="435" t="s">
        <v>995</v>
      </c>
      <c r="AE33" s="489"/>
      <c r="AF33" s="205"/>
      <c r="AG33" s="206"/>
      <c r="AH33" s="429"/>
      <c r="AI33" s="551"/>
    </row>
    <row r="34" spans="2:35" x14ac:dyDescent="0.25">
      <c r="B34" s="380" t="s">
        <v>925</v>
      </c>
      <c r="C34" s="385">
        <f>Photometry!T17</f>
        <v>660</v>
      </c>
      <c r="D34" s="246" t="s">
        <v>864</v>
      </c>
      <c r="E34" s="374" t="s">
        <v>969</v>
      </c>
      <c r="F34" s="325"/>
      <c r="G34" s="325"/>
      <c r="R34" s="386"/>
      <c r="V34" s="550"/>
      <c r="W34" s="531">
        <f t="shared" si="0"/>
        <v>5.04</v>
      </c>
      <c r="X34" s="532">
        <v>27</v>
      </c>
      <c r="Y34" s="535">
        <v>6.4802159463051446E-4</v>
      </c>
      <c r="Z34" s="643" t="s">
        <v>168</v>
      </c>
      <c r="AA34" s="376"/>
      <c r="AB34" s="540">
        <v>3.2572486600819496E-2</v>
      </c>
      <c r="AC34" s="425" t="s">
        <v>995</v>
      </c>
      <c r="AD34" s="435" t="s">
        <v>995</v>
      </c>
      <c r="AE34" s="489"/>
      <c r="AF34" s="555">
        <f>AF30/AF32</f>
        <v>6.6666666666666662E-3</v>
      </c>
      <c r="AG34" s="381" t="s">
        <v>752</v>
      </c>
      <c r="AH34" s="429" t="s">
        <v>992</v>
      </c>
      <c r="AI34" s="551"/>
    </row>
    <row r="35" spans="2:35" x14ac:dyDescent="0.25">
      <c r="B35" s="380" t="s">
        <v>927</v>
      </c>
      <c r="C35" s="385">
        <f>Photometry!T18</f>
        <v>2</v>
      </c>
      <c r="D35" s="246" t="s">
        <v>913</v>
      </c>
      <c r="E35" s="374"/>
      <c r="R35" s="386"/>
      <c r="V35" s="550"/>
      <c r="W35" s="531">
        <f t="shared" si="0"/>
        <v>5.04</v>
      </c>
      <c r="X35" s="532">
        <v>14</v>
      </c>
      <c r="Y35" s="535">
        <v>7.829442218192658E-4</v>
      </c>
      <c r="Z35" s="643"/>
      <c r="AA35" s="376"/>
      <c r="AB35" s="540">
        <v>1.9648225237742106E-2</v>
      </c>
      <c r="AC35" s="425" t="s">
        <v>995</v>
      </c>
      <c r="AD35" s="435" t="s">
        <v>995</v>
      </c>
      <c r="AE35" s="489"/>
      <c r="AF35" s="556">
        <f>AF31/AF32</f>
        <v>2.2222222222222222E-3</v>
      </c>
      <c r="AG35" s="516" t="s">
        <v>752</v>
      </c>
      <c r="AH35" s="431" t="s">
        <v>993</v>
      </c>
      <c r="AI35" s="551"/>
    </row>
    <row r="36" spans="2:35" x14ac:dyDescent="0.25">
      <c r="B36" s="380" t="s">
        <v>928</v>
      </c>
      <c r="C36" s="385">
        <f>Photometry!T19</f>
        <v>2</v>
      </c>
      <c r="D36" s="246" t="s">
        <v>914</v>
      </c>
      <c r="E36" s="374"/>
      <c r="J36" s="325"/>
      <c r="R36" s="386"/>
      <c r="V36" s="550"/>
      <c r="W36" s="531">
        <f t="shared" si="0"/>
        <v>3.73</v>
      </c>
      <c r="X36" s="532">
        <v>2</v>
      </c>
      <c r="Y36" s="535">
        <v>8.2579597207176102E-4</v>
      </c>
      <c r="Z36" s="643"/>
      <c r="AA36" s="376"/>
      <c r="AB36" s="540">
        <v>2.8735219232744511E-2</v>
      </c>
      <c r="AC36" s="425" t="s">
        <v>995</v>
      </c>
      <c r="AD36" s="435" t="s">
        <v>995</v>
      </c>
      <c r="AE36" s="489"/>
      <c r="AF36" s="441"/>
      <c r="AG36" s="441"/>
      <c r="AH36" s="456"/>
      <c r="AI36" s="551"/>
    </row>
    <row r="37" spans="2:35" x14ac:dyDescent="0.25">
      <c r="B37" s="387" t="s">
        <v>929</v>
      </c>
      <c r="C37" s="388">
        <f>Photometry!T20</f>
        <v>2</v>
      </c>
      <c r="D37" s="389" t="s">
        <v>918</v>
      </c>
      <c r="E37" s="384"/>
      <c r="J37" s="325"/>
      <c r="R37" s="386"/>
      <c r="V37" s="550"/>
      <c r="W37" s="531">
        <f t="shared" si="0"/>
        <v>4.0999999999999996</v>
      </c>
      <c r="X37" s="532">
        <v>8</v>
      </c>
      <c r="Y37" s="535">
        <v>7.936181624553743E-4</v>
      </c>
      <c r="Z37" s="643"/>
      <c r="AA37" s="376"/>
      <c r="AB37" s="540">
        <v>2.1667617907772611E-2</v>
      </c>
      <c r="AC37" s="425" t="s">
        <v>995</v>
      </c>
      <c r="AD37" s="435" t="s">
        <v>995</v>
      </c>
      <c r="AE37" s="489"/>
      <c r="AF37" s="442" t="s">
        <v>1000</v>
      </c>
      <c r="AG37" s="441" t="s">
        <v>1002</v>
      </c>
      <c r="AH37" s="456"/>
      <c r="AI37" s="551"/>
    </row>
    <row r="38" spans="2:35" x14ac:dyDescent="0.25">
      <c r="B38" s="354"/>
      <c r="C38" s="358"/>
      <c r="D38" s="355"/>
      <c r="E38" s="356"/>
      <c r="V38" s="550"/>
      <c r="W38" s="531">
        <f t="shared" si="0"/>
        <v>5.67</v>
      </c>
      <c r="X38" s="532">
        <v>23</v>
      </c>
      <c r="Y38" s="535">
        <v>3.2279618617819366E-4</v>
      </c>
      <c r="Z38" s="643"/>
      <c r="AA38" s="376"/>
      <c r="AB38" s="540">
        <v>1.1083974075750945E-2</v>
      </c>
      <c r="AC38" s="425" t="s">
        <v>995</v>
      </c>
      <c r="AD38" s="435" t="s">
        <v>995</v>
      </c>
      <c r="AE38" s="489"/>
      <c r="AF38" s="443" t="s">
        <v>1001</v>
      </c>
      <c r="AG38" s="441" t="s">
        <v>1003</v>
      </c>
      <c r="AH38" s="456"/>
      <c r="AI38" s="551"/>
    </row>
    <row r="39" spans="2:35" x14ac:dyDescent="0.25">
      <c r="B39" s="354"/>
      <c r="C39" s="358"/>
      <c r="D39" s="355"/>
      <c r="E39" s="356"/>
      <c r="V39" s="550"/>
      <c r="W39" s="531">
        <f t="shared" si="0"/>
        <v>5.7229999999999999</v>
      </c>
      <c r="X39" s="532">
        <v>29</v>
      </c>
      <c r="Y39" s="536"/>
      <c r="Z39" s="643"/>
      <c r="AA39" s="376"/>
      <c r="AB39" s="540">
        <v>1.9410391323334025E-2</v>
      </c>
      <c r="AC39" s="425" t="s">
        <v>995</v>
      </c>
      <c r="AD39" s="435" t="s">
        <v>995</v>
      </c>
      <c r="AE39" s="489"/>
      <c r="AF39" s="489"/>
      <c r="AG39" s="489"/>
      <c r="AH39" s="489"/>
      <c r="AI39" s="551"/>
    </row>
    <row r="40" spans="2:35" x14ac:dyDescent="0.25">
      <c r="B40" s="395" t="s">
        <v>970</v>
      </c>
      <c r="C40" s="395"/>
      <c r="D40" s="396"/>
      <c r="E40" s="356"/>
      <c r="V40" s="550"/>
      <c r="W40" s="531">
        <f t="shared" si="0"/>
        <v>5.25</v>
      </c>
      <c r="X40" s="532">
        <v>33</v>
      </c>
      <c r="Y40" s="536"/>
      <c r="Z40" s="643"/>
      <c r="AA40" s="376"/>
      <c r="AB40" s="540">
        <v>1.0344809785640643E-2</v>
      </c>
      <c r="AC40" s="425" t="s">
        <v>995</v>
      </c>
      <c r="AD40" s="435" t="s">
        <v>995</v>
      </c>
      <c r="AE40" s="489"/>
      <c r="AF40" s="489"/>
      <c r="AG40" s="489"/>
      <c r="AH40" s="489"/>
      <c r="AI40" s="551"/>
    </row>
    <row r="41" spans="2:35" x14ac:dyDescent="0.25">
      <c r="B41" s="397">
        <f>C5/N_spectra</f>
        <v>5.3693430568182293E-3</v>
      </c>
      <c r="C41" s="354" t="s">
        <v>959</v>
      </c>
      <c r="D41" s="395"/>
      <c r="E41" s="356"/>
      <c r="V41" s="550"/>
      <c r="W41" s="533">
        <f t="shared" si="0"/>
        <v>5.52</v>
      </c>
      <c r="X41" s="534">
        <v>36</v>
      </c>
      <c r="Y41" s="537"/>
      <c r="Z41" s="644"/>
      <c r="AA41" s="538"/>
      <c r="AB41" s="541">
        <v>5.9485685287316301E-3</v>
      </c>
      <c r="AC41" s="545" t="s">
        <v>995</v>
      </c>
      <c r="AD41" s="546" t="s">
        <v>168</v>
      </c>
      <c r="AE41" s="489"/>
      <c r="AF41" s="489"/>
      <c r="AG41" s="489"/>
      <c r="AH41" s="489"/>
      <c r="AI41" s="551"/>
    </row>
    <row r="42" spans="2:35" ht="16.5" thickBot="1" x14ac:dyDescent="0.3">
      <c r="B42" s="397">
        <f>C6/N_spectra</f>
        <v>7.1567169270011735E-2</v>
      </c>
      <c r="C42" s="354" t="s">
        <v>960</v>
      </c>
      <c r="D42" s="395"/>
      <c r="E42" s="356"/>
      <c r="V42" s="552"/>
      <c r="W42" s="553"/>
      <c r="X42" s="553"/>
      <c r="Y42" s="553"/>
      <c r="Z42" s="553"/>
      <c r="AA42" s="553"/>
      <c r="AB42" s="553"/>
      <c r="AC42" s="553"/>
      <c r="AD42" s="553"/>
      <c r="AE42" s="553"/>
      <c r="AF42" s="553"/>
      <c r="AG42" s="553"/>
      <c r="AH42" s="553"/>
      <c r="AI42" s="554"/>
    </row>
    <row r="43" spans="2:35" x14ac:dyDescent="0.25">
      <c r="B43" s="354"/>
      <c r="C43" s="358"/>
      <c r="D43" s="355"/>
      <c r="E43" s="356"/>
    </row>
    <row r="44" spans="2:35" x14ac:dyDescent="0.25">
      <c r="B44" s="354"/>
      <c r="C44" s="358"/>
      <c r="D44" s="355"/>
      <c r="E44" s="356"/>
    </row>
    <row r="45" spans="2:35" x14ac:dyDescent="0.25">
      <c r="B45" s="354"/>
      <c r="C45" s="358"/>
      <c r="D45" s="355"/>
      <c r="E45" s="356"/>
    </row>
  </sheetData>
  <mergeCells count="11">
    <mergeCell ref="Z34:Z41"/>
    <mergeCell ref="Y8:AA8"/>
    <mergeCell ref="Z9:AA9"/>
    <mergeCell ref="AB8:AD8"/>
    <mergeCell ref="W8:X9"/>
    <mergeCell ref="W28:X29"/>
    <mergeCell ref="Y28:AA28"/>
    <mergeCell ref="Z29:AA29"/>
    <mergeCell ref="AC9:AD9"/>
    <mergeCell ref="AB28:AD28"/>
    <mergeCell ref="AC29:AD29"/>
  </mergeCells>
  <pageMargins left="0.75" right="0.75" top="1" bottom="1" header="0.5" footer="0.5"/>
  <pageSetup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8438" r:id="rId4" name="CommandButton6">
          <controlPr defaultSize="0" autoLine="0" autoPict="0" r:id="rId5">
            <anchor moveWithCells="1">
              <from>
                <xdr:col>18</xdr:col>
                <xdr:colOff>114300</xdr:colOff>
                <xdr:row>3</xdr:row>
                <xdr:rowOff>0</xdr:rowOff>
              </from>
              <to>
                <xdr:col>18</xdr:col>
                <xdr:colOff>742950</xdr:colOff>
                <xdr:row>5</xdr:row>
                <xdr:rowOff>9525</xdr:rowOff>
              </to>
            </anchor>
          </controlPr>
        </control>
      </mc:Choice>
      <mc:Fallback>
        <control shapeId="18438" r:id="rId4" name="CommandButton6"/>
      </mc:Fallback>
    </mc:AlternateContent>
    <mc:AlternateContent xmlns:mc="http://schemas.openxmlformats.org/markup-compatibility/2006">
      <mc:Choice Requires="x14">
        <control shapeId="18437" r:id="rId6" name="CommandButton5">
          <controlPr defaultSize="0" autoLine="0" autoPict="0" r:id="rId7">
            <anchor moveWithCells="1">
              <from>
                <xdr:col>16</xdr:col>
                <xdr:colOff>200025</xdr:colOff>
                <xdr:row>3</xdr:row>
                <xdr:rowOff>0</xdr:rowOff>
              </from>
              <to>
                <xdr:col>16</xdr:col>
                <xdr:colOff>819150</xdr:colOff>
                <xdr:row>5</xdr:row>
                <xdr:rowOff>9525</xdr:rowOff>
              </to>
            </anchor>
          </controlPr>
        </control>
      </mc:Choice>
      <mc:Fallback>
        <control shapeId="18437" r:id="rId6" name="CommandButton5"/>
      </mc:Fallback>
    </mc:AlternateContent>
    <mc:AlternateContent xmlns:mc="http://schemas.openxmlformats.org/markup-compatibility/2006">
      <mc:Choice Requires="x14">
        <control shapeId="18436" r:id="rId8" name="CommandButton4">
          <controlPr defaultSize="0" autoLine="0" autoPict="0" r:id="rId9">
            <anchor moveWithCells="1">
              <from>
                <xdr:col>14</xdr:col>
                <xdr:colOff>133350</xdr:colOff>
                <xdr:row>3</xdr:row>
                <xdr:rowOff>0</xdr:rowOff>
              </from>
              <to>
                <xdr:col>14</xdr:col>
                <xdr:colOff>752475</xdr:colOff>
                <xdr:row>5</xdr:row>
                <xdr:rowOff>9525</xdr:rowOff>
              </to>
            </anchor>
          </controlPr>
        </control>
      </mc:Choice>
      <mc:Fallback>
        <control shapeId="18436" r:id="rId8" name="CommandButton4"/>
      </mc:Fallback>
    </mc:AlternateContent>
    <mc:AlternateContent xmlns:mc="http://schemas.openxmlformats.org/markup-compatibility/2006">
      <mc:Choice Requires="x14">
        <control shapeId="18435" r:id="rId10" name="CommandButton3">
          <controlPr defaultSize="0" autoLine="0" autoPict="0" r:id="rId11">
            <anchor moveWithCells="1">
              <from>
                <xdr:col>12</xdr:col>
                <xdr:colOff>66675</xdr:colOff>
                <xdr:row>3</xdr:row>
                <xdr:rowOff>0</xdr:rowOff>
              </from>
              <to>
                <xdr:col>12</xdr:col>
                <xdr:colOff>762000</xdr:colOff>
                <xdr:row>5</xdr:row>
                <xdr:rowOff>9525</xdr:rowOff>
              </to>
            </anchor>
          </controlPr>
        </control>
      </mc:Choice>
      <mc:Fallback>
        <control shapeId="18435" r:id="rId10" name="CommandButton3"/>
      </mc:Fallback>
    </mc:AlternateContent>
    <mc:AlternateContent xmlns:mc="http://schemas.openxmlformats.org/markup-compatibility/2006">
      <mc:Choice Requires="x14">
        <control shapeId="18434" r:id="rId12" name="CommandButton2">
          <controlPr defaultSize="0" autoLine="0" autoPict="0" r:id="rId13">
            <anchor moveWithCells="1">
              <from>
                <xdr:col>10</xdr:col>
                <xdr:colOff>57150</xdr:colOff>
                <xdr:row>3</xdr:row>
                <xdr:rowOff>0</xdr:rowOff>
              </from>
              <to>
                <xdr:col>10</xdr:col>
                <xdr:colOff>781050</xdr:colOff>
                <xdr:row>5</xdr:row>
                <xdr:rowOff>9525</xdr:rowOff>
              </to>
            </anchor>
          </controlPr>
        </control>
      </mc:Choice>
      <mc:Fallback>
        <control shapeId="18434" r:id="rId12" name="CommandButton2"/>
      </mc:Fallback>
    </mc:AlternateContent>
    <mc:AlternateContent xmlns:mc="http://schemas.openxmlformats.org/markup-compatibility/2006">
      <mc:Choice Requires="x14">
        <control shapeId="18433" r:id="rId14" name="CommandButton1">
          <controlPr defaultSize="0" autoLine="0" autoPict="0" r:id="rId15">
            <anchor moveWithCells="1" sizeWithCells="1">
              <from>
                <xdr:col>8</xdr:col>
                <xdr:colOff>57150</xdr:colOff>
                <xdr:row>3</xdr:row>
                <xdr:rowOff>0</xdr:rowOff>
              </from>
              <to>
                <xdr:col>8</xdr:col>
                <xdr:colOff>685800</xdr:colOff>
                <xdr:row>5</xdr:row>
                <xdr:rowOff>9525</xdr:rowOff>
              </to>
            </anchor>
          </controlPr>
        </control>
      </mc:Choice>
      <mc:Fallback>
        <control shapeId="18433" r:id="rId1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71"/>
  <sheetViews>
    <sheetView topLeftCell="E1" zoomScale="70" zoomScaleNormal="70" workbookViewId="0">
      <selection activeCell="AT48" sqref="AT48"/>
    </sheetView>
  </sheetViews>
  <sheetFormatPr defaultRowHeight="15" x14ac:dyDescent="0.25"/>
  <cols>
    <col min="1" max="1" width="2.7109375" style="568" customWidth="1"/>
    <col min="2" max="2" width="9.28515625" style="568" bestFit="1" customWidth="1"/>
    <col min="3" max="3" width="16.140625" style="568" customWidth="1"/>
    <col min="4" max="5" width="9.28515625" style="568" bestFit="1" customWidth="1"/>
    <col min="6" max="6" width="9.140625" style="568"/>
    <col min="7" max="7" width="9.7109375" style="568" customWidth="1"/>
    <col min="8" max="12" width="9.28515625" style="568" bestFit="1" customWidth="1"/>
    <col min="13" max="13" width="9.5703125" style="568" customWidth="1"/>
    <col min="14" max="14" width="12.42578125" style="568" customWidth="1"/>
    <col min="15" max="16" width="13.140625" style="568" bestFit="1" customWidth="1"/>
    <col min="17" max="17" width="16.5703125" style="568" customWidth="1"/>
    <col min="18" max="18" width="15.28515625" style="568" customWidth="1"/>
    <col min="19" max="20" width="18.28515625" style="568" customWidth="1"/>
    <col min="21" max="21" width="9.28515625" style="568" bestFit="1" customWidth="1"/>
    <col min="22" max="22" width="12.85546875" style="568" customWidth="1"/>
    <col min="23" max="23" width="9.140625" style="568"/>
    <col min="24" max="24" width="24.42578125" style="569" customWidth="1"/>
    <col min="25" max="26" width="9.140625" style="568"/>
    <col min="27" max="27" width="2.85546875" style="609" customWidth="1"/>
    <col min="28" max="30" width="9.140625" style="568"/>
    <col min="31" max="35" width="11.28515625" style="568" customWidth="1"/>
    <col min="36" max="39" width="9.140625" style="568"/>
    <col min="40" max="40" width="2.85546875" style="609" customWidth="1"/>
    <col min="41" max="41" width="9.140625" style="568"/>
    <col min="42" max="42" width="14" style="588" customWidth="1"/>
    <col min="43" max="44" width="10.7109375" style="588" customWidth="1"/>
    <col min="45" max="45" width="8.7109375" style="588" bestFit="1" customWidth="1"/>
    <col min="46" max="46" width="14.140625" style="588" bestFit="1" customWidth="1"/>
    <col min="47" max="47" width="13.5703125" style="598" customWidth="1"/>
    <col min="48" max="48" width="14" style="588" customWidth="1"/>
    <col min="49" max="50" width="10.7109375" style="588" customWidth="1"/>
    <col min="51" max="16384" width="9.140625" style="568"/>
  </cols>
  <sheetData>
    <row r="1" spans="1:50" s="595" customFormat="1" ht="18.75" x14ac:dyDescent="0.3">
      <c r="A1" s="594" t="s">
        <v>1225</v>
      </c>
      <c r="AU1" s="596"/>
    </row>
    <row r="2" spans="1:50" s="510" customFormat="1" ht="15.75" x14ac:dyDescent="0.25">
      <c r="B2" s="510">
        <v>1</v>
      </c>
      <c r="C2" s="510">
        <v>2</v>
      </c>
      <c r="D2" s="510">
        <v>3</v>
      </c>
      <c r="E2" s="510">
        <v>4</v>
      </c>
      <c r="F2" s="510">
        <v>5</v>
      </c>
      <c r="G2" s="510">
        <v>6</v>
      </c>
      <c r="H2" s="510">
        <v>7</v>
      </c>
      <c r="I2" s="510">
        <v>8</v>
      </c>
      <c r="J2" s="510">
        <v>9</v>
      </c>
      <c r="K2" s="510">
        <v>10</v>
      </c>
      <c r="L2" s="510">
        <v>11</v>
      </c>
      <c r="M2" s="510">
        <v>12</v>
      </c>
      <c r="N2" s="510">
        <v>13</v>
      </c>
      <c r="O2" s="510">
        <v>14</v>
      </c>
      <c r="P2" s="510">
        <v>15</v>
      </c>
      <c r="Q2" s="510">
        <v>16</v>
      </c>
      <c r="R2" s="510">
        <v>17</v>
      </c>
      <c r="S2" s="510">
        <v>18</v>
      </c>
      <c r="T2" s="510">
        <v>19</v>
      </c>
      <c r="U2" s="510">
        <v>20</v>
      </c>
      <c r="V2" s="510">
        <v>21</v>
      </c>
      <c r="W2" s="510">
        <v>22</v>
      </c>
      <c r="X2" s="586"/>
      <c r="AA2" s="608"/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608"/>
      <c r="AP2" s="592"/>
      <c r="AQ2" s="593"/>
      <c r="AR2" s="593"/>
      <c r="AS2" s="593"/>
      <c r="AT2" s="593"/>
      <c r="AU2" s="597"/>
      <c r="AV2" s="592"/>
      <c r="AW2" s="593"/>
      <c r="AX2" s="593"/>
    </row>
    <row r="3" spans="1:50" ht="15.75" x14ac:dyDescent="0.25">
      <c r="E3" s="568" t="s">
        <v>33</v>
      </c>
      <c r="G3" s="568" t="s">
        <v>1173</v>
      </c>
      <c r="H3" s="568" t="s">
        <v>1174</v>
      </c>
      <c r="I3" s="568" t="s">
        <v>1175</v>
      </c>
      <c r="K3" s="568" t="s">
        <v>21</v>
      </c>
      <c r="L3" s="568" t="s">
        <v>1176</v>
      </c>
      <c r="M3" s="568" t="s">
        <v>23</v>
      </c>
      <c r="N3" s="568" t="s">
        <v>1177</v>
      </c>
      <c r="O3" s="568" t="s">
        <v>1178</v>
      </c>
      <c r="Q3" s="568" t="s">
        <v>1179</v>
      </c>
      <c r="R3" s="568" t="s">
        <v>1179</v>
      </c>
      <c r="S3" s="568" t="s">
        <v>1171</v>
      </c>
      <c r="T3" s="568" t="s">
        <v>1171</v>
      </c>
      <c r="Y3" s="568" t="s">
        <v>1196</v>
      </c>
      <c r="Z3" s="588"/>
      <c r="AC3" s="607" t="s">
        <v>1227</v>
      </c>
      <c r="AE3" s="325"/>
      <c r="AF3" s="38"/>
      <c r="AG3" s="325" t="s">
        <v>1205</v>
      </c>
      <c r="AI3" s="38"/>
      <c r="AJ3" s="38"/>
      <c r="AK3" s="38"/>
      <c r="AL3" s="38"/>
      <c r="AM3" s="38"/>
      <c r="AP3" s="624" t="s">
        <v>1239</v>
      </c>
      <c r="AQ3" s="290"/>
      <c r="AR3" s="290"/>
      <c r="AS3" s="290"/>
      <c r="AT3" s="290"/>
      <c r="AU3" s="290"/>
      <c r="AV3" s="624" t="s">
        <v>1239</v>
      </c>
      <c r="AW3" s="290"/>
      <c r="AX3" s="290"/>
    </row>
    <row r="4" spans="1:50" s="573" customFormat="1" ht="15.75" x14ac:dyDescent="0.25">
      <c r="B4" s="573" t="s">
        <v>1187</v>
      </c>
      <c r="C4" s="573" t="s">
        <v>217</v>
      </c>
      <c r="D4" s="573" t="s">
        <v>46</v>
      </c>
      <c r="E4" s="573" t="s">
        <v>1167</v>
      </c>
      <c r="F4" s="573" t="s">
        <v>1188</v>
      </c>
      <c r="G4" s="573" t="s">
        <v>1164</v>
      </c>
      <c r="H4" s="573" t="s">
        <v>1165</v>
      </c>
      <c r="I4" s="573" t="s">
        <v>726</v>
      </c>
      <c r="J4" s="573" t="s">
        <v>1185</v>
      </c>
      <c r="K4" s="573" t="s">
        <v>1192</v>
      </c>
      <c r="L4" s="573" t="s">
        <v>1166</v>
      </c>
      <c r="M4" s="573" t="s">
        <v>1168</v>
      </c>
      <c r="N4" s="573" t="s">
        <v>898</v>
      </c>
      <c r="O4" s="573" t="s">
        <v>1169</v>
      </c>
      <c r="P4" s="573" t="s">
        <v>756</v>
      </c>
      <c r="Q4" s="573" t="s">
        <v>1170</v>
      </c>
      <c r="R4" s="573" t="s">
        <v>1171</v>
      </c>
      <c r="S4" s="573" t="s">
        <v>1169</v>
      </c>
      <c r="T4" s="573" t="s">
        <v>756</v>
      </c>
      <c r="U4" s="573" t="s">
        <v>1190</v>
      </c>
      <c r="V4" s="573" t="s">
        <v>1191</v>
      </c>
      <c r="W4" s="573" t="s">
        <v>1189</v>
      </c>
      <c r="X4" s="574" t="s">
        <v>1172</v>
      </c>
      <c r="Y4" s="573" t="s">
        <v>1195</v>
      </c>
      <c r="AA4" s="610"/>
      <c r="AB4" s="568"/>
      <c r="AC4" s="357" t="s">
        <v>1214</v>
      </c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610"/>
      <c r="AP4" s="624" t="s">
        <v>1240</v>
      </c>
      <c r="AQ4" s="290"/>
      <c r="AR4" s="290"/>
      <c r="AS4" s="290"/>
      <c r="AT4" s="290"/>
      <c r="AU4" s="290"/>
      <c r="AV4" s="624" t="s">
        <v>1241</v>
      </c>
      <c r="AW4" s="290"/>
      <c r="AX4" s="290"/>
    </row>
    <row r="5" spans="1:50" ht="15.75" x14ac:dyDescent="0.25">
      <c r="B5" s="568">
        <v>1</v>
      </c>
      <c r="C5" s="568" t="s">
        <v>1076</v>
      </c>
      <c r="D5" s="568">
        <v>1.1499999999999999</v>
      </c>
      <c r="E5" s="571">
        <v>10.3584</v>
      </c>
      <c r="F5" s="568" t="s">
        <v>268</v>
      </c>
      <c r="G5" s="570">
        <v>2.7582200000000001</v>
      </c>
      <c r="H5" s="568">
        <v>1.75739</v>
      </c>
      <c r="I5" s="568">
        <v>589.64000999999996</v>
      </c>
      <c r="J5" s="570">
        <v>0.02</v>
      </c>
      <c r="K5" s="571">
        <v>354.58</v>
      </c>
      <c r="L5" s="568">
        <v>2447739.02</v>
      </c>
      <c r="M5" s="572">
        <f t="shared" ref="M5:M38" si="0">H5/E5</f>
        <v>0.16965844145814027</v>
      </c>
      <c r="N5" s="568">
        <v>1.2621221356472152</v>
      </c>
      <c r="O5" s="568">
        <v>4.666638428336564E-8</v>
      </c>
      <c r="P5" s="568">
        <v>3.6974539123691984E-8</v>
      </c>
      <c r="Q5" s="568">
        <v>0.21</v>
      </c>
      <c r="R5" s="568">
        <v>0.1</v>
      </c>
      <c r="S5" s="568">
        <v>9.3332768566731287E-9</v>
      </c>
      <c r="T5" s="568">
        <v>7.3949078247383977E-9</v>
      </c>
      <c r="U5" s="568">
        <v>24</v>
      </c>
      <c r="V5" s="568" t="s">
        <v>267</v>
      </c>
      <c r="W5" s="568" t="s">
        <v>87</v>
      </c>
      <c r="X5" s="569" t="s">
        <v>1180</v>
      </c>
      <c r="Y5" s="571">
        <v>13.029</v>
      </c>
      <c r="Z5" s="512"/>
      <c r="AA5" s="611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611"/>
      <c r="AO5" s="38"/>
      <c r="AP5" s="3" t="s">
        <v>1242</v>
      </c>
      <c r="AQ5" s="3" t="s">
        <v>1243</v>
      </c>
      <c r="AR5" s="3" t="s">
        <v>1244</v>
      </c>
      <c r="AS5" s="3" t="s">
        <v>1245</v>
      </c>
      <c r="AT5" s="3" t="s">
        <v>1246</v>
      </c>
      <c r="AU5" s="290"/>
      <c r="AV5" s="3" t="s">
        <v>1242</v>
      </c>
      <c r="AW5" s="3" t="s">
        <v>1243</v>
      </c>
      <c r="AX5" s="3" t="s">
        <v>1244</v>
      </c>
    </row>
    <row r="6" spans="1:50" ht="15.75" x14ac:dyDescent="0.25">
      <c r="B6" s="568">
        <v>2</v>
      </c>
      <c r="C6" s="568" t="s">
        <v>1075</v>
      </c>
      <c r="D6" s="568">
        <v>3.21</v>
      </c>
      <c r="E6" s="571">
        <v>14.102399999999999</v>
      </c>
      <c r="F6" s="568" t="s">
        <v>273</v>
      </c>
      <c r="G6" s="570">
        <v>1.51728</v>
      </c>
      <c r="H6" s="568">
        <v>1.9793000000000001</v>
      </c>
      <c r="I6" s="568">
        <v>905.57399999999996</v>
      </c>
      <c r="J6" s="570">
        <v>0.12</v>
      </c>
      <c r="K6" s="571">
        <v>49.6</v>
      </c>
      <c r="L6" s="568">
        <v>2453121.9249999998</v>
      </c>
      <c r="M6" s="572">
        <f t="shared" si="0"/>
        <v>0.14035199682323576</v>
      </c>
      <c r="N6" s="568">
        <v>0.18927854273819977</v>
      </c>
      <c r="O6" s="568">
        <v>5.5171806622212234E-9</v>
      </c>
      <c r="P6" s="568">
        <v>2.9148473896760186E-8</v>
      </c>
      <c r="Q6" s="568">
        <v>0.12</v>
      </c>
      <c r="R6" s="568">
        <v>0.05</v>
      </c>
      <c r="S6" s="568">
        <v>5.5171806622212234E-10</v>
      </c>
      <c r="T6" s="568">
        <v>2.9148473896760185E-9</v>
      </c>
      <c r="U6" s="568">
        <v>28</v>
      </c>
      <c r="V6" s="568" t="s">
        <v>272</v>
      </c>
      <c r="W6" s="568" t="s">
        <v>87</v>
      </c>
      <c r="Y6" s="571">
        <v>12.933999999999999</v>
      </c>
      <c r="Z6" s="512"/>
      <c r="AA6" s="611"/>
      <c r="AC6" s="577" t="s">
        <v>1213</v>
      </c>
      <c r="AD6" s="325" t="s">
        <v>1212</v>
      </c>
      <c r="AE6" s="38"/>
      <c r="AF6" s="38"/>
      <c r="AG6" s="38"/>
      <c r="AH6" s="38"/>
      <c r="AI6" s="38"/>
      <c r="AJ6" s="38"/>
      <c r="AK6" s="38"/>
      <c r="AL6" s="38"/>
      <c r="AM6" s="38"/>
      <c r="AN6" s="611"/>
      <c r="AO6" s="38"/>
      <c r="AP6" s="290">
        <v>0.5</v>
      </c>
      <c r="AQ6" s="280">
        <f>((1*$AT$69^4*$AT$71^2)/(AP6*$AT$70)^2*0.25*(1-0.3))^0.25</f>
        <v>360.36110391906709</v>
      </c>
      <c r="AR6" s="280">
        <f>(AQ6^4+100^4)^0.25</f>
        <v>360.89414759294107</v>
      </c>
      <c r="AS6" s="280">
        <f>-0.0008-0.0266*AP6+0.528*AP6^2-0.2811*AP6^3+0.05824*AP6^4-0.00534*AP6^5+0.00018*AP6^6</f>
        <v>8.6238437500000015E-2</v>
      </c>
      <c r="AT6" s="1">
        <f>(1.01-0.0072*65-0.0000561*65^2+0.000000587*65^3-0.00000000074*65^4-0.00000000000286*65^5)*AS6</f>
        <v>3.8777499883262956E-2</v>
      </c>
      <c r="AU6" s="290"/>
      <c r="AV6" s="290">
        <v>0.5</v>
      </c>
      <c r="AW6" s="280">
        <f>((1*$AT$69^4*$AT$71^2)/(AV6*$AT$70)^2*0.25*(1-0.3))^0.25</f>
        <v>360.36110391906709</v>
      </c>
      <c r="AX6" s="280">
        <f>(AW6^4+50^4)^0.25</f>
        <v>360.39448850158465</v>
      </c>
    </row>
    <row r="7" spans="1:50" ht="15.75" x14ac:dyDescent="0.25">
      <c r="B7" s="568">
        <v>3</v>
      </c>
      <c r="C7" s="568" t="s">
        <v>1074</v>
      </c>
      <c r="D7" s="568">
        <v>5.37</v>
      </c>
      <c r="E7" s="571">
        <v>12.777900000000001</v>
      </c>
      <c r="F7" s="568" t="s">
        <v>299</v>
      </c>
      <c r="G7" s="570">
        <v>1.1796500000000001</v>
      </c>
      <c r="H7" s="568">
        <v>1.30958</v>
      </c>
      <c r="I7" s="568">
        <v>528.40002000000004</v>
      </c>
      <c r="J7" s="570">
        <v>0.26</v>
      </c>
      <c r="K7" s="571">
        <v>282</v>
      </c>
      <c r="L7" s="568">
        <v>2451123</v>
      </c>
      <c r="M7" s="572">
        <f t="shared" si="0"/>
        <v>0.10248788924627676</v>
      </c>
      <c r="N7" s="568">
        <v>2.5888171896981147E-2</v>
      </c>
      <c r="O7" s="568">
        <v>1.7237583657106694E-9</v>
      </c>
      <c r="P7" s="568">
        <v>6.6584785228179014E-8</v>
      </c>
      <c r="Q7" s="568">
        <v>0.31</v>
      </c>
      <c r="R7" s="568">
        <v>0.14000000000000001</v>
      </c>
      <c r="S7" s="568">
        <v>4.8265234239898742E-10</v>
      </c>
      <c r="T7" s="568">
        <v>1.8643739863890125E-8</v>
      </c>
      <c r="U7" s="568">
        <v>43</v>
      </c>
      <c r="V7" s="568" t="s">
        <v>298</v>
      </c>
      <c r="W7" s="568" t="s">
        <v>86</v>
      </c>
      <c r="Y7" s="571">
        <v>12.872999999999999</v>
      </c>
      <c r="Z7" s="512"/>
      <c r="AA7" s="611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611"/>
      <c r="AO7" s="38"/>
      <c r="AP7" s="290">
        <v>0.6</v>
      </c>
      <c r="AQ7" s="280">
        <f t="shared" ref="AQ7:AQ66" si="1">((1*$AT$69^4*$AT$71^2)/(AP7*$AT$70)^2*0.25*(1-0.3))^0.25</f>
        <v>328.96317577322725</v>
      </c>
      <c r="AR7" s="280">
        <f t="shared" ref="AR7:AR66" si="2">(AQ7^4+100^4)^0.25</f>
        <v>329.66319851896992</v>
      </c>
      <c r="AS7" s="280">
        <f t="shared" ref="AS7:AS66" si="3">-0.0008-0.0266*AP7+0.528*AP7^2-0.2811*AP7^3+0.05824*AP7^4-0.00534*AP7^5+0.00018*AP7^6</f>
        <v>0.11974346367999998</v>
      </c>
      <c r="AT7" s="1">
        <f t="shared" ref="AT7:AT66" si="4">(1.01-0.0072*65-0.0000561*65^2+0.000000587*65^3-0.00000000074*65^4-0.00000000000286*65^5)*AS7</f>
        <v>5.3843185051592579E-2</v>
      </c>
      <c r="AU7" s="290"/>
      <c r="AV7" s="290">
        <v>0.6</v>
      </c>
      <c r="AW7" s="280">
        <f t="shared" ref="AW7:AW66" si="5">((1*$AT$69^4*$AT$71^2)/(AV7*$AT$70)^2*0.25*(1-0.3))^0.25</f>
        <v>328.96317577322725</v>
      </c>
      <c r="AX7" s="280">
        <f t="shared" ref="AX7:AX66" si="6">(AW7^4+50^4)^0.25</f>
        <v>329.00705826399559</v>
      </c>
    </row>
    <row r="8" spans="1:50" ht="15.75" x14ac:dyDescent="0.25">
      <c r="B8" s="568">
        <v>4</v>
      </c>
      <c r="C8" s="568" t="s">
        <v>1073</v>
      </c>
      <c r="D8" s="568">
        <v>5.73</v>
      </c>
      <c r="E8" s="571">
        <v>8.9110700000000005</v>
      </c>
      <c r="F8" s="568" t="s">
        <v>275</v>
      </c>
      <c r="G8" s="570">
        <v>7.3607300000000001E-2</v>
      </c>
      <c r="H8" s="568">
        <v>1.1835800000000001</v>
      </c>
      <c r="I8" s="568">
        <v>525.79999999999995</v>
      </c>
      <c r="J8" s="570">
        <v>0.32</v>
      </c>
      <c r="K8" s="571">
        <v>110</v>
      </c>
      <c r="L8" s="568">
        <v>2455311.915</v>
      </c>
      <c r="M8" s="572">
        <f t="shared" si="0"/>
        <v>0.13282131102101094</v>
      </c>
      <c r="N8" s="568">
        <v>1.858238199910477E-2</v>
      </c>
      <c r="O8" s="568">
        <v>1.5147648502596594E-9</v>
      </c>
      <c r="P8" s="568">
        <v>8.1516182927066892E-8</v>
      </c>
      <c r="Q8" s="568">
        <v>0.33</v>
      </c>
      <c r="R8" s="568">
        <v>0.14000000000000001</v>
      </c>
      <c r="S8" s="568">
        <v>4.2413415807270467E-10</v>
      </c>
      <c r="T8" s="568">
        <v>2.2824531219578733E-8</v>
      </c>
      <c r="U8" s="568">
        <v>29</v>
      </c>
      <c r="V8" s="568" t="s">
        <v>274</v>
      </c>
      <c r="W8" s="568" t="s">
        <v>87</v>
      </c>
      <c r="X8" s="569" t="s">
        <v>1194</v>
      </c>
      <c r="Y8" s="571">
        <v>9.673</v>
      </c>
      <c r="Z8" s="512"/>
      <c r="AA8" s="611"/>
      <c r="AC8" s="576" t="s">
        <v>1210</v>
      </c>
      <c r="AD8" s="38">
        <v>0.45</v>
      </c>
      <c r="AE8" s="325" t="s">
        <v>1209</v>
      </c>
      <c r="AF8" s="38"/>
      <c r="AG8" s="38"/>
      <c r="AH8" s="38"/>
      <c r="AI8" s="38"/>
      <c r="AJ8" s="38"/>
      <c r="AK8" s="38"/>
      <c r="AL8" s="38"/>
      <c r="AM8" s="38"/>
      <c r="AN8" s="611"/>
      <c r="AO8" s="38"/>
      <c r="AP8" s="290">
        <v>0.7</v>
      </c>
      <c r="AQ8" s="280">
        <f t="shared" si="1"/>
        <v>304.56072021586454</v>
      </c>
      <c r="AR8" s="280">
        <f t="shared" si="2"/>
        <v>305.44183831014203</v>
      </c>
      <c r="AS8" s="280">
        <f t="shared" si="3"/>
        <v>0.15598980702000001</v>
      </c>
      <c r="AT8" s="1">
        <f t="shared" si="4"/>
        <v>7.0141515765615073E-2</v>
      </c>
      <c r="AU8" s="290"/>
      <c r="AV8" s="290">
        <v>0.7</v>
      </c>
      <c r="AW8" s="280">
        <f t="shared" si="5"/>
        <v>304.56072021586454</v>
      </c>
      <c r="AX8" s="280">
        <f t="shared" si="6"/>
        <v>304.61601448008071</v>
      </c>
    </row>
    <row r="9" spans="1:50" ht="15.75" x14ac:dyDescent="0.25">
      <c r="B9" s="568">
        <v>5</v>
      </c>
      <c r="C9" s="568" t="s">
        <v>1072</v>
      </c>
      <c r="D9" s="568">
        <v>4.0999999999999996</v>
      </c>
      <c r="E9" s="571">
        <v>13.4916</v>
      </c>
      <c r="F9" s="568" t="s">
        <v>242</v>
      </c>
      <c r="G9" s="570">
        <v>4.1158200000000003</v>
      </c>
      <c r="H9" s="568">
        <v>2.5245199999999999</v>
      </c>
      <c r="I9" s="568">
        <v>1278.1217999999999</v>
      </c>
      <c r="J9" s="570">
        <v>0.26739499999999999</v>
      </c>
      <c r="K9" s="571">
        <v>269.685</v>
      </c>
      <c r="L9" s="568">
        <v>2453937.7280000001</v>
      </c>
      <c r="M9" s="572">
        <f t="shared" si="0"/>
        <v>0.18711791040351033</v>
      </c>
      <c r="N9" s="568">
        <v>8.3387582560746923E-2</v>
      </c>
      <c r="O9" s="568">
        <v>1.4941108630879035E-9</v>
      </c>
      <c r="P9" s="568">
        <v>1.7917666122524422E-8</v>
      </c>
      <c r="Q9" s="568">
        <v>0.22</v>
      </c>
      <c r="R9" s="568">
        <v>0.11</v>
      </c>
      <c r="S9" s="568">
        <v>3.2870438987933878E-10</v>
      </c>
      <c r="T9" s="568">
        <v>3.9418865469553732E-9</v>
      </c>
      <c r="U9" s="568">
        <v>21</v>
      </c>
      <c r="V9" s="568" t="s">
        <v>241</v>
      </c>
      <c r="W9" s="568" t="s">
        <v>84</v>
      </c>
      <c r="X9" s="569" t="s">
        <v>1181</v>
      </c>
      <c r="Y9" s="571">
        <v>12.757</v>
      </c>
      <c r="Z9" s="512"/>
      <c r="AA9" s="611"/>
      <c r="AC9" s="576" t="s">
        <v>1207</v>
      </c>
      <c r="AD9" s="38">
        <v>65</v>
      </c>
      <c r="AE9" s="325" t="s">
        <v>1206</v>
      </c>
      <c r="AF9" s="38"/>
      <c r="AG9" s="38"/>
      <c r="AH9" s="38"/>
      <c r="AI9" s="38"/>
      <c r="AJ9" s="38"/>
      <c r="AK9" s="38"/>
      <c r="AL9" s="38"/>
      <c r="AM9" s="38"/>
      <c r="AN9" s="611"/>
      <c r="AO9" s="38"/>
      <c r="AP9" s="290">
        <v>0.8</v>
      </c>
      <c r="AQ9" s="280">
        <f t="shared" si="1"/>
        <v>284.89046712922027</v>
      </c>
      <c r="AR9" s="280">
        <f t="shared" si="2"/>
        <v>285.96556664919558</v>
      </c>
      <c r="AS9" s="280">
        <f t="shared" si="3"/>
        <v>0.1940692787200001</v>
      </c>
      <c r="AT9" s="1">
        <f t="shared" si="4"/>
        <v>8.7264120861532637E-2</v>
      </c>
      <c r="AU9" s="290"/>
      <c r="AV9" s="290">
        <v>0.8</v>
      </c>
      <c r="AW9" s="280">
        <f t="shared" si="5"/>
        <v>284.89046712922027</v>
      </c>
      <c r="AX9" s="280">
        <f t="shared" si="6"/>
        <v>284.95801813385162</v>
      </c>
    </row>
    <row r="10" spans="1:50" ht="15.75" x14ac:dyDescent="0.25">
      <c r="B10" s="568">
        <v>6</v>
      </c>
      <c r="C10" s="568" t="s">
        <v>1071</v>
      </c>
      <c r="D10" s="568">
        <v>3.72</v>
      </c>
      <c r="E10" s="571">
        <v>3.2160500000000001</v>
      </c>
      <c r="F10" s="568" t="s">
        <v>231</v>
      </c>
      <c r="G10" s="570">
        <v>1.0544800000000001</v>
      </c>
      <c r="H10" s="568">
        <v>3.3755799999999998</v>
      </c>
      <c r="I10" s="568">
        <v>2500</v>
      </c>
      <c r="J10" s="570">
        <v>0.25</v>
      </c>
      <c r="K10" s="571">
        <v>6</v>
      </c>
      <c r="L10" s="568">
        <v>2448940</v>
      </c>
      <c r="M10" s="572">
        <f t="shared" si="0"/>
        <v>1.0496043282909158</v>
      </c>
      <c r="N10" s="568">
        <v>0.11833177624829808</v>
      </c>
      <c r="O10" s="568">
        <v>1.1858879182559415E-9</v>
      </c>
      <c r="P10" s="568">
        <v>1.0021719912051077E-8</v>
      </c>
      <c r="Q10" s="568">
        <v>0.38</v>
      </c>
      <c r="R10" s="568">
        <v>0.18</v>
      </c>
      <c r="S10" s="568">
        <v>4.2691965057213891E-10</v>
      </c>
      <c r="T10" s="568">
        <v>3.6078191683383876E-9</v>
      </c>
      <c r="U10" s="568">
        <v>2</v>
      </c>
      <c r="V10" s="568" t="s">
        <v>230</v>
      </c>
      <c r="W10" s="568" t="s">
        <v>87</v>
      </c>
      <c r="Y10" s="571">
        <v>12.913</v>
      </c>
      <c r="Z10" s="512"/>
      <c r="AA10" s="611"/>
      <c r="AC10" s="576"/>
      <c r="AD10" s="38"/>
      <c r="AE10" s="325"/>
      <c r="AF10" s="38"/>
      <c r="AG10" s="38"/>
      <c r="AH10" s="38"/>
      <c r="AI10" s="38"/>
      <c r="AJ10" s="38"/>
      <c r="AK10" s="38"/>
      <c r="AL10" s="38"/>
      <c r="AM10" s="38"/>
      <c r="AN10" s="611"/>
      <c r="AO10" s="38"/>
      <c r="AP10" s="290">
        <v>0.9</v>
      </c>
      <c r="AQ10" s="280">
        <f t="shared" si="1"/>
        <v>268.59730826996667</v>
      </c>
      <c r="AR10" s="280">
        <f t="shared" si="2"/>
        <v>269.87825052224593</v>
      </c>
      <c r="AS10" s="280">
        <f t="shared" si="3"/>
        <v>0.23317180678000005</v>
      </c>
      <c r="AT10" s="1">
        <f t="shared" si="4"/>
        <v>0.10484674783435939</v>
      </c>
      <c r="AU10" s="290"/>
      <c r="AV10" s="290">
        <v>0.9</v>
      </c>
      <c r="AW10" s="280">
        <f t="shared" si="5"/>
        <v>268.59730826996667</v>
      </c>
      <c r="AX10" s="280">
        <f t="shared" si="6"/>
        <v>268.67790540170699</v>
      </c>
    </row>
    <row r="11" spans="1:50" ht="15.75" x14ac:dyDescent="0.25">
      <c r="B11" s="568">
        <v>7</v>
      </c>
      <c r="C11" s="568" t="s">
        <v>1070</v>
      </c>
      <c r="D11" s="568">
        <v>5.03</v>
      </c>
      <c r="E11" s="571">
        <v>14.0627</v>
      </c>
      <c r="F11" s="568" t="s">
        <v>233</v>
      </c>
      <c r="G11" s="570">
        <v>2.54589</v>
      </c>
      <c r="H11" s="568">
        <v>2.1014900000000001</v>
      </c>
      <c r="I11" s="568">
        <v>1078</v>
      </c>
      <c r="J11" s="570">
        <v>3.2000000000000001E-2</v>
      </c>
      <c r="K11" s="571">
        <v>334</v>
      </c>
      <c r="L11" s="568">
        <v>2451917</v>
      </c>
      <c r="M11" s="572">
        <f t="shared" si="0"/>
        <v>0.14943716356034048</v>
      </c>
      <c r="N11" s="568">
        <v>3.5407998945481502E-2</v>
      </c>
      <c r="O11" s="568">
        <v>9.1555786800177609E-10</v>
      </c>
      <c r="P11" s="568">
        <v>2.5857373906147063E-8</v>
      </c>
      <c r="Q11" s="568">
        <v>0.35</v>
      </c>
      <c r="R11" s="568">
        <v>0.16</v>
      </c>
      <c r="S11" s="568">
        <v>2.9297851776056832E-10</v>
      </c>
      <c r="T11" s="568">
        <v>8.2743596499670599E-9</v>
      </c>
      <c r="U11" s="568">
        <v>27</v>
      </c>
      <c r="V11" s="568" t="s">
        <v>232</v>
      </c>
      <c r="W11" s="568" t="s">
        <v>85</v>
      </c>
      <c r="Y11" s="571">
        <v>12.989000000000001</v>
      </c>
      <c r="Z11" s="512"/>
      <c r="AA11" s="611"/>
      <c r="AD11" s="325"/>
      <c r="AE11" s="325"/>
      <c r="AF11" s="38"/>
      <c r="AG11" s="38"/>
      <c r="AH11" s="38"/>
      <c r="AI11" s="38"/>
      <c r="AJ11" s="38"/>
      <c r="AL11" s="603" t="s">
        <v>1226</v>
      </c>
      <c r="AM11" s="38"/>
      <c r="AN11" s="611"/>
      <c r="AO11" s="38"/>
      <c r="AP11" s="290">
        <v>1</v>
      </c>
      <c r="AQ11" s="280">
        <f t="shared" si="1"/>
        <v>254.81378025704248</v>
      </c>
      <c r="AR11" s="280">
        <f t="shared" si="2"/>
        <v>256.31154658456609</v>
      </c>
      <c r="AS11" s="280">
        <f t="shared" si="3"/>
        <v>0.27258000000000004</v>
      </c>
      <c r="AT11" s="1">
        <f t="shared" si="4"/>
        <v>0.12256681851616127</v>
      </c>
      <c r="AU11" s="290"/>
      <c r="AV11" s="290">
        <v>1</v>
      </c>
      <c r="AW11" s="280">
        <f t="shared" si="5"/>
        <v>254.81378025704248</v>
      </c>
      <c r="AX11" s="280">
        <f t="shared" si="6"/>
        <v>254.90816678224752</v>
      </c>
    </row>
    <row r="12" spans="1:50" ht="15.75" x14ac:dyDescent="0.25">
      <c r="B12" s="568">
        <v>8</v>
      </c>
      <c r="C12" s="568" t="s">
        <v>1043</v>
      </c>
      <c r="D12" s="568">
        <v>5.52</v>
      </c>
      <c r="E12" s="571">
        <v>17.433800000000002</v>
      </c>
      <c r="F12" s="568" t="s">
        <v>242</v>
      </c>
      <c r="G12" s="570">
        <v>0.925037</v>
      </c>
      <c r="H12" s="568">
        <v>2.0217499999999999</v>
      </c>
      <c r="I12" s="568">
        <v>1003</v>
      </c>
      <c r="J12" s="570">
        <v>0.16</v>
      </c>
      <c r="K12" s="571">
        <v>336</v>
      </c>
      <c r="L12" s="568">
        <v>2450960</v>
      </c>
      <c r="M12" s="572">
        <f t="shared" si="0"/>
        <v>0.11596725900262707</v>
      </c>
      <c r="N12" s="568">
        <v>2.2547655132794855E-2</v>
      </c>
      <c r="O12" s="568">
        <v>6.2992022285069453E-10</v>
      </c>
      <c r="P12" s="568">
        <v>2.7937283018600696E-8</v>
      </c>
      <c r="Q12" s="568">
        <v>0.48</v>
      </c>
      <c r="R12" s="568">
        <v>0.22</v>
      </c>
      <c r="S12" s="568">
        <v>2.7716489805430562E-10</v>
      </c>
      <c r="T12" s="568">
        <v>1.2292404528184308E-8</v>
      </c>
      <c r="U12" s="568">
        <v>36</v>
      </c>
      <c r="V12" s="568" t="s">
        <v>288</v>
      </c>
      <c r="W12" s="568" t="s">
        <v>84</v>
      </c>
      <c r="Y12" s="571">
        <v>12.829000000000001</v>
      </c>
      <c r="Z12" s="512"/>
      <c r="AA12" s="611"/>
      <c r="AC12" s="604" t="s">
        <v>1204</v>
      </c>
      <c r="AD12" s="600" t="s">
        <v>729</v>
      </c>
      <c r="AE12" s="600" t="s">
        <v>1203</v>
      </c>
      <c r="AF12" s="600" t="s">
        <v>53</v>
      </c>
      <c r="AG12" s="600" t="s">
        <v>1202</v>
      </c>
      <c r="AH12" s="600" t="s">
        <v>730</v>
      </c>
      <c r="AI12" s="600" t="s">
        <v>1201</v>
      </c>
      <c r="AJ12" s="600" t="s">
        <v>1200</v>
      </c>
      <c r="AK12" s="601"/>
      <c r="AL12" s="602" t="s">
        <v>1215</v>
      </c>
      <c r="AM12" s="38"/>
      <c r="AN12" s="611"/>
      <c r="AO12" s="38"/>
      <c r="AP12" s="290">
        <v>1.1000000000000001</v>
      </c>
      <c r="AQ12" s="280">
        <f t="shared" si="1"/>
        <v>242.955406699337</v>
      </c>
      <c r="AR12" s="280">
        <f t="shared" si="2"/>
        <v>244.68020501447182</v>
      </c>
      <c r="AS12" s="280">
        <f t="shared" si="3"/>
        <v>0.31166384157999999</v>
      </c>
      <c r="AT12" s="1">
        <f t="shared" si="4"/>
        <v>0.14014104302951608</v>
      </c>
      <c r="AU12" s="290"/>
      <c r="AV12" s="290">
        <v>1.1000000000000001</v>
      </c>
      <c r="AW12" s="280">
        <f t="shared" si="5"/>
        <v>242.955406699337</v>
      </c>
      <c r="AX12" s="280">
        <f t="shared" si="6"/>
        <v>243.06428676889701</v>
      </c>
    </row>
    <row r="13" spans="1:50" ht="15.75" x14ac:dyDescent="0.25">
      <c r="B13" s="568">
        <v>9</v>
      </c>
      <c r="C13" s="568" t="s">
        <v>1069</v>
      </c>
      <c r="D13" s="568">
        <v>5.03</v>
      </c>
      <c r="E13" s="571">
        <v>14.0627</v>
      </c>
      <c r="F13" s="568" t="s">
        <v>233</v>
      </c>
      <c r="G13" s="570">
        <v>0.54577399999999998</v>
      </c>
      <c r="H13" s="568">
        <v>3.5719699999999999</v>
      </c>
      <c r="I13" s="568">
        <v>2391</v>
      </c>
      <c r="J13" s="570">
        <v>9.8000000000000004E-2</v>
      </c>
      <c r="K13" s="571">
        <v>295</v>
      </c>
      <c r="L13" s="568">
        <v>2452441</v>
      </c>
      <c r="M13" s="572">
        <f t="shared" si="0"/>
        <v>0.2540031430664097</v>
      </c>
      <c r="N13" s="568">
        <v>3.5407998945481502E-2</v>
      </c>
      <c r="O13" s="568">
        <v>3.1690190452514649E-10</v>
      </c>
      <c r="P13" s="568">
        <v>8.9500088670101779E-9</v>
      </c>
      <c r="Q13" s="568">
        <v>0.63</v>
      </c>
      <c r="R13" s="568">
        <v>0.28000000000000003</v>
      </c>
      <c r="S13" s="568">
        <v>1.7746506653408203E-10</v>
      </c>
      <c r="T13" s="568">
        <v>5.0120049655256999E-9</v>
      </c>
      <c r="U13" s="568">
        <v>14</v>
      </c>
      <c r="V13" s="568" t="s">
        <v>232</v>
      </c>
      <c r="W13" s="568" t="s">
        <v>85</v>
      </c>
      <c r="Y13" s="571">
        <v>12.659000000000001</v>
      </c>
      <c r="Z13" s="512"/>
      <c r="AA13" s="611"/>
      <c r="AC13" s="603">
        <v>420</v>
      </c>
      <c r="AD13" s="605">
        <v>1.01</v>
      </c>
      <c r="AE13" s="606">
        <v>-1.04E-2</v>
      </c>
      <c r="AF13" s="606">
        <v>6.2600000000000004E-5</v>
      </c>
      <c r="AG13" s="606">
        <v>-1.17E-6</v>
      </c>
      <c r="AH13" s="606">
        <v>1.0800000000000001E-8</v>
      </c>
      <c r="AI13" s="606">
        <v>-3.0200000000000003E-11</v>
      </c>
      <c r="AJ13" s="40">
        <f t="shared" ref="AJ13:AJ18" si="7">$AD$8*(AD13+AE13*$AD$9+AF13*$AD$9^2+AG13*$AD$9^3+AH13*$AD$9^4+AI13*$AD$9^5)</f>
        <v>0.19571387540625007</v>
      </c>
      <c r="AL13" s="578">
        <f t="shared" ref="AL13:AL18" si="8">AD13+AE13*$AD$9+AF13*$AD$9^2+AG13*$AD$9^3+AH13*$AD$9^4+AI13*$AD$9^5</f>
        <v>0.43491972312500016</v>
      </c>
      <c r="AM13" s="38"/>
      <c r="AN13" s="611"/>
      <c r="AO13" s="38"/>
      <c r="AP13" s="290">
        <v>1.2000000000000002</v>
      </c>
      <c r="AQ13" s="280">
        <f t="shared" si="1"/>
        <v>232.61209234991114</v>
      </c>
      <c r="AR13" s="280">
        <f t="shared" si="2"/>
        <v>234.57343824347302</v>
      </c>
      <c r="AS13" s="280">
        <f t="shared" si="3"/>
        <v>0.34987551232000014</v>
      </c>
      <c r="AT13" s="1">
        <f t="shared" si="4"/>
        <v>0.15732309201619488</v>
      </c>
      <c r="AU13" s="290"/>
      <c r="AV13" s="290">
        <v>1.2000000000000002</v>
      </c>
      <c r="AW13" s="280">
        <f t="shared" si="5"/>
        <v>232.61209234991114</v>
      </c>
      <c r="AX13" s="280">
        <f t="shared" si="6"/>
        <v>232.73613635686442</v>
      </c>
    </row>
    <row r="14" spans="1:50" ht="15.75" x14ac:dyDescent="0.25">
      <c r="B14" s="568">
        <v>10</v>
      </c>
      <c r="C14" s="568" t="s">
        <v>1044</v>
      </c>
      <c r="D14" s="568">
        <v>5.65</v>
      </c>
      <c r="E14" s="571">
        <v>18.315000000000001</v>
      </c>
      <c r="F14" s="568" t="s">
        <v>266</v>
      </c>
      <c r="G14" s="570">
        <v>10.087999999999999</v>
      </c>
      <c r="H14" s="568">
        <v>3.3465099999999999</v>
      </c>
      <c r="I14" s="568">
        <v>2151</v>
      </c>
      <c r="J14" s="570">
        <v>0.64049999999999996</v>
      </c>
      <c r="K14" s="571">
        <v>330.24</v>
      </c>
      <c r="L14" s="568">
        <v>2447820</v>
      </c>
      <c r="M14" s="572">
        <f t="shared" si="0"/>
        <v>0.18271962871962871</v>
      </c>
      <c r="N14" s="568">
        <v>2.0003287808417522E-2</v>
      </c>
      <c r="O14" s="568">
        <v>2.0396525865324406E-10</v>
      </c>
      <c r="P14" s="568">
        <v>1.0196586711481203E-8</v>
      </c>
      <c r="Q14" s="568">
        <v>0.12</v>
      </c>
      <c r="R14" s="568">
        <v>0.05</v>
      </c>
      <c r="S14" s="568">
        <v>2.0396525865324408E-11</v>
      </c>
      <c r="T14" s="568">
        <v>1.0196586711481203E-9</v>
      </c>
      <c r="U14" s="568">
        <v>23</v>
      </c>
      <c r="V14" s="568" t="s">
        <v>265</v>
      </c>
      <c r="W14" s="568" t="s">
        <v>85</v>
      </c>
      <c r="Y14" s="571">
        <v>12.747999999999999</v>
      </c>
      <c r="Z14" s="512"/>
      <c r="AA14" s="611"/>
      <c r="AC14" s="603">
        <v>463</v>
      </c>
      <c r="AD14" s="605">
        <v>1.01</v>
      </c>
      <c r="AE14" s="606">
        <v>-2.0200000000000001E-3</v>
      </c>
      <c r="AF14" s="606">
        <v>-2.8299999999999999E-4</v>
      </c>
      <c r="AG14" s="606">
        <v>3.8500000000000004E-6</v>
      </c>
      <c r="AH14" s="606">
        <v>-2E-8</v>
      </c>
      <c r="AI14" s="606">
        <v>3.75E-11</v>
      </c>
      <c r="AJ14" s="40">
        <f t="shared" si="7"/>
        <v>0.19207334179687505</v>
      </c>
      <c r="AL14" s="578">
        <f t="shared" si="8"/>
        <v>0.4268296484375001</v>
      </c>
      <c r="AM14" s="38"/>
      <c r="AN14" s="611"/>
      <c r="AO14" s="38"/>
      <c r="AP14" s="290">
        <v>1.3</v>
      </c>
      <c r="AQ14" s="280">
        <f t="shared" si="1"/>
        <v>223.48646940437823</v>
      </c>
      <c r="AR14" s="280">
        <f t="shared" si="2"/>
        <v>225.6932496910687</v>
      </c>
      <c r="AS14" s="280">
        <f t="shared" si="3"/>
        <v>0.38674434341999997</v>
      </c>
      <c r="AT14" s="1">
        <f t="shared" si="4"/>
        <v>0.17390132714106346</v>
      </c>
      <c r="AU14" s="290"/>
      <c r="AV14" s="290">
        <v>1.3</v>
      </c>
      <c r="AW14" s="280">
        <f t="shared" si="5"/>
        <v>223.48646940437823</v>
      </c>
      <c r="AX14" s="280">
        <f t="shared" si="6"/>
        <v>223.62631818932485</v>
      </c>
    </row>
    <row r="15" spans="1:50" ht="15.75" x14ac:dyDescent="0.25">
      <c r="B15" s="568">
        <v>11</v>
      </c>
      <c r="C15" s="568" t="s">
        <v>1068</v>
      </c>
      <c r="D15" s="568">
        <v>4.8499999999999996</v>
      </c>
      <c r="E15" s="571">
        <v>20.669699999999999</v>
      </c>
      <c r="F15" s="568" t="s">
        <v>584</v>
      </c>
      <c r="G15" s="570">
        <v>0.50603900000000002</v>
      </c>
      <c r="H15" s="568">
        <v>5.3109000000000002</v>
      </c>
      <c r="I15" s="568">
        <v>3827</v>
      </c>
      <c r="J15" s="570">
        <v>0.25</v>
      </c>
      <c r="K15" s="571">
        <v>244</v>
      </c>
      <c r="L15" s="568">
        <v>2455550.2999999998</v>
      </c>
      <c r="M15" s="572">
        <f t="shared" si="0"/>
        <v>0.25694131990304653</v>
      </c>
      <c r="N15" s="568">
        <v>4.1792791822486526E-2</v>
      </c>
      <c r="O15" s="568">
        <v>1.6920149909749235E-10</v>
      </c>
      <c r="P15" s="568">
        <v>4.0485809087885301E-9</v>
      </c>
      <c r="Q15" s="568">
        <v>0.45</v>
      </c>
      <c r="R15" s="568">
        <v>0.2</v>
      </c>
      <c r="S15" s="568">
        <v>6.7680599638996942E-11</v>
      </c>
      <c r="T15" s="568">
        <v>1.6194323635154122E-9</v>
      </c>
      <c r="U15" s="568">
        <v>999</v>
      </c>
      <c r="V15" s="568" t="s">
        <v>1197</v>
      </c>
      <c r="W15" s="568" t="s">
        <v>86</v>
      </c>
      <c r="Y15" s="571"/>
      <c r="Z15" s="512"/>
      <c r="AA15" s="611"/>
      <c r="AC15" s="603">
        <v>568</v>
      </c>
      <c r="AD15" s="605">
        <v>1.01</v>
      </c>
      <c r="AE15" s="606">
        <v>-7.1999999999999998E-3</v>
      </c>
      <c r="AF15" s="606">
        <v>-5.6100000000000002E-5</v>
      </c>
      <c r="AG15" s="606">
        <v>5.8699999999999995E-7</v>
      </c>
      <c r="AH15" s="606">
        <v>-7.4000000000000003E-10</v>
      </c>
      <c r="AI15" s="606">
        <v>-2.8599999999999999E-12</v>
      </c>
      <c r="AJ15" s="40">
        <f t="shared" si="7"/>
        <v>0.20234451659062502</v>
      </c>
      <c r="AL15" s="578">
        <f t="shared" si="8"/>
        <v>0.44965448131250002</v>
      </c>
      <c r="AM15" s="38"/>
      <c r="AN15" s="611"/>
      <c r="AO15" s="38"/>
      <c r="AP15" s="290">
        <v>1.4</v>
      </c>
      <c r="AQ15" s="280">
        <f t="shared" si="1"/>
        <v>215.35695054769661</v>
      </c>
      <c r="AR15" s="280">
        <f t="shared" si="2"/>
        <v>217.81747429651941</v>
      </c>
      <c r="AS15" s="280">
        <f t="shared" si="3"/>
        <v>0.4218718988800001</v>
      </c>
      <c r="AT15" s="1">
        <f t="shared" si="4"/>
        <v>0.18969658987120591</v>
      </c>
      <c r="AU15" s="290"/>
      <c r="AV15" s="290">
        <v>1.4</v>
      </c>
      <c r="AW15" s="280">
        <f t="shared" si="5"/>
        <v>215.35695054769661</v>
      </c>
      <c r="AX15" s="280">
        <f t="shared" si="6"/>
        <v>215.51321877075401</v>
      </c>
    </row>
    <row r="16" spans="1:50" ht="15.75" x14ac:dyDescent="0.25">
      <c r="B16" s="568">
        <v>12</v>
      </c>
      <c r="C16" s="568" t="s">
        <v>1045</v>
      </c>
      <c r="D16" s="568">
        <v>7.48</v>
      </c>
      <c r="E16" s="571">
        <v>16.5016</v>
      </c>
      <c r="F16" s="568" t="s">
        <v>295</v>
      </c>
      <c r="G16" s="570">
        <v>3.2484799999999998</v>
      </c>
      <c r="H16" s="568">
        <v>1.74533</v>
      </c>
      <c r="I16" s="568">
        <v>923.8</v>
      </c>
      <c r="J16" s="570">
        <v>0.23</v>
      </c>
      <c r="K16" s="571">
        <v>28</v>
      </c>
      <c r="L16" s="568">
        <v>2456987</v>
      </c>
      <c r="M16" s="572">
        <f t="shared" si="0"/>
        <v>0.10576731953265138</v>
      </c>
      <c r="N16" s="568">
        <v>3.7076726525169844E-3</v>
      </c>
      <c r="O16" s="568">
        <v>1.3899057360032136E-10</v>
      </c>
      <c r="P16" s="568">
        <v>3.748728289320969E-8</v>
      </c>
      <c r="Q16" s="568">
        <v>0.45</v>
      </c>
      <c r="R16" s="568">
        <v>0.2</v>
      </c>
      <c r="S16" s="568">
        <v>5.5596229440128537E-11</v>
      </c>
      <c r="T16" s="568">
        <v>1.4994913157283875E-8</v>
      </c>
      <c r="U16" s="568">
        <v>40</v>
      </c>
      <c r="V16" s="568" t="s">
        <v>294</v>
      </c>
      <c r="W16" s="568" t="s">
        <v>88</v>
      </c>
      <c r="Y16" s="571">
        <v>13.061999999999999</v>
      </c>
      <c r="Z16" s="512"/>
      <c r="AA16" s="611"/>
      <c r="AC16" s="603">
        <v>647</v>
      </c>
      <c r="AD16" s="605">
        <v>1</v>
      </c>
      <c r="AE16" s="606">
        <v>-6.7799999999999996E-3</v>
      </c>
      <c r="AF16" s="606">
        <v>-2.79E-6</v>
      </c>
      <c r="AG16" s="606">
        <v>-8.5899999999999995E-7</v>
      </c>
      <c r="AH16" s="606">
        <v>1.11E-8</v>
      </c>
      <c r="AI16" s="606">
        <v>-3.3699999999999997E-11</v>
      </c>
      <c r="AJ16" s="40">
        <f t="shared" si="7"/>
        <v>0.21179228329687505</v>
      </c>
      <c r="AL16" s="578">
        <f t="shared" si="8"/>
        <v>0.47064951843750008</v>
      </c>
      <c r="AM16" s="38"/>
      <c r="AN16" s="611"/>
      <c r="AO16" s="38"/>
      <c r="AP16" s="290">
        <v>1.5</v>
      </c>
      <c r="AQ16" s="280">
        <f t="shared" si="1"/>
        <v>208.05458035314396</v>
      </c>
      <c r="AR16" s="280">
        <f t="shared" si="2"/>
        <v>210.77662077507489</v>
      </c>
      <c r="AS16" s="280">
        <f t="shared" si="3"/>
        <v>0.45492718750000011</v>
      </c>
      <c r="AT16" s="1">
        <f t="shared" si="4"/>
        <v>0.20456004853026699</v>
      </c>
      <c r="AU16" s="290"/>
      <c r="AV16" s="290">
        <v>1.5</v>
      </c>
      <c r="AW16" s="280">
        <f t="shared" si="5"/>
        <v>208.05458035314396</v>
      </c>
      <c r="AX16" s="280">
        <f t="shared" si="6"/>
        <v>208.22785924606984</v>
      </c>
    </row>
    <row r="17" spans="2:50" ht="15.75" x14ac:dyDescent="0.25">
      <c r="B17" s="568">
        <v>13</v>
      </c>
      <c r="C17" s="568" t="s">
        <v>1046</v>
      </c>
      <c r="D17" s="568">
        <v>5.73</v>
      </c>
      <c r="E17" s="571">
        <v>15.857900000000001</v>
      </c>
      <c r="F17" s="568" t="s">
        <v>254</v>
      </c>
      <c r="G17" s="570">
        <v>1.53512</v>
      </c>
      <c r="H17" s="568">
        <v>3.9728500000000002</v>
      </c>
      <c r="I17" s="568">
        <v>2915.0369000000001</v>
      </c>
      <c r="J17" s="570">
        <v>0.31310500000000002</v>
      </c>
      <c r="K17" s="571">
        <v>12.9274</v>
      </c>
      <c r="L17" s="568">
        <v>2453541.662</v>
      </c>
      <c r="M17" s="572">
        <f t="shared" si="0"/>
        <v>0.25052812793623369</v>
      </c>
      <c r="N17" s="568">
        <v>1.858238199910477E-2</v>
      </c>
      <c r="O17" s="568">
        <v>1.344423572568976E-10</v>
      </c>
      <c r="P17" s="568">
        <v>7.2349366869852606E-9</v>
      </c>
      <c r="Q17" s="568">
        <v>0.62</v>
      </c>
      <c r="R17" s="568">
        <v>0.28000000000000003</v>
      </c>
      <c r="S17" s="568">
        <v>7.5287720063862668E-11</v>
      </c>
      <c r="T17" s="568">
        <v>4.0515645447117465E-9</v>
      </c>
      <c r="U17" s="568">
        <v>15</v>
      </c>
      <c r="V17" s="568" t="s">
        <v>253</v>
      </c>
      <c r="W17" s="568" t="s">
        <v>86</v>
      </c>
      <c r="Y17" s="571">
        <v>12.909000000000001</v>
      </c>
      <c r="Z17" s="512"/>
      <c r="AA17" s="611"/>
      <c r="AC17" s="603">
        <v>752</v>
      </c>
      <c r="AD17" s="605">
        <v>1</v>
      </c>
      <c r="AE17" s="606">
        <v>-6.2700000000000004E-3</v>
      </c>
      <c r="AF17" s="606">
        <v>-5.0399999999999999E-5</v>
      </c>
      <c r="AG17" s="606">
        <v>2.7099999999999998E-7</v>
      </c>
      <c r="AH17" s="606">
        <v>1.8400000000000001E-9</v>
      </c>
      <c r="AI17" s="606">
        <v>-9.2700000000000007E-12</v>
      </c>
      <c r="AJ17" s="40">
        <f t="shared" si="7"/>
        <v>0.21421018390781246</v>
      </c>
      <c r="AL17" s="578">
        <f t="shared" si="8"/>
        <v>0.47602263090624991</v>
      </c>
      <c r="AM17" s="38"/>
      <c r="AN17" s="611"/>
      <c r="AO17" s="38"/>
      <c r="AP17" s="290">
        <v>1.6</v>
      </c>
      <c r="AQ17" s="280">
        <f t="shared" si="1"/>
        <v>201.44798120247486</v>
      </c>
      <c r="AR17" s="280">
        <f t="shared" si="2"/>
        <v>204.4388107213895</v>
      </c>
      <c r="AS17" s="280">
        <f t="shared" si="3"/>
        <v>0.48564200448000033</v>
      </c>
      <c r="AT17" s="1">
        <f t="shared" si="4"/>
        <v>0.21837110362801737</v>
      </c>
      <c r="AU17" s="290"/>
      <c r="AV17" s="290">
        <v>1.6</v>
      </c>
      <c r="AW17" s="280">
        <f t="shared" si="5"/>
        <v>201.44798120247486</v>
      </c>
      <c r="AX17" s="280">
        <f t="shared" si="6"/>
        <v>201.63884084897168</v>
      </c>
    </row>
    <row r="18" spans="2:50" ht="15.75" x14ac:dyDescent="0.25">
      <c r="B18" s="568">
        <v>14</v>
      </c>
      <c r="C18" s="568" t="s">
        <v>1047</v>
      </c>
      <c r="D18" s="568">
        <v>5.12</v>
      </c>
      <c r="E18" s="571">
        <v>15.511100000000001</v>
      </c>
      <c r="F18" s="568" t="s">
        <v>244</v>
      </c>
      <c r="G18" s="570">
        <v>1.88907</v>
      </c>
      <c r="H18" s="568">
        <v>5.3405699999999996</v>
      </c>
      <c r="I18" s="568">
        <v>4205.8</v>
      </c>
      <c r="J18" s="570">
        <v>9.8500000000000004E-2</v>
      </c>
      <c r="K18" s="571">
        <v>57.6</v>
      </c>
      <c r="L18" s="568">
        <v>2452955.2000000002</v>
      </c>
      <c r="M18" s="572">
        <f t="shared" si="0"/>
        <v>0.344306335462991</v>
      </c>
      <c r="N18" s="568">
        <v>3.2591277466005208E-2</v>
      </c>
      <c r="O18" s="568">
        <v>1.3048639443713231E-10</v>
      </c>
      <c r="P18" s="568">
        <v>4.0037213813799712E-9</v>
      </c>
      <c r="Q18" s="568">
        <v>0.63</v>
      </c>
      <c r="R18" s="568">
        <v>0.28000000000000003</v>
      </c>
      <c r="S18" s="568">
        <v>7.3072380884794095E-11</v>
      </c>
      <c r="T18" s="568">
        <v>2.242083973572784E-9</v>
      </c>
      <c r="U18" s="568">
        <v>9</v>
      </c>
      <c r="V18" s="568" t="s">
        <v>243</v>
      </c>
      <c r="W18" s="568" t="s">
        <v>86</v>
      </c>
      <c r="X18" s="569" t="s">
        <v>1182</v>
      </c>
      <c r="Y18" s="571">
        <v>12.932</v>
      </c>
      <c r="Z18" s="512"/>
      <c r="AA18" s="611"/>
      <c r="AC18" s="603">
        <v>939</v>
      </c>
      <c r="AD18" s="605">
        <v>1</v>
      </c>
      <c r="AE18" s="606">
        <v>-2.2799999999999999E-3</v>
      </c>
      <c r="AF18" s="606">
        <v>-2.14E-4</v>
      </c>
      <c r="AG18" s="606">
        <v>1.9199999999999998E-6</v>
      </c>
      <c r="AH18" s="606">
        <v>-2.7299999999999999E-9</v>
      </c>
      <c r="AI18" s="606">
        <v>-1.0599999999999999E-11</v>
      </c>
      <c r="AJ18" s="40">
        <f t="shared" si="7"/>
        <v>0.18625442090624997</v>
      </c>
      <c r="AL18" s="578">
        <f t="shared" si="8"/>
        <v>0.41389871312499993</v>
      </c>
      <c r="AM18" s="38"/>
      <c r="AN18" s="611"/>
      <c r="AO18" s="38"/>
      <c r="AP18" s="290">
        <v>1.7000000000000002</v>
      </c>
      <c r="AQ18" s="280">
        <f t="shared" si="1"/>
        <v>195.4332481329989</v>
      </c>
      <c r="AR18" s="280">
        <f t="shared" si="2"/>
        <v>198.69966828731239</v>
      </c>
      <c r="AS18" s="280">
        <f t="shared" si="3"/>
        <v>0.51380640262000032</v>
      </c>
      <c r="AT18" s="1">
        <f t="shared" si="4"/>
        <v>0.23103535146513779</v>
      </c>
      <c r="AU18" s="290"/>
      <c r="AV18" s="290">
        <v>1.7000000000000002</v>
      </c>
      <c r="AW18" s="280">
        <f t="shared" si="5"/>
        <v>195.4332481329989</v>
      </c>
      <c r="AX18" s="280">
        <f t="shared" si="6"/>
        <v>195.64223938267648</v>
      </c>
    </row>
    <row r="19" spans="2:50" ht="15.75" x14ac:dyDescent="0.25">
      <c r="B19" s="568">
        <v>15</v>
      </c>
      <c r="C19" s="568" t="s">
        <v>1067</v>
      </c>
      <c r="D19" s="568">
        <v>6.61</v>
      </c>
      <c r="E19" s="571">
        <v>17.5716</v>
      </c>
      <c r="F19" s="568" t="s">
        <v>261</v>
      </c>
      <c r="G19" s="570">
        <v>5.2148599999999998</v>
      </c>
      <c r="H19" s="568">
        <v>2.9336199999999999</v>
      </c>
      <c r="I19" s="568">
        <v>1773.4</v>
      </c>
      <c r="J19" s="570">
        <v>0.36899999999999999</v>
      </c>
      <c r="K19" s="571">
        <v>22.6</v>
      </c>
      <c r="L19" s="568">
        <v>2451372.7000000002</v>
      </c>
      <c r="M19" s="572">
        <f t="shared" si="0"/>
        <v>0.16695235493637459</v>
      </c>
      <c r="N19" s="568">
        <v>8.262308060857107E-3</v>
      </c>
      <c r="O19" s="568">
        <v>1.0963083934142604E-10</v>
      </c>
      <c r="P19" s="568">
        <v>1.3268791061035948E-8</v>
      </c>
      <c r="Q19" s="568">
        <v>0.45</v>
      </c>
      <c r="R19" s="568">
        <v>0.2</v>
      </c>
      <c r="S19" s="568">
        <v>4.3852335736570421E-11</v>
      </c>
      <c r="T19" s="568">
        <v>5.3075164244143797E-9</v>
      </c>
      <c r="U19" s="568">
        <v>999</v>
      </c>
      <c r="V19" s="568" t="s">
        <v>1198</v>
      </c>
      <c r="W19" s="568" t="s">
        <v>87</v>
      </c>
      <c r="Y19" s="571"/>
      <c r="Z19" s="512"/>
      <c r="AA19" s="611"/>
      <c r="AC19" s="38"/>
      <c r="AD19" s="38"/>
      <c r="AE19" s="38"/>
      <c r="AF19" s="38"/>
      <c r="AG19" s="38"/>
      <c r="AH19" s="38"/>
      <c r="AI19" s="38"/>
      <c r="AJ19" s="38"/>
      <c r="AK19" s="38"/>
      <c r="AL19" s="575"/>
      <c r="AM19" s="38"/>
      <c r="AN19" s="611"/>
      <c r="AO19" s="38"/>
      <c r="AP19" s="290">
        <v>1.8</v>
      </c>
      <c r="AQ19" s="280">
        <f t="shared" si="1"/>
        <v>189.92697808614696</v>
      </c>
      <c r="AR19" s="280">
        <f t="shared" si="2"/>
        <v>193.47534545402715</v>
      </c>
      <c r="AS19" s="280">
        <f t="shared" si="3"/>
        <v>0.5392642931199999</v>
      </c>
      <c r="AT19" s="1">
        <f t="shared" si="4"/>
        <v>0.24248260601322552</v>
      </c>
      <c r="AU19" s="290"/>
      <c r="AV19" s="290">
        <v>1.8</v>
      </c>
      <c r="AW19" s="280">
        <f t="shared" si="5"/>
        <v>189.92697808614696</v>
      </c>
      <c r="AX19" s="280">
        <f t="shared" si="6"/>
        <v>190.15463417913813</v>
      </c>
    </row>
    <row r="20" spans="2:50" ht="15.75" x14ac:dyDescent="0.25">
      <c r="B20" s="568">
        <v>16</v>
      </c>
      <c r="C20" s="568" t="s">
        <v>1048</v>
      </c>
      <c r="D20" s="568">
        <v>7.02</v>
      </c>
      <c r="E20" s="571">
        <v>32.362499999999997</v>
      </c>
      <c r="F20" s="568" t="s">
        <v>266</v>
      </c>
      <c r="G20" s="570">
        <v>1.79148</v>
      </c>
      <c r="H20" s="568">
        <v>3.2660900000000002</v>
      </c>
      <c r="I20" s="568">
        <v>2166</v>
      </c>
      <c r="J20" s="570">
        <v>0.2</v>
      </c>
      <c r="K20" s="571">
        <v>4.9000000000000004</v>
      </c>
      <c r="L20" s="568">
        <v>2452346.4</v>
      </c>
      <c r="M20" s="572">
        <f t="shared" si="0"/>
        <v>0.10092205484743146</v>
      </c>
      <c r="N20" s="568">
        <v>5.6637148990424701E-3</v>
      </c>
      <c r="O20" s="568">
        <v>6.0629524023231198E-11</v>
      </c>
      <c r="P20" s="568">
        <v>1.0704903955084579E-8</v>
      </c>
      <c r="Q20" s="568">
        <v>0.64</v>
      </c>
      <c r="R20" s="568">
        <v>0.28999999999999998</v>
      </c>
      <c r="S20" s="568">
        <v>3.5165123933474092E-11</v>
      </c>
      <c r="T20" s="568">
        <v>6.2088442939490559E-9</v>
      </c>
      <c r="U20" s="568">
        <v>44</v>
      </c>
      <c r="V20" s="568" t="s">
        <v>300</v>
      </c>
      <c r="W20" s="568" t="s">
        <v>85</v>
      </c>
      <c r="Y20" s="571">
        <v>12.945</v>
      </c>
      <c r="Z20" s="512"/>
      <c r="AA20" s="611"/>
      <c r="AC20" s="38"/>
      <c r="AD20" s="38"/>
      <c r="AE20" s="38"/>
      <c r="AF20" s="38"/>
      <c r="AG20" s="38"/>
      <c r="AH20" s="38"/>
      <c r="AI20" s="38"/>
      <c r="AJ20" s="38"/>
      <c r="AK20" s="38"/>
      <c r="AL20" s="575"/>
      <c r="AM20" s="38"/>
      <c r="AN20" s="611"/>
      <c r="AO20" s="38"/>
      <c r="AP20" s="290">
        <v>1.9000000000000001</v>
      </c>
      <c r="AQ20" s="280">
        <f t="shared" si="1"/>
        <v>184.86134577723564</v>
      </c>
      <c r="AR20" s="280">
        <f t="shared" si="2"/>
        <v>188.69759480508614</v>
      </c>
      <c r="AS20" s="280">
        <f t="shared" si="3"/>
        <v>0.56190917598000001</v>
      </c>
      <c r="AT20" s="1">
        <f t="shared" si="4"/>
        <v>0.25266497907002122</v>
      </c>
      <c r="AU20" s="290"/>
      <c r="AV20" s="290">
        <v>1.9000000000000001</v>
      </c>
      <c r="AW20" s="280">
        <f t="shared" si="5"/>
        <v>184.86134577723564</v>
      </c>
      <c r="AX20" s="280">
        <f t="shared" si="6"/>
        <v>185.10818373684472</v>
      </c>
    </row>
    <row r="21" spans="2:50" ht="15.75" x14ac:dyDescent="0.25">
      <c r="B21" s="568">
        <v>17</v>
      </c>
      <c r="C21" s="568" t="s">
        <v>1049</v>
      </c>
      <c r="D21" s="568">
        <v>5.96</v>
      </c>
      <c r="E21" s="571">
        <v>12.341100000000001</v>
      </c>
      <c r="F21" s="568" t="s">
        <v>237</v>
      </c>
      <c r="G21" s="570">
        <v>3.5445099999999998</v>
      </c>
      <c r="H21" s="568">
        <v>5.4746699999999997</v>
      </c>
      <c r="I21" s="568">
        <v>4909</v>
      </c>
      <c r="J21" s="570">
        <v>0.02</v>
      </c>
      <c r="K21" s="571">
        <v>254</v>
      </c>
      <c r="L21" s="568">
        <v>2453490</v>
      </c>
      <c r="M21" s="572">
        <f t="shared" si="0"/>
        <v>0.44361280598974157</v>
      </c>
      <c r="N21" s="568">
        <v>1.5034929072441866E-2</v>
      </c>
      <c r="O21" s="568">
        <v>5.7282842768850964E-11</v>
      </c>
      <c r="P21" s="568">
        <v>3.8099842368958707E-9</v>
      </c>
      <c r="Q21" s="568">
        <v>0.63</v>
      </c>
      <c r="R21" s="568">
        <v>0.28000000000000003</v>
      </c>
      <c r="S21" s="568">
        <v>3.2078391950556542E-11</v>
      </c>
      <c r="T21" s="568">
        <v>2.1335911726616876E-9</v>
      </c>
      <c r="U21" s="568">
        <v>5</v>
      </c>
      <c r="V21" s="568" t="s">
        <v>236</v>
      </c>
      <c r="W21" s="568" t="s">
        <v>86</v>
      </c>
      <c r="Y21" s="571">
        <v>13.129</v>
      </c>
      <c r="Z21" s="512"/>
      <c r="AA21" s="611"/>
      <c r="AC21" s="38"/>
      <c r="AD21" s="38"/>
      <c r="AE21" s="38"/>
      <c r="AF21" s="38"/>
      <c r="AG21" s="38"/>
      <c r="AH21" s="38"/>
      <c r="AI21" s="38"/>
      <c r="AJ21" s="38"/>
      <c r="AK21" s="38"/>
      <c r="AL21" s="575"/>
      <c r="AM21" s="38"/>
      <c r="AN21" s="611"/>
      <c r="AO21" s="38"/>
      <c r="AP21" s="290">
        <v>2</v>
      </c>
      <c r="AQ21" s="280">
        <f t="shared" si="1"/>
        <v>180.18055195953352</v>
      </c>
      <c r="AR21" s="280">
        <f t="shared" si="2"/>
        <v>184.31021535245054</v>
      </c>
      <c r="AS21" s="280">
        <f t="shared" si="3"/>
        <v>0.58168000000000009</v>
      </c>
      <c r="AT21" s="1">
        <f t="shared" si="4"/>
        <v>0.26155501868985503</v>
      </c>
      <c r="AU21" s="290"/>
      <c r="AV21" s="290">
        <v>2</v>
      </c>
      <c r="AW21" s="280">
        <f t="shared" si="5"/>
        <v>180.18055195953352</v>
      </c>
      <c r="AX21" s="280">
        <f t="shared" si="6"/>
        <v>180.44707379647051</v>
      </c>
    </row>
    <row r="22" spans="2:50" ht="15.75" x14ac:dyDescent="0.25">
      <c r="B22" s="568">
        <v>18</v>
      </c>
      <c r="C22" s="568" t="s">
        <v>1050</v>
      </c>
      <c r="D22" s="568">
        <v>7.17</v>
      </c>
      <c r="E22" s="571">
        <v>28.066199999999998</v>
      </c>
      <c r="F22" s="568" t="s">
        <v>285</v>
      </c>
      <c r="G22" s="570">
        <v>1.90944</v>
      </c>
      <c r="H22" s="568">
        <v>3.18072</v>
      </c>
      <c r="I22" s="568">
        <v>2068</v>
      </c>
      <c r="J22" s="570">
        <v>3.4000000000000002E-2</v>
      </c>
      <c r="K22" s="571">
        <v>205</v>
      </c>
      <c r="L22" s="568">
        <v>2451350</v>
      </c>
      <c r="M22" s="572">
        <f t="shared" si="0"/>
        <v>0.11332920024798512</v>
      </c>
      <c r="N22" s="568">
        <v>4.9328894609577687E-3</v>
      </c>
      <c r="O22" s="568">
        <v>5.5678762639342382E-11</v>
      </c>
      <c r="P22" s="568">
        <v>1.1287251230748602E-8</v>
      </c>
      <c r="Q22" s="568">
        <v>0.61</v>
      </c>
      <c r="R22" s="568">
        <v>0.27</v>
      </c>
      <c r="S22" s="568">
        <v>3.0066531825244887E-11</v>
      </c>
      <c r="T22" s="568">
        <v>6.0951156646042449E-9</v>
      </c>
      <c r="U22" s="568">
        <v>34</v>
      </c>
      <c r="V22" s="568" t="s">
        <v>284</v>
      </c>
      <c r="W22" s="568" t="s">
        <v>86</v>
      </c>
      <c r="Y22" s="571">
        <v>12.945</v>
      </c>
      <c r="Z22" s="512"/>
      <c r="AA22" s="611"/>
      <c r="AC22" s="38" t="s">
        <v>1211</v>
      </c>
      <c r="AD22" s="38"/>
      <c r="AE22" s="38"/>
      <c r="AF22" s="38"/>
      <c r="AG22" s="38"/>
      <c r="AH22" s="38"/>
      <c r="AI22" s="38"/>
      <c r="AJ22" s="38"/>
      <c r="AK22" s="38"/>
      <c r="AL22" s="575"/>
      <c r="AM22" s="38"/>
      <c r="AN22" s="611"/>
      <c r="AO22" s="38"/>
      <c r="AP22" s="290">
        <v>2.1</v>
      </c>
      <c r="AQ22" s="280">
        <f t="shared" si="1"/>
        <v>175.83821380121572</v>
      </c>
      <c r="AR22" s="280">
        <f t="shared" si="2"/>
        <v>180.26644097486695</v>
      </c>
      <c r="AS22" s="280">
        <f t="shared" si="3"/>
        <v>0.59855715237999996</v>
      </c>
      <c r="AT22" s="1">
        <f t="shared" si="4"/>
        <v>0.26914390588931592</v>
      </c>
      <c r="AU22" s="290"/>
      <c r="AV22" s="290">
        <v>2.1</v>
      </c>
      <c r="AW22" s="280">
        <f t="shared" si="5"/>
        <v>175.83821380121572</v>
      </c>
      <c r="AX22" s="280">
        <f t="shared" si="6"/>
        <v>176.12490756300417</v>
      </c>
    </row>
    <row r="23" spans="2:50" ht="15.75" x14ac:dyDescent="0.25">
      <c r="B23" s="568">
        <v>19</v>
      </c>
      <c r="C23" s="568" t="s">
        <v>1051</v>
      </c>
      <c r="D23" s="568">
        <v>6.17</v>
      </c>
      <c r="E23" s="571">
        <v>19.856999999999999</v>
      </c>
      <c r="F23" s="568" t="s">
        <v>248</v>
      </c>
      <c r="G23" s="570">
        <v>2.6154600000000001</v>
      </c>
      <c r="H23" s="568">
        <v>5.3341399999999997</v>
      </c>
      <c r="I23" s="568">
        <v>4270</v>
      </c>
      <c r="J23" s="570">
        <v>0.51722199999999996</v>
      </c>
      <c r="K23" s="571">
        <v>198.59800000000001</v>
      </c>
      <c r="L23" s="568">
        <v>2451106.321</v>
      </c>
      <c r="M23" s="572">
        <f t="shared" si="0"/>
        <v>0.26862768796897818</v>
      </c>
      <c r="N23" s="568">
        <v>1.2390858105116424E-2</v>
      </c>
      <c r="O23" s="568">
        <v>4.9729218538225713E-11</v>
      </c>
      <c r="P23" s="568">
        <v>4.0133797123938948E-9</v>
      </c>
      <c r="Q23" s="568">
        <v>0.63</v>
      </c>
      <c r="R23" s="568">
        <v>0.28000000000000003</v>
      </c>
      <c r="S23" s="568">
        <v>2.7848362381406399E-11</v>
      </c>
      <c r="T23" s="568">
        <v>2.2474926389405812E-9</v>
      </c>
      <c r="U23" s="568">
        <v>11</v>
      </c>
      <c r="V23" s="568" t="s">
        <v>247</v>
      </c>
      <c r="W23" s="568" t="s">
        <v>86</v>
      </c>
      <c r="Y23" s="571">
        <v>12.984999999999999</v>
      </c>
      <c r="Z23" s="512"/>
      <c r="AA23" s="611"/>
      <c r="AC23" s="38"/>
      <c r="AD23" s="38"/>
      <c r="AE23" s="38" t="s">
        <v>1208</v>
      </c>
      <c r="AF23" s="38"/>
      <c r="AH23" s="38"/>
      <c r="AI23" s="38"/>
      <c r="AJ23" s="38"/>
      <c r="AK23" s="38"/>
      <c r="AL23" s="575"/>
      <c r="AM23" s="38"/>
      <c r="AN23" s="611"/>
      <c r="AO23" s="38"/>
      <c r="AP23" s="290">
        <v>2.2000000000000002</v>
      </c>
      <c r="AQ23" s="280">
        <f t="shared" si="1"/>
        <v>171.79541560303676</v>
      </c>
      <c r="AR23" s="280">
        <f t="shared" si="2"/>
        <v>176.52698957953797</v>
      </c>
      <c r="AS23" s="280">
        <f t="shared" si="3"/>
        <v>0.61255857791999957</v>
      </c>
      <c r="AT23" s="1">
        <f t="shared" si="4"/>
        <v>0.27543970962814002</v>
      </c>
      <c r="AU23" s="290"/>
      <c r="AV23" s="290">
        <v>2.2000000000000002</v>
      </c>
      <c r="AW23" s="280">
        <f t="shared" si="5"/>
        <v>171.79541560303676</v>
      </c>
      <c r="AX23" s="280">
        <f t="shared" si="6"/>
        <v>172.10275629487469</v>
      </c>
    </row>
    <row r="24" spans="2:50" ht="15.75" x14ac:dyDescent="0.25">
      <c r="B24" s="568">
        <v>20</v>
      </c>
      <c r="C24" s="568" t="s">
        <v>1052</v>
      </c>
      <c r="D24" s="568">
        <v>6.76</v>
      </c>
      <c r="E24" s="571">
        <v>18.587399999999999</v>
      </c>
      <c r="F24" s="568" t="s">
        <v>237</v>
      </c>
      <c r="G24" s="570">
        <v>0.956901</v>
      </c>
      <c r="H24" s="568">
        <v>4.2137700000000002</v>
      </c>
      <c r="I24" s="568">
        <v>3341.5587999999998</v>
      </c>
      <c r="J24" s="570">
        <v>4.3999999999999997E-2</v>
      </c>
      <c r="K24" s="571">
        <v>68.154300000000006</v>
      </c>
      <c r="L24" s="568">
        <v>2452831.2230000002</v>
      </c>
      <c r="M24" s="572">
        <f t="shared" si="0"/>
        <v>0.22670034539526779</v>
      </c>
      <c r="N24" s="568">
        <v>7.1961694900071725E-3</v>
      </c>
      <c r="O24" s="568">
        <v>4.6280580848502194E-11</v>
      </c>
      <c r="P24" s="568">
        <v>6.4312799903850045E-9</v>
      </c>
      <c r="Q24" s="568">
        <v>0.54</v>
      </c>
      <c r="R24" s="568">
        <v>0.24</v>
      </c>
      <c r="S24" s="568">
        <v>2.221467880728105E-11</v>
      </c>
      <c r="T24" s="568">
        <v>3.0870143953848018E-9</v>
      </c>
      <c r="U24" s="568">
        <v>17</v>
      </c>
      <c r="V24" s="568" t="s">
        <v>257</v>
      </c>
      <c r="W24" s="568" t="s">
        <v>86</v>
      </c>
      <c r="Y24" s="571">
        <v>12.840999999999999</v>
      </c>
      <c r="Z24" s="512"/>
      <c r="AA24" s="611"/>
      <c r="AC24" s="615">
        <f>AJ15</f>
        <v>0.20234451659062502</v>
      </c>
      <c r="AD24" s="379">
        <v>0.4</v>
      </c>
      <c r="AE24" s="38"/>
      <c r="AF24" s="38"/>
      <c r="AH24" s="38"/>
      <c r="AI24" s="38"/>
      <c r="AJ24" s="38"/>
      <c r="AK24" s="38"/>
      <c r="AL24" s="575"/>
      <c r="AM24" s="38"/>
      <c r="AN24" s="611"/>
      <c r="AO24" s="38"/>
      <c r="AP24" s="290">
        <v>2.2999999999999998</v>
      </c>
      <c r="AQ24" s="280">
        <f t="shared" si="1"/>
        <v>168.01923105365864</v>
      </c>
      <c r="AR24" s="280">
        <f t="shared" si="2"/>
        <v>173.05858409686687</v>
      </c>
      <c r="AS24" s="280">
        <f t="shared" si="3"/>
        <v>0.62373602781999993</v>
      </c>
      <c r="AT24" s="1">
        <f t="shared" si="4"/>
        <v>0.28046570006532118</v>
      </c>
      <c r="AU24" s="290"/>
      <c r="AV24" s="290">
        <v>2.2999999999999998</v>
      </c>
      <c r="AW24" s="280">
        <f t="shared" si="5"/>
        <v>168.01923105365864</v>
      </c>
      <c r="AX24" s="280">
        <f t="shared" si="6"/>
        <v>168.34768145155397</v>
      </c>
    </row>
    <row r="25" spans="2:50" ht="15.75" x14ac:dyDescent="0.25">
      <c r="B25" s="568">
        <v>21</v>
      </c>
      <c r="C25" s="568" t="s">
        <v>1053</v>
      </c>
      <c r="D25" s="568">
        <v>7.26</v>
      </c>
      <c r="E25" s="571">
        <v>33.046900000000001</v>
      </c>
      <c r="F25" s="568" t="s">
        <v>254</v>
      </c>
      <c r="G25" s="570">
        <v>1.8189</v>
      </c>
      <c r="H25" s="568">
        <v>3.73753</v>
      </c>
      <c r="I25" s="568">
        <v>2597</v>
      </c>
      <c r="J25" s="570">
        <v>0.14399999999999999</v>
      </c>
      <c r="K25" s="571">
        <v>73</v>
      </c>
      <c r="L25" s="568">
        <v>2450630</v>
      </c>
      <c r="M25" s="572">
        <f t="shared" si="0"/>
        <v>0.11309774895678566</v>
      </c>
      <c r="N25" s="568">
        <v>4.5404759918443094E-3</v>
      </c>
      <c r="O25" s="568">
        <v>3.7116847288651123E-11</v>
      </c>
      <c r="P25" s="568">
        <v>8.1746599597313419E-9</v>
      </c>
      <c r="Q25" s="568">
        <v>0.61</v>
      </c>
      <c r="R25" s="568">
        <v>0.27</v>
      </c>
      <c r="S25" s="568">
        <v>2.0043097535871612E-11</v>
      </c>
      <c r="T25" s="568">
        <v>4.4143163782549253E-9</v>
      </c>
      <c r="U25" s="568">
        <v>37</v>
      </c>
      <c r="V25" s="568" t="s">
        <v>289</v>
      </c>
      <c r="W25" s="568" t="s">
        <v>86</v>
      </c>
      <c r="Y25" s="571">
        <v>12.949</v>
      </c>
      <c r="Z25" s="512"/>
      <c r="AA25" s="611"/>
      <c r="AC25" s="599">
        <v>10</v>
      </c>
      <c r="AD25" s="612">
        <f t="dataTable" ref="AD25:AD43" dt2D="1" dtr="1" r1="AD8" r2="AD9"/>
        <v>0.37318772560000002</v>
      </c>
      <c r="AE25" s="613">
        <v>10</v>
      </c>
      <c r="AF25" s="614">
        <f t="shared" ref="AF25:AF43" si="9">(SIN(AE25*deg)+(PI()-AE25*deg)*COS(AE25*deg))/PI()</f>
        <v>0.98537014284737978</v>
      </c>
      <c r="AH25" s="38"/>
      <c r="AI25" s="38"/>
      <c r="AJ25" s="38"/>
      <c r="AK25" s="38"/>
      <c r="AL25" s="38"/>
      <c r="AM25" s="38"/>
      <c r="AN25" s="611"/>
      <c r="AO25" s="38"/>
      <c r="AP25" s="290">
        <v>2.4000000000000004</v>
      </c>
      <c r="AQ25" s="280">
        <f t="shared" si="1"/>
        <v>164.4815878866136</v>
      </c>
      <c r="AR25" s="280">
        <f t="shared" si="2"/>
        <v>169.83281610637317</v>
      </c>
      <c r="AS25" s="280">
        <f t="shared" si="3"/>
        <v>0.63217143808000043</v>
      </c>
      <c r="AT25" s="1">
        <f t="shared" si="4"/>
        <v>0.28425872009043984</v>
      </c>
      <c r="AU25" s="290"/>
      <c r="AV25" s="290">
        <v>2.4000000000000004</v>
      </c>
      <c r="AW25" s="280">
        <f t="shared" si="5"/>
        <v>164.4815878866136</v>
      </c>
      <c r="AX25" s="280">
        <f t="shared" si="6"/>
        <v>164.83159925948493</v>
      </c>
    </row>
    <row r="26" spans="2:50" ht="15.75" x14ac:dyDescent="0.25">
      <c r="B26" s="568">
        <v>22</v>
      </c>
      <c r="C26" s="568" t="s">
        <v>1054</v>
      </c>
      <c r="D26" s="568">
        <v>6.47</v>
      </c>
      <c r="E26" s="571">
        <v>26.205500000000001</v>
      </c>
      <c r="F26" s="568" t="s">
        <v>259</v>
      </c>
      <c r="G26" s="570">
        <v>0.80492600000000003</v>
      </c>
      <c r="H26" s="568">
        <v>5.8251299999999997</v>
      </c>
      <c r="I26" s="568">
        <v>5000</v>
      </c>
      <c r="J26" s="570">
        <v>0.12</v>
      </c>
      <c r="K26" s="571">
        <v>195</v>
      </c>
      <c r="L26" s="568">
        <v>2451100</v>
      </c>
      <c r="M26" s="572">
        <f t="shared" si="0"/>
        <v>0.22228654290129932</v>
      </c>
      <c r="N26" s="568">
        <v>9.3994270939099251E-3</v>
      </c>
      <c r="O26" s="568">
        <v>3.1632186363467653E-11</v>
      </c>
      <c r="P26" s="568">
        <v>3.3653313172632375E-9</v>
      </c>
      <c r="Q26" s="568">
        <v>0.51</v>
      </c>
      <c r="R26" s="568">
        <v>0.23</v>
      </c>
      <c r="S26" s="568">
        <v>1.4550805727195121E-11</v>
      </c>
      <c r="T26" s="568">
        <v>1.5480524059410893E-9</v>
      </c>
      <c r="U26" s="568">
        <v>18</v>
      </c>
      <c r="V26" s="568" t="s">
        <v>258</v>
      </c>
      <c r="W26" s="568" t="s">
        <v>86</v>
      </c>
      <c r="Y26" s="571">
        <v>12.808999999999999</v>
      </c>
      <c r="Z26" s="512"/>
      <c r="AA26" s="611"/>
      <c r="AC26" s="599">
        <v>15</v>
      </c>
      <c r="AD26" s="612">
        <v>0.35652759627500008</v>
      </c>
      <c r="AE26" s="613">
        <v>15</v>
      </c>
      <c r="AF26" s="614">
        <f t="shared" si="9"/>
        <v>0.96781666822042667</v>
      </c>
      <c r="AH26" s="38"/>
      <c r="AI26" s="38"/>
      <c r="AJ26" s="38"/>
      <c r="AK26" s="38"/>
      <c r="AL26" s="38"/>
      <c r="AM26" s="38"/>
      <c r="AN26" s="611"/>
      <c r="AO26" s="38"/>
      <c r="AP26" s="290">
        <v>2.5</v>
      </c>
      <c r="AQ26" s="280">
        <f t="shared" si="1"/>
        <v>161.15838496197989</v>
      </c>
      <c r="AR26" s="280">
        <f t="shared" si="2"/>
        <v>166.82526206645275</v>
      </c>
      <c r="AS26" s="280">
        <f t="shared" si="3"/>
        <v>0.63797343749999991</v>
      </c>
      <c r="AT26" s="1">
        <f t="shared" si="4"/>
        <v>0.28686761513021508</v>
      </c>
      <c r="AU26" s="290"/>
      <c r="AV26" s="290">
        <v>2.5</v>
      </c>
      <c r="AW26" s="280">
        <f t="shared" si="5"/>
        <v>161.15838496197989</v>
      </c>
      <c r="AX26" s="280">
        <f t="shared" si="6"/>
        <v>161.53039771624049</v>
      </c>
    </row>
    <row r="27" spans="2:50" ht="15.75" x14ac:dyDescent="0.25">
      <c r="B27" s="568">
        <v>23</v>
      </c>
      <c r="C27" s="568" t="s">
        <v>1055</v>
      </c>
      <c r="D27" s="568">
        <v>7.57</v>
      </c>
      <c r="E27" s="571">
        <v>18.204999999999998</v>
      </c>
      <c r="F27" s="568" t="s">
        <v>261</v>
      </c>
      <c r="G27" s="570">
        <v>1.7557100000000001</v>
      </c>
      <c r="H27" s="568">
        <v>3.5764800000000001</v>
      </c>
      <c r="I27" s="568">
        <v>2754</v>
      </c>
      <c r="J27" s="570">
        <v>0.53</v>
      </c>
      <c r="K27" s="571">
        <v>291</v>
      </c>
      <c r="L27" s="568">
        <v>2451139</v>
      </c>
      <c r="M27" s="572">
        <f t="shared" si="0"/>
        <v>0.19645591870365287</v>
      </c>
      <c r="N27" s="568">
        <v>3.4127257052102016E-3</v>
      </c>
      <c r="O27" s="568">
        <v>3.0466941109480428E-11</v>
      </c>
      <c r="P27" s="568">
        <v>8.9274508827259717E-9</v>
      </c>
      <c r="Q27" s="568">
        <v>0.21</v>
      </c>
      <c r="R27" s="568">
        <v>0.09</v>
      </c>
      <c r="S27" s="568">
        <v>5.4840493997064768E-12</v>
      </c>
      <c r="T27" s="568">
        <v>1.6069411588906747E-9</v>
      </c>
      <c r="U27" s="568">
        <v>19</v>
      </c>
      <c r="V27" s="568" t="s">
        <v>260</v>
      </c>
      <c r="W27" s="568" t="s">
        <v>87</v>
      </c>
      <c r="Y27" s="571">
        <v>12.605</v>
      </c>
      <c r="Z27" s="512"/>
      <c r="AA27" s="611"/>
      <c r="AC27" s="599">
        <v>20</v>
      </c>
      <c r="AD27" s="612">
        <v>0.33925137920000004</v>
      </c>
      <c r="AE27" s="613">
        <v>20</v>
      </c>
      <c r="AF27" s="614">
        <f t="shared" si="9"/>
        <v>0.94415072248203169</v>
      </c>
      <c r="AH27" s="38"/>
      <c r="AI27" s="38"/>
      <c r="AJ27" s="38"/>
      <c r="AK27" s="38"/>
      <c r="AL27" s="38"/>
      <c r="AM27" s="38"/>
      <c r="AN27" s="611"/>
      <c r="AO27" s="38"/>
      <c r="AP27" s="290">
        <v>2.6</v>
      </c>
      <c r="AQ27" s="280">
        <f t="shared" si="1"/>
        <v>158.02879801927571</v>
      </c>
      <c r="AR27" s="280">
        <f t="shared" si="2"/>
        <v>164.01478835553957</v>
      </c>
      <c r="AS27" s="280">
        <f t="shared" si="3"/>
        <v>0.64127398527999935</v>
      </c>
      <c r="AT27" s="1">
        <f t="shared" si="4"/>
        <v>0.28835172123027786</v>
      </c>
      <c r="AU27" s="290"/>
      <c r="AV27" s="290">
        <v>2.6</v>
      </c>
      <c r="AW27" s="280">
        <f t="shared" si="5"/>
        <v>158.02879801927571</v>
      </c>
      <c r="AX27" s="280">
        <f t="shared" si="6"/>
        <v>158.42324227695326</v>
      </c>
    </row>
    <row r="28" spans="2:50" ht="15.75" x14ac:dyDescent="0.25">
      <c r="B28" s="568">
        <v>24</v>
      </c>
      <c r="C28" s="568" t="s">
        <v>1056</v>
      </c>
      <c r="D28" s="568">
        <v>7.12</v>
      </c>
      <c r="E28" s="571">
        <v>49.1</v>
      </c>
      <c r="F28" s="568" t="s">
        <v>287</v>
      </c>
      <c r="G28" s="570">
        <v>2.0263300000000002</v>
      </c>
      <c r="H28" s="568">
        <v>5.1386399999999997</v>
      </c>
      <c r="I28" s="568">
        <v>3999</v>
      </c>
      <c r="J28" s="570">
        <v>0.16</v>
      </c>
      <c r="K28" s="571">
        <v>137</v>
      </c>
      <c r="L28" s="568">
        <v>2456319</v>
      </c>
      <c r="M28" s="572">
        <f t="shared" si="0"/>
        <v>0.10465661914460284</v>
      </c>
      <c r="N28" s="568">
        <v>5.1653693789482924E-3</v>
      </c>
      <c r="O28" s="568">
        <v>2.2337988770478576E-11</v>
      </c>
      <c r="P28" s="568">
        <v>4.3245675442918195E-9</v>
      </c>
      <c r="Q28" s="568">
        <v>0.63</v>
      </c>
      <c r="R28" s="568">
        <v>0.28000000000000003</v>
      </c>
      <c r="S28" s="568">
        <v>1.2509273711468004E-11</v>
      </c>
      <c r="T28" s="568">
        <v>2.4217578248034191E-9</v>
      </c>
      <c r="U28" s="568">
        <v>42</v>
      </c>
      <c r="V28" s="568" t="s">
        <v>297</v>
      </c>
      <c r="W28" s="568" t="s">
        <v>85</v>
      </c>
      <c r="Y28" s="571">
        <v>12.938000000000001</v>
      </c>
      <c r="Z28" s="512"/>
      <c r="AA28" s="611"/>
      <c r="AC28" s="599">
        <v>25</v>
      </c>
      <c r="AD28" s="612">
        <v>0.32151695312500006</v>
      </c>
      <c r="AE28" s="613">
        <v>25</v>
      </c>
      <c r="AF28" s="614">
        <f t="shared" si="9"/>
        <v>0.91495527629765538</v>
      </c>
      <c r="AH28" s="38"/>
      <c r="AI28" s="38"/>
      <c r="AJ28" s="38"/>
      <c r="AK28" s="38"/>
      <c r="AL28" s="38"/>
      <c r="AM28" s="38"/>
      <c r="AN28" s="611"/>
      <c r="AO28" s="38"/>
      <c r="AP28" s="290">
        <v>2.7</v>
      </c>
      <c r="AQ28" s="280">
        <f t="shared" si="1"/>
        <v>155.07472823327407</v>
      </c>
      <c r="AR28" s="280">
        <f t="shared" si="2"/>
        <v>161.38299922602704</v>
      </c>
      <c r="AS28" s="280">
        <f t="shared" si="3"/>
        <v>0.64222513822000005</v>
      </c>
      <c r="AT28" s="1">
        <f t="shared" si="4"/>
        <v>0.28877941141216273</v>
      </c>
      <c r="AU28" s="290"/>
      <c r="AV28" s="290">
        <v>2.7</v>
      </c>
      <c r="AW28" s="280">
        <f t="shared" si="5"/>
        <v>155.07472823327407</v>
      </c>
      <c r="AX28" s="280">
        <f t="shared" si="6"/>
        <v>155.49202435278229</v>
      </c>
    </row>
    <row r="29" spans="2:50" ht="15.75" x14ac:dyDescent="0.25">
      <c r="B29" s="568">
        <v>25</v>
      </c>
      <c r="C29" s="568" t="s">
        <v>1057</v>
      </c>
      <c r="D29" s="568">
        <v>8.3800000000000008</v>
      </c>
      <c r="E29" s="571">
        <v>26.759399999999999</v>
      </c>
      <c r="F29" s="568" t="s">
        <v>291</v>
      </c>
      <c r="G29" s="570">
        <v>0.53548200000000001</v>
      </c>
      <c r="H29" s="568">
        <v>3.0220799999999999</v>
      </c>
      <c r="I29" s="568">
        <v>2172</v>
      </c>
      <c r="J29" s="570">
        <v>0.48</v>
      </c>
      <c r="K29" s="571">
        <v>330</v>
      </c>
      <c r="L29" s="568">
        <v>2452154</v>
      </c>
      <c r="M29" s="572">
        <f t="shared" si="0"/>
        <v>0.11293526760689701</v>
      </c>
      <c r="N29" s="568">
        <v>1.6184578135875535E-3</v>
      </c>
      <c r="O29" s="568">
        <v>2.0236180345542314E-11</v>
      </c>
      <c r="P29" s="568">
        <v>1.2503372145787229E-8</v>
      </c>
      <c r="Q29" s="568">
        <v>0.46</v>
      </c>
      <c r="R29" s="568">
        <v>0.21</v>
      </c>
      <c r="S29" s="568">
        <v>8.4991957451277728E-12</v>
      </c>
      <c r="T29" s="568">
        <v>5.2514163012306368E-9</v>
      </c>
      <c r="U29" s="568">
        <v>38</v>
      </c>
      <c r="V29" s="568" t="s">
        <v>290</v>
      </c>
      <c r="W29" s="568" t="s">
        <v>88</v>
      </c>
      <c r="Y29" s="571">
        <v>12.659000000000001</v>
      </c>
      <c r="Z29" s="512"/>
      <c r="AA29" s="611"/>
      <c r="AC29" s="599">
        <v>30</v>
      </c>
      <c r="AD29" s="612">
        <v>0.30347604080000001</v>
      </c>
      <c r="AE29" s="613">
        <v>30</v>
      </c>
      <c r="AF29" s="614">
        <f t="shared" si="9"/>
        <v>0.88084277957892765</v>
      </c>
      <c r="AH29" s="38"/>
      <c r="AI29" s="38"/>
      <c r="AJ29" s="38"/>
      <c r="AK29" s="38"/>
      <c r="AL29" s="38"/>
      <c r="AM29" s="38"/>
      <c r="AN29" s="611"/>
      <c r="AO29" s="38"/>
      <c r="AP29" s="290">
        <v>2.8000000000000003</v>
      </c>
      <c r="AQ29" s="280">
        <f t="shared" si="1"/>
        <v>152.28036010793224</v>
      </c>
      <c r="AR29" s="280">
        <f t="shared" si="2"/>
        <v>158.91379418234044</v>
      </c>
      <c r="AS29" s="280">
        <f t="shared" si="3"/>
        <v>0.64099594751999989</v>
      </c>
      <c r="AT29" s="1">
        <f t="shared" si="4"/>
        <v>0.28822670030552006</v>
      </c>
      <c r="AU29" s="290"/>
      <c r="AV29" s="290">
        <v>2.8000000000000003</v>
      </c>
      <c r="AW29" s="280">
        <f t="shared" si="5"/>
        <v>152.28036010793224</v>
      </c>
      <c r="AX29" s="280">
        <f t="shared" si="6"/>
        <v>152.72091915507102</v>
      </c>
    </row>
    <row r="30" spans="2:50" ht="15.75" x14ac:dyDescent="0.25">
      <c r="B30" s="568">
        <v>26</v>
      </c>
      <c r="C30" s="568" t="s">
        <v>1058</v>
      </c>
      <c r="D30" s="568">
        <v>7.5</v>
      </c>
      <c r="E30" s="571">
        <v>46.598300000000002</v>
      </c>
      <c r="F30" s="568" t="s">
        <v>287</v>
      </c>
      <c r="G30" s="570">
        <v>4.02189</v>
      </c>
      <c r="H30" s="568">
        <v>4.9240599999999999</v>
      </c>
      <c r="I30" s="568">
        <v>3668</v>
      </c>
      <c r="J30" s="570">
        <v>0.04</v>
      </c>
      <c r="K30" s="571">
        <v>154</v>
      </c>
      <c r="L30" s="568">
        <v>2454308</v>
      </c>
      <c r="M30" s="572">
        <f t="shared" si="0"/>
        <v>0.10567037853312244</v>
      </c>
      <c r="N30" s="568">
        <v>3.64E-3</v>
      </c>
      <c r="O30" s="568">
        <v>1.7143274622020054E-11</v>
      </c>
      <c r="P30" s="568">
        <v>4.7096908302252891E-9</v>
      </c>
      <c r="Q30" s="568">
        <v>0.45</v>
      </c>
      <c r="R30" s="568">
        <v>0.2</v>
      </c>
      <c r="S30" s="568">
        <v>6.8573098488080213E-12</v>
      </c>
      <c r="T30" s="568">
        <v>1.8838763320901157E-9</v>
      </c>
      <c r="U30" s="568">
        <v>41</v>
      </c>
      <c r="V30" s="568" t="s">
        <v>296</v>
      </c>
      <c r="W30" s="568" t="s">
        <v>85</v>
      </c>
      <c r="Y30" s="571">
        <v>13.134</v>
      </c>
      <c r="Z30" s="512"/>
      <c r="AA30" s="611"/>
      <c r="AC30" s="599">
        <v>35</v>
      </c>
      <c r="AD30" s="612">
        <v>0.28527377997499997</v>
      </c>
      <c r="AE30" s="613">
        <v>35</v>
      </c>
      <c r="AF30" s="614">
        <f t="shared" si="9"/>
        <v>0.84244753029429353</v>
      </c>
      <c r="AH30" s="38"/>
      <c r="AI30" s="38"/>
      <c r="AJ30" s="38"/>
      <c r="AK30" s="38"/>
      <c r="AL30" s="38"/>
      <c r="AM30" s="38"/>
      <c r="AN30" s="611"/>
      <c r="AO30" s="38"/>
      <c r="AP30" s="290">
        <v>2.9000000000000004</v>
      </c>
      <c r="AQ30" s="280">
        <f t="shared" si="1"/>
        <v>149.6318039779118</v>
      </c>
      <c r="AR30" s="280">
        <f t="shared" si="2"/>
        <v>156.59301003387364</v>
      </c>
      <c r="AS30" s="280">
        <f t="shared" si="3"/>
        <v>0.63776948517999843</v>
      </c>
      <c r="AT30" s="1">
        <f t="shared" si="4"/>
        <v>0.28677590705555234</v>
      </c>
      <c r="AU30" s="290"/>
      <c r="AV30" s="290">
        <v>2.9000000000000004</v>
      </c>
      <c r="AW30" s="280">
        <f t="shared" si="5"/>
        <v>149.6318039779118</v>
      </c>
      <c r="AX30" s="280">
        <f t="shared" si="6"/>
        <v>150.09602815344184</v>
      </c>
    </row>
    <row r="31" spans="2:50" ht="15.75" x14ac:dyDescent="0.25">
      <c r="B31" s="568">
        <v>27</v>
      </c>
      <c r="C31" s="568" t="s">
        <v>1059</v>
      </c>
      <c r="D31" s="568">
        <v>7.61</v>
      </c>
      <c r="E31" s="571">
        <v>44.228200000000001</v>
      </c>
      <c r="F31" s="568" t="s">
        <v>287</v>
      </c>
      <c r="G31" s="570">
        <v>1.88123</v>
      </c>
      <c r="H31" s="568">
        <v>5.1493099999999998</v>
      </c>
      <c r="I31" s="568">
        <v>4218</v>
      </c>
      <c r="J31" s="570">
        <v>0.02</v>
      </c>
      <c r="K31" s="571">
        <v>290</v>
      </c>
      <c r="L31" s="568">
        <v>2454494</v>
      </c>
      <c r="M31" s="572">
        <f t="shared" si="0"/>
        <v>0.11642594543752628</v>
      </c>
      <c r="N31" s="568">
        <v>3.289284084349176E-3</v>
      </c>
      <c r="O31" s="568">
        <v>1.4165841506732499E-11</v>
      </c>
      <c r="P31" s="568">
        <v>4.3066640470901678E-9</v>
      </c>
      <c r="Q31" s="568">
        <v>0.52</v>
      </c>
      <c r="R31" s="568">
        <v>0.23</v>
      </c>
      <c r="S31" s="568">
        <v>6.5162870930969494E-12</v>
      </c>
      <c r="T31" s="568">
        <v>1.9810654616614772E-9</v>
      </c>
      <c r="U31" s="568">
        <v>35</v>
      </c>
      <c r="V31" s="568" t="s">
        <v>286</v>
      </c>
      <c r="W31" s="568" t="s">
        <v>85</v>
      </c>
      <c r="Y31" s="571">
        <v>12.936</v>
      </c>
      <c r="Z31" s="512"/>
      <c r="AA31" s="611"/>
      <c r="AC31" s="599">
        <v>40</v>
      </c>
      <c r="AD31" s="612">
        <v>0.26704829440000005</v>
      </c>
      <c r="AE31" s="613">
        <v>40</v>
      </c>
      <c r="AF31" s="614">
        <f t="shared" si="9"/>
        <v>0.80041799552776727</v>
      </c>
      <c r="AH31" s="38"/>
      <c r="AI31" s="38"/>
      <c r="AJ31" s="38"/>
      <c r="AK31" s="38"/>
      <c r="AL31" s="38"/>
      <c r="AM31" s="38"/>
      <c r="AN31" s="611"/>
      <c r="AO31" s="38"/>
      <c r="AP31" s="290">
        <v>3</v>
      </c>
      <c r="AQ31" s="280">
        <f t="shared" si="1"/>
        <v>147.11680462462965</v>
      </c>
      <c r="AR31" s="280">
        <f t="shared" si="2"/>
        <v>154.40812911488632</v>
      </c>
      <c r="AS31" s="280">
        <f t="shared" si="3"/>
        <v>0.63274000000000041</v>
      </c>
      <c r="AT31" s="1">
        <f t="shared" si="4"/>
        <v>0.28451437650567146</v>
      </c>
      <c r="AU31" s="290"/>
      <c r="AV31" s="290">
        <v>3</v>
      </c>
      <c r="AW31" s="280">
        <f t="shared" si="5"/>
        <v>147.11680462462965</v>
      </c>
      <c r="AX31" s="280">
        <f t="shared" si="6"/>
        <v>147.60508765377054</v>
      </c>
    </row>
    <row r="32" spans="2:50" ht="15.75" x14ac:dyDescent="0.25">
      <c r="B32" s="568">
        <v>28</v>
      </c>
      <c r="C32" s="568" t="s">
        <v>1060</v>
      </c>
      <c r="D32" s="568">
        <v>7.83</v>
      </c>
      <c r="E32" s="571">
        <v>48.262599999999999</v>
      </c>
      <c r="F32" s="568" t="s">
        <v>281</v>
      </c>
      <c r="G32" s="570">
        <v>1.9421999999999999</v>
      </c>
      <c r="H32" s="568">
        <v>4.8314599999999999</v>
      </c>
      <c r="I32" s="568">
        <v>3805.6705000000002</v>
      </c>
      <c r="J32" s="570">
        <v>0.25208599999999998</v>
      </c>
      <c r="K32" s="571">
        <v>242.97300000000001</v>
      </c>
      <c r="L32" s="568">
        <v>2453580.0359999998</v>
      </c>
      <c r="M32" s="572">
        <f t="shared" si="0"/>
        <v>0.10010774388449856</v>
      </c>
      <c r="N32" s="568">
        <v>2.6859713976699257E-3</v>
      </c>
      <c r="O32" s="568">
        <v>1.313964639599215E-11</v>
      </c>
      <c r="P32" s="568">
        <v>4.8919532082101713E-9</v>
      </c>
      <c r="Q32" s="568">
        <v>0.53</v>
      </c>
      <c r="R32" s="568">
        <v>0.24</v>
      </c>
      <c r="S32" s="568">
        <v>6.3070302700762326E-12</v>
      </c>
      <c r="T32" s="568">
        <v>2.3481375399408821E-9</v>
      </c>
      <c r="U32" s="568">
        <v>45</v>
      </c>
      <c r="V32" s="568" t="s">
        <v>301</v>
      </c>
      <c r="W32" s="568" t="s">
        <v>86</v>
      </c>
      <c r="Y32" s="571">
        <v>12.944000000000001</v>
      </c>
      <c r="Z32" s="512"/>
      <c r="AA32" s="611"/>
      <c r="AC32" s="599">
        <v>45</v>
      </c>
      <c r="AD32" s="612">
        <v>0.248930264825</v>
      </c>
      <c r="AE32" s="613">
        <v>45</v>
      </c>
      <c r="AF32" s="614">
        <f t="shared" si="9"/>
        <v>0.75540916492918719</v>
      </c>
      <c r="AN32" s="611"/>
      <c r="AO32" s="38"/>
      <c r="AP32" s="290">
        <v>3.1</v>
      </c>
      <c r="AQ32" s="280">
        <f t="shared" si="1"/>
        <v>144.72450202621837</v>
      </c>
      <c r="AR32" s="280">
        <f t="shared" si="2"/>
        <v>152.34803967897764</v>
      </c>
      <c r="AS32" s="280">
        <f t="shared" si="3"/>
        <v>0.62611020318000099</v>
      </c>
      <c r="AT32" s="1">
        <f t="shared" si="4"/>
        <v>0.28153325865536732</v>
      </c>
      <c r="AU32" s="290"/>
      <c r="AV32" s="290">
        <v>3.1</v>
      </c>
      <c r="AW32" s="280">
        <f t="shared" si="5"/>
        <v>144.72450202621837</v>
      </c>
      <c r="AX32" s="280">
        <f t="shared" si="6"/>
        <v>145.23722951460823</v>
      </c>
    </row>
    <row r="33" spans="2:50" ht="15.75" x14ac:dyDescent="0.25">
      <c r="B33" s="568">
        <v>29</v>
      </c>
      <c r="C33" s="568" t="s">
        <v>1061</v>
      </c>
      <c r="D33" s="568">
        <v>8.66</v>
      </c>
      <c r="E33" s="571">
        <v>4.9536800000000003</v>
      </c>
      <c r="F33" s="568" t="s">
        <v>235</v>
      </c>
      <c r="G33" s="570">
        <v>0.684002</v>
      </c>
      <c r="H33" s="568">
        <v>3.5615299999999999</v>
      </c>
      <c r="I33" s="568">
        <v>3657</v>
      </c>
      <c r="J33" s="570">
        <v>0.08</v>
      </c>
      <c r="K33" s="571">
        <v>246</v>
      </c>
      <c r="L33" s="568">
        <v>2451211</v>
      </c>
      <c r="M33" s="572">
        <f t="shared" si="0"/>
        <v>0.71896650570888709</v>
      </c>
      <c r="N33" s="568">
        <v>1.2505509303555426E-3</v>
      </c>
      <c r="O33" s="568">
        <v>1.1258155445694178E-11</v>
      </c>
      <c r="P33" s="568">
        <v>9.0025565312189119E-9</v>
      </c>
      <c r="Q33" s="568">
        <v>0.46</v>
      </c>
      <c r="R33" s="568">
        <v>0.21</v>
      </c>
      <c r="S33" s="568">
        <v>4.7284252871915541E-12</v>
      </c>
      <c r="T33" s="568">
        <v>3.7810737431119426E-9</v>
      </c>
      <c r="U33" s="568">
        <v>4</v>
      </c>
      <c r="V33" s="568" t="s">
        <v>234</v>
      </c>
      <c r="W33" s="568" t="s">
        <v>89</v>
      </c>
      <c r="Y33" s="571">
        <v>12.766999999999999</v>
      </c>
      <c r="Z33" s="512"/>
      <c r="AA33" s="611"/>
      <c r="AC33" s="599">
        <v>50</v>
      </c>
      <c r="AD33" s="612">
        <v>0.23104250000000001</v>
      </c>
      <c r="AE33" s="613">
        <v>50</v>
      </c>
      <c r="AF33" s="614">
        <f t="shared" si="9"/>
        <v>0.70807501538564999</v>
      </c>
      <c r="AN33" s="611"/>
      <c r="AO33" s="38"/>
      <c r="AP33" s="290">
        <v>3.2</v>
      </c>
      <c r="AQ33" s="280">
        <f t="shared" si="1"/>
        <v>142.44523356461011</v>
      </c>
      <c r="AR33" s="280">
        <f t="shared" si="2"/>
        <v>150.40283778202485</v>
      </c>
      <c r="AS33" s="280">
        <f t="shared" si="3"/>
        <v>0.61808868352000224</v>
      </c>
      <c r="AT33" s="1">
        <f t="shared" si="4"/>
        <v>0.2779263463933126</v>
      </c>
      <c r="AU33" s="290"/>
      <c r="AV33" s="290">
        <v>3.2</v>
      </c>
      <c r="AW33" s="280">
        <f t="shared" si="5"/>
        <v>142.44523356461011</v>
      </c>
      <c r="AX33" s="280">
        <f t="shared" si="6"/>
        <v>142.98278332459779</v>
      </c>
    </row>
    <row r="34" spans="2:50" ht="15.75" x14ac:dyDescent="0.25">
      <c r="B34" s="568">
        <v>30</v>
      </c>
      <c r="C34" s="568" t="s">
        <v>1062</v>
      </c>
      <c r="D34" s="568">
        <v>5.77</v>
      </c>
      <c r="E34" s="571">
        <v>26.420100000000001</v>
      </c>
      <c r="F34" s="568" t="s">
        <v>321</v>
      </c>
      <c r="G34" s="570">
        <v>1.3325400000000001</v>
      </c>
      <c r="H34" s="568">
        <v>2.34083</v>
      </c>
      <c r="I34" s="568">
        <v>1157</v>
      </c>
      <c r="J34" s="570">
        <v>0.76</v>
      </c>
      <c r="K34" s="571">
        <v>81</v>
      </c>
      <c r="L34" s="568">
        <v>2450131.5</v>
      </c>
      <c r="M34" s="572">
        <f t="shared" si="0"/>
        <v>8.8600345948728426E-2</v>
      </c>
      <c r="N34" s="568">
        <v>1.7910239098804806E-2</v>
      </c>
      <c r="O34" s="568">
        <v>3.7325076388481291E-10</v>
      </c>
      <c r="P34" s="568">
        <v>2.0840077110401101E-8</v>
      </c>
      <c r="Q34" s="568">
        <v>0.4</v>
      </c>
      <c r="R34" s="568">
        <v>0.18</v>
      </c>
      <c r="S34" s="568">
        <v>1.3437027499853264E-10</v>
      </c>
      <c r="T34" s="568">
        <v>7.5024277597443959E-9</v>
      </c>
      <c r="U34" s="568">
        <v>59</v>
      </c>
      <c r="V34" s="568" t="s">
        <v>320</v>
      </c>
      <c r="W34" s="568" t="s">
        <v>84</v>
      </c>
      <c r="Y34" s="571">
        <v>12.885</v>
      </c>
      <c r="Z34" s="512"/>
      <c r="AC34" s="599">
        <v>55</v>
      </c>
      <c r="AD34" s="612">
        <v>0.21349950767500003</v>
      </c>
      <c r="AE34" s="613">
        <v>55</v>
      </c>
      <c r="AF34" s="614">
        <f t="shared" si="9"/>
        <v>0.65906116367307499</v>
      </c>
      <c r="AP34" s="290">
        <v>3.3000000000000003</v>
      </c>
      <c r="AQ34" s="280">
        <f t="shared" si="1"/>
        <v>140.27036945893727</v>
      </c>
      <c r="AR34" s="280">
        <f t="shared" si="2"/>
        <v>148.56366241540169</v>
      </c>
      <c r="AS34" s="280">
        <f t="shared" si="3"/>
        <v>0.6088874522199994</v>
      </c>
      <c r="AT34" s="1">
        <f t="shared" si="4"/>
        <v>0.2737889715056735</v>
      </c>
      <c r="AU34" s="290"/>
      <c r="AV34" s="290">
        <v>3.3000000000000003</v>
      </c>
      <c r="AW34" s="280">
        <f t="shared" si="5"/>
        <v>140.27036945893727</v>
      </c>
      <c r="AX34" s="280">
        <f t="shared" si="6"/>
        <v>140.83311180952904</v>
      </c>
    </row>
    <row r="35" spans="2:50" ht="15.75" x14ac:dyDescent="0.25">
      <c r="B35" s="568">
        <v>31</v>
      </c>
      <c r="C35" s="568" t="s">
        <v>1063</v>
      </c>
      <c r="D35" s="568">
        <v>5.7</v>
      </c>
      <c r="E35" s="571">
        <v>20.6</v>
      </c>
      <c r="F35" s="568" t="s">
        <v>250</v>
      </c>
      <c r="G35" s="570">
        <v>5.3</v>
      </c>
      <c r="H35" s="568">
        <v>6.8</v>
      </c>
      <c r="I35" s="568">
        <v>6005</v>
      </c>
      <c r="J35" s="570">
        <v>0.21</v>
      </c>
      <c r="K35" s="571">
        <v>250</v>
      </c>
      <c r="L35" s="568">
        <v>2455954</v>
      </c>
      <c r="M35" s="572">
        <f t="shared" si="0"/>
        <v>0.33009708737864074</v>
      </c>
      <c r="N35" s="568">
        <v>1.9102991553091697E-2</v>
      </c>
      <c r="O35" s="568">
        <v>4.717616451249259E-11</v>
      </c>
      <c r="P35" s="568">
        <v>2.4695694588661131E-9</v>
      </c>
      <c r="Q35" s="568">
        <v>0.42</v>
      </c>
      <c r="R35" s="568">
        <v>0.19</v>
      </c>
      <c r="S35" s="568">
        <v>1.7926942514747182E-11</v>
      </c>
      <c r="T35" s="568">
        <v>9.3843639436912288E-10</v>
      </c>
      <c r="U35" s="568">
        <v>12</v>
      </c>
      <c r="V35" s="568" t="s">
        <v>249</v>
      </c>
      <c r="W35" s="568" t="s">
        <v>84</v>
      </c>
      <c r="Y35" s="571">
        <v>13.09</v>
      </c>
      <c r="Z35" s="512"/>
      <c r="AC35" s="599">
        <v>60</v>
      </c>
      <c r="AD35" s="612">
        <v>0.19640706560000004</v>
      </c>
      <c r="AE35" s="613">
        <v>60</v>
      </c>
      <c r="AF35" s="614">
        <f t="shared" si="9"/>
        <v>0.60899778104422952</v>
      </c>
      <c r="AP35" s="290">
        <v>3.4000000000000004</v>
      </c>
      <c r="AQ35" s="280">
        <f t="shared" si="1"/>
        <v>138.19217502415668</v>
      </c>
      <c r="AR35" s="280">
        <f t="shared" si="2"/>
        <v>146.82255748256091</v>
      </c>
      <c r="AS35" s="280">
        <f t="shared" si="3"/>
        <v>0.59871961728000089</v>
      </c>
      <c r="AT35" s="1">
        <f t="shared" si="4"/>
        <v>0.2692169589596573</v>
      </c>
      <c r="AU35" s="290"/>
      <c r="AV35" s="290">
        <v>3.4000000000000004</v>
      </c>
      <c r="AW35" s="280">
        <f t="shared" si="5"/>
        <v>138.19217502415668</v>
      </c>
      <c r="AX35" s="280">
        <f t="shared" si="6"/>
        <v>138.78047306748141</v>
      </c>
    </row>
    <row r="36" spans="2:50" ht="15.75" x14ac:dyDescent="0.25">
      <c r="B36" s="568">
        <v>32</v>
      </c>
      <c r="C36" s="568" t="s">
        <v>1064</v>
      </c>
      <c r="D36" s="568">
        <v>3.34</v>
      </c>
      <c r="E36" s="571">
        <v>46.8</v>
      </c>
      <c r="F36" s="568" t="s">
        <v>277</v>
      </c>
      <c r="G36" s="570">
        <v>27</v>
      </c>
      <c r="H36" s="568">
        <v>6.1</v>
      </c>
      <c r="I36" s="568">
        <v>3186</v>
      </c>
      <c r="J36" s="570">
        <v>0.18</v>
      </c>
      <c r="K36" s="571">
        <v>0</v>
      </c>
      <c r="L36" s="568">
        <v>2453038</v>
      </c>
      <c r="M36" s="572">
        <f t="shared" si="0"/>
        <v>0.13034188034188035</v>
      </c>
      <c r="N36" s="568">
        <v>0.16791959713997812</v>
      </c>
      <c r="O36" s="568">
        <v>5.1532449297515957E-10</v>
      </c>
      <c r="P36" s="568">
        <v>3.0688764250999486E-9</v>
      </c>
      <c r="Q36" s="568">
        <v>0.12</v>
      </c>
      <c r="R36" s="568">
        <v>0.05</v>
      </c>
      <c r="S36" s="568">
        <v>5.1532449297515955E-11</v>
      </c>
      <c r="T36" s="568">
        <v>3.0688764250999483E-10</v>
      </c>
      <c r="U36" s="568">
        <v>30</v>
      </c>
      <c r="V36" s="568" t="s">
        <v>276</v>
      </c>
      <c r="W36" s="568" t="s">
        <v>86</v>
      </c>
      <c r="X36" s="569" t="s">
        <v>1183</v>
      </c>
      <c r="Y36" s="571">
        <v>11.419</v>
      </c>
      <c r="Z36" s="512"/>
      <c r="AC36" s="599">
        <v>65</v>
      </c>
      <c r="AD36" s="612">
        <v>0.17986179252500001</v>
      </c>
      <c r="AE36" s="613">
        <v>65</v>
      </c>
      <c r="AF36" s="614">
        <f t="shared" si="9"/>
        <v>0.55849284020678835</v>
      </c>
      <c r="AP36" s="290">
        <v>3.5</v>
      </c>
      <c r="AQ36" s="280">
        <f t="shared" si="1"/>
        <v>136.20369473579356</v>
      </c>
      <c r="AR36" s="280">
        <f t="shared" si="2"/>
        <v>145.17235559531517</v>
      </c>
      <c r="AS36" s="280">
        <f t="shared" si="3"/>
        <v>0.58779718749999854</v>
      </c>
      <c r="AT36" s="1">
        <f t="shared" si="4"/>
        <v>0.26430563946225816</v>
      </c>
      <c r="AU36" s="290"/>
      <c r="AV36" s="290">
        <v>3.5</v>
      </c>
      <c r="AW36" s="280">
        <f t="shared" si="5"/>
        <v>136.20369473579356</v>
      </c>
      <c r="AX36" s="280">
        <f t="shared" si="6"/>
        <v>136.8179046125656</v>
      </c>
    </row>
    <row r="37" spans="2:50" ht="15.75" x14ac:dyDescent="0.25">
      <c r="B37" s="568">
        <v>33</v>
      </c>
      <c r="C37" s="568" t="s">
        <v>1066</v>
      </c>
      <c r="D37" s="568">
        <v>5.81</v>
      </c>
      <c r="E37" s="571">
        <v>22.04</v>
      </c>
      <c r="F37" s="568" t="s">
        <v>1193</v>
      </c>
      <c r="G37" s="570">
        <v>1.53</v>
      </c>
      <c r="H37" s="568">
        <v>4.43</v>
      </c>
      <c r="I37" s="568">
        <v>3117</v>
      </c>
      <c r="J37" s="570">
        <v>0.4</v>
      </c>
      <c r="K37" s="571">
        <v>64</v>
      </c>
      <c r="L37" s="568">
        <v>2449344</v>
      </c>
      <c r="M37" s="572">
        <f t="shared" si="0"/>
        <v>0.20099818511796733</v>
      </c>
      <c r="N37" s="568">
        <v>1.7262408263472903E-2</v>
      </c>
      <c r="O37" s="568">
        <v>1.0044608220464208E-10</v>
      </c>
      <c r="P37" s="568">
        <v>5.8187757276709223E-9</v>
      </c>
      <c r="Q37" s="568">
        <v>0.64</v>
      </c>
      <c r="R37" s="568">
        <v>0.28999999999999998</v>
      </c>
      <c r="S37" s="568">
        <v>5.8258727678692409E-11</v>
      </c>
      <c r="T37" s="568">
        <v>3.374889922049135E-9</v>
      </c>
      <c r="U37" s="568">
        <v>999</v>
      </c>
      <c r="V37" s="568" t="s">
        <v>1199</v>
      </c>
      <c r="W37" s="568" t="s">
        <v>84</v>
      </c>
      <c r="X37" s="569" t="s">
        <v>1184</v>
      </c>
      <c r="Y37" s="571"/>
      <c r="Z37" s="512"/>
      <c r="AC37" s="599">
        <v>70</v>
      </c>
      <c r="AD37" s="612">
        <v>0.16395071920000001</v>
      </c>
      <c r="AE37" s="613">
        <v>70</v>
      </c>
      <c r="AF37" s="614">
        <f t="shared" si="9"/>
        <v>0.50812576098024143</v>
      </c>
      <c r="AP37" s="290">
        <v>3.6</v>
      </c>
      <c r="AQ37" s="280">
        <f t="shared" si="1"/>
        <v>134.29865413498334</v>
      </c>
      <c r="AR37" s="280">
        <f t="shared" si="2"/>
        <v>143.60657972044288</v>
      </c>
      <c r="AS37" s="280">
        <f t="shared" si="3"/>
        <v>0.57632900607999926</v>
      </c>
      <c r="AT37" s="1">
        <f t="shared" si="4"/>
        <v>0.25914892029425074</v>
      </c>
      <c r="AU37" s="290"/>
      <c r="AV37" s="290">
        <v>3.6</v>
      </c>
      <c r="AW37" s="280">
        <f t="shared" si="5"/>
        <v>134.29865413498334</v>
      </c>
      <c r="AX37" s="280">
        <f t="shared" si="6"/>
        <v>134.93912526112294</v>
      </c>
    </row>
    <row r="38" spans="2:50" ht="15.75" x14ac:dyDescent="0.25">
      <c r="B38" s="568">
        <v>34</v>
      </c>
      <c r="C38" s="568" t="s">
        <v>1065</v>
      </c>
      <c r="D38" s="568">
        <v>5.9</v>
      </c>
      <c r="E38" s="571">
        <v>36.603200000000001</v>
      </c>
      <c r="F38" s="568" t="s">
        <v>250</v>
      </c>
      <c r="G38" s="570">
        <v>4.0640700000000001</v>
      </c>
      <c r="H38" s="568">
        <v>3.6018400000000002</v>
      </c>
      <c r="I38" s="568">
        <v>2102</v>
      </c>
      <c r="J38" s="570">
        <v>0.33</v>
      </c>
      <c r="K38" s="571">
        <v>252</v>
      </c>
      <c r="L38" s="568">
        <v>2452516</v>
      </c>
      <c r="M38" s="572">
        <f t="shared" si="0"/>
        <v>9.8402325479739483E-2</v>
      </c>
      <c r="N38" s="568">
        <v>1.5889176293542018E-2</v>
      </c>
      <c r="O38" s="568">
        <v>1.3985938721140411E-10</v>
      </c>
      <c r="P38" s="568">
        <v>8.802179837871673E-9</v>
      </c>
      <c r="Q38" s="568">
        <v>0.35</v>
      </c>
      <c r="R38" s="568">
        <v>0.16</v>
      </c>
      <c r="S38" s="568">
        <v>4.4755003907649318E-11</v>
      </c>
      <c r="T38" s="568">
        <v>2.8166975481189355E-9</v>
      </c>
      <c r="U38" s="568">
        <v>46</v>
      </c>
      <c r="V38" s="568" t="s">
        <v>302</v>
      </c>
      <c r="W38" s="568" t="s">
        <v>84</v>
      </c>
      <c r="Y38" s="571">
        <v>13.132999999999999</v>
      </c>
      <c r="Z38" s="512"/>
      <c r="AC38" s="599">
        <v>75</v>
      </c>
      <c r="AD38" s="612">
        <v>0.14875085937499999</v>
      </c>
      <c r="AE38" s="613">
        <v>75</v>
      </c>
      <c r="AF38" s="614">
        <f t="shared" si="9"/>
        <v>0.45844151613786105</v>
      </c>
      <c r="AP38" s="290">
        <v>3.7</v>
      </c>
      <c r="AQ38" s="280">
        <f t="shared" si="1"/>
        <v>132.47137641758212</v>
      </c>
      <c r="AR38" s="280">
        <f t="shared" si="2"/>
        <v>142.11935951766364</v>
      </c>
      <c r="AS38" s="280">
        <f t="shared" si="3"/>
        <v>0.56451881381999902</v>
      </c>
      <c r="AT38" s="1">
        <f t="shared" si="4"/>
        <v>0.25383841441937943</v>
      </c>
      <c r="AU38" s="290"/>
      <c r="AV38" s="290">
        <v>3.7</v>
      </c>
      <c r="AW38" s="280">
        <f t="shared" si="5"/>
        <v>132.47137641758212</v>
      </c>
      <c r="AX38" s="280">
        <f t="shared" si="6"/>
        <v>133.13845170387785</v>
      </c>
    </row>
    <row r="39" spans="2:50" ht="15.75" x14ac:dyDescent="0.25">
      <c r="AC39" s="599">
        <v>80</v>
      </c>
      <c r="AD39" s="612">
        <v>0.13432878079999999</v>
      </c>
      <c r="AE39" s="613">
        <v>80</v>
      </c>
      <c r="AF39" s="614">
        <f t="shared" si="9"/>
        <v>0.40994525358919193</v>
      </c>
      <c r="AP39" s="290">
        <v>3.8000000000000003</v>
      </c>
      <c r="AQ39" s="280">
        <f t="shared" si="1"/>
        <v>130.71671117835447</v>
      </c>
      <c r="AR39" s="280">
        <f t="shared" si="2"/>
        <v>140.70535983792851</v>
      </c>
      <c r="AS39" s="280">
        <f t="shared" si="3"/>
        <v>0.55256344191999873</v>
      </c>
      <c r="AT39" s="1">
        <f t="shared" si="4"/>
        <v>0.24846262786878676</v>
      </c>
      <c r="AU39" s="290"/>
      <c r="AV39" s="290">
        <v>3.8000000000000003</v>
      </c>
      <c r="AW39" s="280">
        <f t="shared" si="5"/>
        <v>130.71671117835447</v>
      </c>
      <c r="AX39" s="280">
        <f t="shared" si="6"/>
        <v>131.41072723482205</v>
      </c>
    </row>
    <row r="40" spans="2:50" ht="15.75" x14ac:dyDescent="0.25">
      <c r="AC40" s="599">
        <v>85</v>
      </c>
      <c r="AD40" s="612">
        <v>0.12074017622499998</v>
      </c>
      <c r="AE40" s="613">
        <v>85</v>
      </c>
      <c r="AF40" s="614">
        <f t="shared" si="9"/>
        <v>0.36309748519440987</v>
      </c>
      <c r="AP40" s="290">
        <v>3.9000000000000004</v>
      </c>
      <c r="AQ40" s="280">
        <f t="shared" si="1"/>
        <v>129.02997327085686</v>
      </c>
      <c r="AR40" s="280">
        <f t="shared" si="2"/>
        <v>139.35971934111816</v>
      </c>
      <c r="AS40" s="280">
        <f t="shared" si="3"/>
        <v>0.54065113437999823</v>
      </c>
      <c r="AT40" s="1">
        <f t="shared" si="4"/>
        <v>0.24310620540065286</v>
      </c>
      <c r="AU40" s="290"/>
      <c r="AV40" s="290">
        <v>3.9000000000000004</v>
      </c>
      <c r="AW40" s="280">
        <f t="shared" si="5"/>
        <v>129.02997327085686</v>
      </c>
      <c r="AX40" s="280">
        <f t="shared" si="6"/>
        <v>129.75126059725045</v>
      </c>
    </row>
    <row r="41" spans="2:50" ht="15.75" x14ac:dyDescent="0.25">
      <c r="AC41" s="599">
        <v>90</v>
      </c>
      <c r="AD41" s="612">
        <v>0.10802943439999996</v>
      </c>
      <c r="AE41" s="613">
        <v>90</v>
      </c>
      <c r="AF41" s="614">
        <f t="shared" si="9"/>
        <v>0.31830988618379069</v>
      </c>
      <c r="AP41" s="290">
        <v>4</v>
      </c>
      <c r="AQ41" s="280">
        <f t="shared" si="1"/>
        <v>127.40689012852123</v>
      </c>
      <c r="AR41" s="280">
        <f t="shared" si="2"/>
        <v>138.07799757756266</v>
      </c>
      <c r="AS41" s="280">
        <f t="shared" si="3"/>
        <v>0.52895999999999865</v>
      </c>
      <c r="AT41" s="1">
        <f t="shared" si="4"/>
        <v>0.2378492344350594</v>
      </c>
      <c r="AU41" s="290"/>
      <c r="AV41" s="290">
        <v>4</v>
      </c>
      <c r="AW41" s="280">
        <f t="shared" si="5"/>
        <v>127.40689012852123</v>
      </c>
      <c r="AX41" s="280">
        <f t="shared" si="6"/>
        <v>128.15577329228304</v>
      </c>
    </row>
    <row r="42" spans="2:50" ht="15.75" x14ac:dyDescent="0.25">
      <c r="AC42" s="599">
        <v>95</v>
      </c>
      <c r="AD42" s="612">
        <v>9.6229211075000015E-2</v>
      </c>
      <c r="AE42" s="613">
        <v>95</v>
      </c>
      <c r="AF42" s="614">
        <f t="shared" si="9"/>
        <v>0.27594174244675179</v>
      </c>
      <c r="AP42" s="290">
        <v>4.0999999999999996</v>
      </c>
      <c r="AQ42" s="280">
        <f t="shared" si="1"/>
        <v>125.84355619702286</v>
      </c>
      <c r="AR42" s="280">
        <f t="shared" si="2"/>
        <v>136.85612918272466</v>
      </c>
      <c r="AS42" s="280">
        <f t="shared" si="3"/>
        <v>0.51765659397999664</v>
      </c>
      <c r="AT42" s="1">
        <f t="shared" si="4"/>
        <v>0.23276660726407081</v>
      </c>
      <c r="AU42" s="290"/>
      <c r="AV42" s="290">
        <v>4.0999999999999996</v>
      </c>
      <c r="AW42" s="280">
        <f t="shared" si="5"/>
        <v>125.84355619702286</v>
      </c>
      <c r="AX42" s="280">
        <f t="shared" si="6"/>
        <v>126.62035399981166</v>
      </c>
    </row>
    <row r="43" spans="2:50" ht="15.75" x14ac:dyDescent="0.25">
      <c r="AC43" s="599">
        <v>100</v>
      </c>
      <c r="AD43" s="612">
        <v>8.5359999999999978E-2</v>
      </c>
      <c r="AE43" s="613">
        <v>100</v>
      </c>
      <c r="AF43" s="614">
        <f t="shared" si="9"/>
        <v>0.23629707592226157</v>
      </c>
      <c r="AP43" s="290">
        <v>4.2</v>
      </c>
      <c r="AQ43" s="280">
        <f t="shared" si="1"/>
        <v>124.33639337056961</v>
      </c>
      <c r="AR43" s="280">
        <f t="shared" si="2"/>
        <v>135.69038407721726</v>
      </c>
      <c r="AS43" s="280">
        <f t="shared" si="3"/>
        <v>0.50689462911999794</v>
      </c>
      <c r="AT43" s="1">
        <f t="shared" si="4"/>
        <v>0.22792744153704475</v>
      </c>
      <c r="AU43" s="290"/>
      <c r="AV43" s="290">
        <v>4.2</v>
      </c>
      <c r="AW43" s="280">
        <f t="shared" si="5"/>
        <v>124.33639337056961</v>
      </c>
      <c r="AX43" s="280">
        <f t="shared" si="6"/>
        <v>125.14141900438035</v>
      </c>
    </row>
    <row r="44" spans="2:50" x14ac:dyDescent="0.25">
      <c r="AP44" s="290">
        <v>4.3000000000000007</v>
      </c>
      <c r="AQ44" s="280">
        <f t="shared" si="1"/>
        <v>122.8821165190674</v>
      </c>
      <c r="AR44" s="280">
        <f t="shared" si="2"/>
        <v>134.5773327588669</v>
      </c>
      <c r="AS44" s="280">
        <f t="shared" si="3"/>
        <v>0.49681381661999802</v>
      </c>
      <c r="AT44" s="1">
        <f t="shared" si="4"/>
        <v>0.22339455902114871</v>
      </c>
      <c r="AU44" s="290"/>
      <c r="AV44" s="290">
        <v>4.3000000000000007</v>
      </c>
      <c r="AW44" s="280">
        <f t="shared" si="5"/>
        <v>122.8821165190674</v>
      </c>
      <c r="AX44" s="280">
        <f t="shared" si="6"/>
        <v>123.71567771284731</v>
      </c>
    </row>
    <row r="45" spans="2:50" x14ac:dyDescent="0.25">
      <c r="AP45" s="290">
        <v>4.4000000000000004</v>
      </c>
      <c r="AQ45" s="280">
        <f t="shared" si="1"/>
        <v>121.47770334966849</v>
      </c>
      <c r="AR45" s="280">
        <f t="shared" si="2"/>
        <v>133.51381593025351</v>
      </c>
      <c r="AS45" s="280">
        <f t="shared" si="3"/>
        <v>0.4875388364799973</v>
      </c>
      <c r="AT45" s="1">
        <f t="shared" si="4"/>
        <v>0.21922402263711294</v>
      </c>
      <c r="AU45" s="290"/>
      <c r="AV45" s="290">
        <v>4.4000000000000004</v>
      </c>
      <c r="AW45" s="280">
        <f t="shared" si="5"/>
        <v>121.47770334966849</v>
      </c>
      <c r="AX45" s="280">
        <f t="shared" si="6"/>
        <v>122.34010250723591</v>
      </c>
    </row>
    <row r="46" spans="2:50" x14ac:dyDescent="0.25">
      <c r="AP46" s="290">
        <v>4.5</v>
      </c>
      <c r="AQ46" s="280">
        <f t="shared" si="1"/>
        <v>120.12036797302233</v>
      </c>
      <c r="AR46" s="280">
        <f t="shared" si="2"/>
        <v>132.49691783210639</v>
      </c>
      <c r="AS46" s="280">
        <f t="shared" si="3"/>
        <v>0.47917843749999744</v>
      </c>
      <c r="AT46" s="1">
        <f t="shared" si="4"/>
        <v>0.21546473177019557</v>
      </c>
      <c r="AU46" s="290"/>
      <c r="AV46" s="290">
        <v>4.5</v>
      </c>
      <c r="AW46" s="280">
        <f t="shared" si="5"/>
        <v>120.12036797302233</v>
      </c>
      <c r="AX46" s="280">
        <f t="shared" si="6"/>
        <v>121.0119023030138</v>
      </c>
    </row>
    <row r="47" spans="2:50" x14ac:dyDescent="0.25">
      <c r="AP47" s="290">
        <v>4.6000000000000005</v>
      </c>
      <c r="AQ47" s="280">
        <f t="shared" si="1"/>
        <v>118.80753764779138</v>
      </c>
      <c r="AR47" s="280">
        <f t="shared" si="2"/>
        <v>131.5239427562735</v>
      </c>
      <c r="AS47" s="280">
        <f t="shared" si="3"/>
        <v>0.47182466687999658</v>
      </c>
      <c r="AT47" s="1">
        <f t="shared" si="4"/>
        <v>0.21215807585636798</v>
      </c>
      <c r="AU47" s="290"/>
      <c r="AV47" s="290">
        <v>4.6000000000000005</v>
      </c>
      <c r="AW47" s="280">
        <f t="shared" si="5"/>
        <v>118.80753764779138</v>
      </c>
      <c r="AX47" s="280">
        <f t="shared" si="6"/>
        <v>119.72849928628806</v>
      </c>
    </row>
    <row r="48" spans="2:50" x14ac:dyDescent="0.25">
      <c r="AP48" s="290">
        <v>4.7</v>
      </c>
      <c r="AQ48" s="280">
        <f t="shared" si="1"/>
        <v>117.53683226146815</v>
      </c>
      <c r="AR48" s="280">
        <f t="shared" si="2"/>
        <v>130.59239429653022</v>
      </c>
      <c r="AS48" s="280">
        <f t="shared" si="3"/>
        <v>0.46555222941999874</v>
      </c>
      <c r="AT48" s="1">
        <f t="shared" si="4"/>
        <v>0.20933764624372755</v>
      </c>
      <c r="AU48" s="290"/>
      <c r="AV48" s="290">
        <v>4.7</v>
      </c>
      <c r="AW48" s="280">
        <f t="shared" si="5"/>
        <v>117.53683226146815</v>
      </c>
      <c r="AX48" s="280">
        <f t="shared" si="6"/>
        <v>118.48750838788703</v>
      </c>
    </row>
    <row r="49" spans="42:50" x14ac:dyDescent="0.25">
      <c r="AP49" s="290">
        <v>4.8</v>
      </c>
      <c r="AQ49" s="280">
        <f t="shared" si="1"/>
        <v>116.30604617495557</v>
      </c>
      <c r="AR49" s="280">
        <f t="shared" si="2"/>
        <v>129.69995696496494</v>
      </c>
      <c r="AS49" s="280">
        <f t="shared" si="3"/>
        <v>0.46041797631999826</v>
      </c>
      <c r="AT49" s="1">
        <f t="shared" si="4"/>
        <v>0.20702900632911975</v>
      </c>
      <c r="AU49" s="290"/>
      <c r="AV49" s="290">
        <v>4.8</v>
      </c>
      <c r="AW49" s="280">
        <f t="shared" si="5"/>
        <v>116.30604617495557</v>
      </c>
      <c r="AX49" s="280">
        <f t="shared" si="6"/>
        <v>117.28671912173651</v>
      </c>
    </row>
    <row r="50" spans="42:50" x14ac:dyDescent="0.25">
      <c r="AP50" s="290">
        <v>4.9000000000000004</v>
      </c>
      <c r="AQ50" s="280">
        <f t="shared" si="1"/>
        <v>115.11313211569993</v>
      </c>
      <c r="AR50" s="280">
        <f t="shared" si="2"/>
        <v>128.84447985904214</v>
      </c>
      <c r="AS50" s="280">
        <f t="shared" si="3"/>
        <v>0.45646052357999389</v>
      </c>
      <c r="AT50" s="1">
        <f t="shared" si="4"/>
        <v>0.20524951996999433</v>
      </c>
      <c r="AU50" s="290"/>
      <c r="AV50" s="290">
        <v>4.9000000000000004</v>
      </c>
      <c r="AW50" s="280">
        <f t="shared" si="5"/>
        <v>115.11313211569993</v>
      </c>
      <c r="AX50" s="280">
        <f t="shared" si="6"/>
        <v>116.12407947226667</v>
      </c>
    </row>
    <row r="51" spans="42:50" x14ac:dyDescent="0.25">
      <c r="AP51" s="290">
        <v>5</v>
      </c>
      <c r="AQ51" s="280">
        <f t="shared" si="1"/>
        <v>113.9561868516881</v>
      </c>
      <c r="AR51" s="280">
        <f t="shared" si="2"/>
        <v>128.02396211197777</v>
      </c>
      <c r="AS51" s="280">
        <f t="shared" si="3"/>
        <v>0.45369999999999777</v>
      </c>
      <c r="AT51" s="1">
        <f t="shared" si="4"/>
        <v>0.20400823817148026</v>
      </c>
      <c r="AU51" s="290"/>
      <c r="AV51" s="290">
        <v>5</v>
      </c>
      <c r="AW51" s="280">
        <f t="shared" si="5"/>
        <v>113.9561868516881</v>
      </c>
      <c r="AX51" s="280">
        <f t="shared" si="6"/>
        <v>114.99768156311876</v>
      </c>
    </row>
    <row r="52" spans="42:50" x14ac:dyDescent="0.25">
      <c r="AP52" s="290">
        <v>5.1000000000000005</v>
      </c>
      <c r="AQ52" s="280">
        <f t="shared" si="1"/>
        <v>112.83343841818977</v>
      </c>
      <c r="AR52" s="280">
        <f t="shared" si="2"/>
        <v>127.23653989863804</v>
      </c>
      <c r="AS52" s="280">
        <f t="shared" si="3"/>
        <v>0.45213792478000103</v>
      </c>
      <c r="AT52" s="1">
        <f t="shared" si="4"/>
        <v>0.2033058440486615</v>
      </c>
      <c r="AU52" s="290"/>
      <c r="AV52" s="290">
        <v>5.1000000000000005</v>
      </c>
      <c r="AW52" s="280">
        <f t="shared" si="5"/>
        <v>112.83343841818977</v>
      </c>
      <c r="AX52" s="280">
        <f t="shared" si="6"/>
        <v>113.90574887899102</v>
      </c>
    </row>
    <row r="53" spans="42:50" x14ac:dyDescent="0.25">
      <c r="AP53" s="290">
        <v>5.2</v>
      </c>
      <c r="AQ53" s="280">
        <f t="shared" si="1"/>
        <v>111.7432347021891</v>
      </c>
      <c r="AR53" s="280">
        <f t="shared" si="2"/>
        <v>126.48047480223235</v>
      </c>
      <c r="AS53" s="280">
        <f t="shared" si="3"/>
        <v>0.45175721471999397</v>
      </c>
      <c r="AT53" s="1">
        <f t="shared" si="4"/>
        <v>0.20313465606409858</v>
      </c>
      <c r="AU53" s="290"/>
      <c r="AV53" s="290">
        <v>5.2</v>
      </c>
      <c r="AW53" s="280">
        <f t="shared" si="5"/>
        <v>111.7432347021891</v>
      </c>
      <c r="AX53" s="280">
        <f t="shared" si="6"/>
        <v>112.84662484553435</v>
      </c>
    </row>
    <row r="54" spans="42:50" x14ac:dyDescent="0.25">
      <c r="AP54" s="290">
        <v>5.3000000000000007</v>
      </c>
      <c r="AQ54" s="280">
        <f t="shared" si="1"/>
        <v>110.68403321718739</v>
      </c>
      <c r="AR54" s="280">
        <f t="shared" si="2"/>
        <v>125.75414337479457</v>
      </c>
      <c r="AS54" s="280">
        <f t="shared" si="3"/>
        <v>0.45252232102000178</v>
      </c>
      <c r="AT54" s="1">
        <f t="shared" si="4"/>
        <v>0.20347868954057752</v>
      </c>
      <c r="AU54" s="290"/>
      <c r="AV54" s="290">
        <v>5.3000000000000007</v>
      </c>
      <c r="AW54" s="280">
        <f t="shared" si="5"/>
        <v>110.68403321718739</v>
      </c>
      <c r="AX54" s="280">
        <f t="shared" si="6"/>
        <v>111.81876259994564</v>
      </c>
    </row>
    <row r="55" spans="42:50" x14ac:dyDescent="0.25">
      <c r="AP55" s="290">
        <v>5.4</v>
      </c>
      <c r="AQ55" s="280">
        <f t="shared" si="1"/>
        <v>109.65439192440904</v>
      </c>
      <c r="AR55" s="280">
        <f t="shared" si="2"/>
        <v>125.05602774778004</v>
      </c>
      <c r="AS55" s="280">
        <f t="shared" si="3"/>
        <v>0.45437949567999869</v>
      </c>
      <c r="AT55" s="1">
        <f t="shared" si="4"/>
        <v>0.20431377644902515</v>
      </c>
      <c r="AU55" s="290"/>
      <c r="AV55" s="290">
        <v>5.4</v>
      </c>
      <c r="AW55" s="280">
        <f t="shared" si="5"/>
        <v>109.65439192440904</v>
      </c>
      <c r="AX55" s="280">
        <f t="shared" si="6"/>
        <v>110.82071580826519</v>
      </c>
    </row>
    <row r="56" spans="42:50" x14ac:dyDescent="0.25">
      <c r="AP56" s="290">
        <v>5.5</v>
      </c>
      <c r="AQ56" s="280">
        <f t="shared" si="1"/>
        <v>108.65296097616512</v>
      </c>
      <c r="AR56" s="280">
        <f t="shared" si="2"/>
        <v>124.38470716880963</v>
      </c>
      <c r="AS56" s="280">
        <f t="shared" si="3"/>
        <v>0.45725718749999267</v>
      </c>
      <c r="AT56" s="1">
        <f t="shared" si="4"/>
        <v>0.20560774347172178</v>
      </c>
      <c r="AU56" s="290"/>
      <c r="AV56" s="290">
        <v>5.5</v>
      </c>
      <c r="AW56" s="280">
        <f t="shared" si="5"/>
        <v>108.65296097616512</v>
      </c>
      <c r="AX56" s="280">
        <f t="shared" si="6"/>
        <v>109.85113040510494</v>
      </c>
    </row>
    <row r="57" spans="42:50" x14ac:dyDescent="0.25">
      <c r="AP57" s="290">
        <v>5.6000000000000005</v>
      </c>
      <c r="AQ57" s="280">
        <f t="shared" si="1"/>
        <v>107.67847527384831</v>
      </c>
      <c r="AR57" s="280">
        <f t="shared" si="2"/>
        <v>123.73885035728233</v>
      </c>
      <c r="AS57" s="280">
        <f t="shared" si="3"/>
        <v>0.46106656767999876</v>
      </c>
      <c r="AT57" s="1">
        <f t="shared" si="4"/>
        <v>0.20732064834068453</v>
      </c>
      <c r="AU57" s="290"/>
      <c r="AV57" s="290">
        <v>5.6000000000000005</v>
      </c>
      <c r="AW57" s="280">
        <f t="shared" si="5"/>
        <v>107.67847527384831</v>
      </c>
      <c r="AX57" s="280">
        <f t="shared" si="6"/>
        <v>108.90873714825969</v>
      </c>
    </row>
    <row r="58" spans="42:50" x14ac:dyDescent="0.25">
      <c r="AP58" s="290">
        <v>5.7</v>
      </c>
      <c r="AQ58" s="280">
        <f t="shared" si="1"/>
        <v>106.72974774724352</v>
      </c>
      <c r="AR58" s="280">
        <f t="shared" si="2"/>
        <v>123.11720858576606</v>
      </c>
      <c r="AS58" s="280">
        <f t="shared" si="3"/>
        <v>0.46570218502000493</v>
      </c>
      <c r="AT58" s="1">
        <f t="shared" si="4"/>
        <v>0.20940507445126824</v>
      </c>
      <c r="AU58" s="290"/>
      <c r="AV58" s="290">
        <v>5.7</v>
      </c>
      <c r="AW58" s="280">
        <f t="shared" si="5"/>
        <v>106.72974774724352</v>
      </c>
      <c r="AX58" s="280">
        <f t="shared" si="6"/>
        <v>107.99234489486399</v>
      </c>
    </row>
    <row r="59" spans="42:50" x14ac:dyDescent="0.25">
      <c r="AP59" s="290">
        <v>5.8000000000000007</v>
      </c>
      <c r="AQ59" s="280">
        <f t="shared" si="1"/>
        <v>105.80566327395765</v>
      </c>
      <c r="AR59" s="280">
        <f t="shared" si="2"/>
        <v>122.51860940616666</v>
      </c>
      <c r="AS59" s="280">
        <f t="shared" si="3"/>
        <v>0.47104275071997925</v>
      </c>
      <c r="AT59" s="1">
        <f t="shared" si="4"/>
        <v>0.21180648375100553</v>
      </c>
      <c r="AU59" s="290"/>
      <c r="AV59" s="290">
        <v>5.8000000000000007</v>
      </c>
      <c r="AW59" s="280">
        <f t="shared" si="5"/>
        <v>105.80566327395765</v>
      </c>
      <c r="AX59" s="280">
        <f t="shared" si="6"/>
        <v>107.10083451788083</v>
      </c>
    </row>
    <row r="60" spans="42:50" x14ac:dyDescent="0.25">
      <c r="AP60" s="290">
        <v>5.9</v>
      </c>
      <c r="AQ60" s="280">
        <f t="shared" si="1"/>
        <v>104.90517316814277</v>
      </c>
      <c r="AR60" s="280">
        <f t="shared" si="2"/>
        <v>121.94195095001845</v>
      </c>
      <c r="AS60" s="280">
        <f t="shared" si="3"/>
        <v>0.47695205277999175</v>
      </c>
      <c r="AT60" s="1">
        <f t="shared" si="4"/>
        <v>0.21446362790371931</v>
      </c>
      <c r="AU60" s="290"/>
      <c r="AV60" s="290">
        <v>5.9</v>
      </c>
      <c r="AW60" s="280">
        <f t="shared" si="5"/>
        <v>104.90517316814277</v>
      </c>
      <c r="AX60" s="280">
        <f t="shared" si="6"/>
        <v>106.23315339207804</v>
      </c>
    </row>
    <row r="61" spans="42:50" x14ac:dyDescent="0.25">
      <c r="AP61" s="290">
        <v>6</v>
      </c>
      <c r="AQ61" s="280">
        <f t="shared" si="1"/>
        <v>104.02729017657207</v>
      </c>
      <c r="AR61" s="280">
        <f t="shared" si="2"/>
        <v>121.38619674109779</v>
      </c>
      <c r="AS61" s="280">
        <f t="shared" si="3"/>
        <v>0.48327999999999349</v>
      </c>
      <c r="AT61" s="1">
        <f t="shared" si="4"/>
        <v>0.21730901772870209</v>
      </c>
      <c r="AU61" s="290"/>
      <c r="AV61" s="290">
        <v>6</v>
      </c>
      <c r="AW61" s="280">
        <f t="shared" si="5"/>
        <v>104.02729017657207</v>
      </c>
      <c r="AX61" s="280">
        <f t="shared" si="6"/>
        <v>105.38831038753753</v>
      </c>
    </row>
    <row r="62" spans="42:50" x14ac:dyDescent="0.25">
      <c r="AP62" s="290">
        <v>6.1</v>
      </c>
      <c r="AQ62" s="280">
        <f t="shared" si="1"/>
        <v>103.17108392778229</v>
      </c>
      <c r="AR62" s="280">
        <f t="shared" si="2"/>
        <v>120.85037096618811</v>
      </c>
      <c r="AS62" s="280">
        <f t="shared" si="3"/>
        <v>0.48986379557999449</v>
      </c>
      <c r="AT62" s="1">
        <f t="shared" si="4"/>
        <v>0.22026945091529496</v>
      </c>
      <c r="AU62" s="290"/>
      <c r="AV62" s="290">
        <v>6.1</v>
      </c>
      <c r="AW62" s="280">
        <f t="shared" si="5"/>
        <v>103.17108392778229</v>
      </c>
      <c r="AX62" s="280">
        <f t="shared" si="6"/>
        <v>104.56537131639739</v>
      </c>
    </row>
    <row r="63" spans="42:50" x14ac:dyDescent="0.25">
      <c r="AP63" s="290">
        <v>6.2</v>
      </c>
      <c r="AQ63" s="280">
        <f t="shared" si="1"/>
        <v>102.33567678658524</v>
      </c>
      <c r="AR63" s="280">
        <f t="shared" si="2"/>
        <v>120.333554156388</v>
      </c>
      <c r="AS63" s="280">
        <f t="shared" si="3"/>
        <v>0.49652924032000278</v>
      </c>
      <c r="AT63" s="1">
        <f t="shared" si="4"/>
        <v>0.22326659801258053</v>
      </c>
      <c r="AU63" s="290"/>
      <c r="AV63" s="290">
        <v>6.2</v>
      </c>
      <c r="AW63" s="280">
        <f t="shared" si="5"/>
        <v>102.33567678658524</v>
      </c>
      <c r="AX63" s="280">
        <f t="shared" si="6"/>
        <v>103.76345478511507</v>
      </c>
    </row>
    <row r="64" spans="42:50" x14ac:dyDescent="0.25">
      <c r="AP64" s="290">
        <v>6.3000000000000007</v>
      </c>
      <c r="AQ64" s="280">
        <f t="shared" si="1"/>
        <v>101.5202400719549</v>
      </c>
      <c r="AR64" s="280">
        <f t="shared" si="2"/>
        <v>119.8348792370347</v>
      </c>
      <c r="AS64" s="280">
        <f t="shared" si="3"/>
        <v>0.50309216541999824</v>
      </c>
      <c r="AT64" s="1">
        <f t="shared" si="4"/>
        <v>0.22621764669431177</v>
      </c>
      <c r="AU64" s="290"/>
      <c r="AV64" s="290">
        <v>6.3000000000000007</v>
      </c>
      <c r="AW64" s="280">
        <f t="shared" si="5"/>
        <v>101.5202400719549</v>
      </c>
      <c r="AX64" s="280">
        <f t="shared" si="6"/>
        <v>102.98172841024919</v>
      </c>
    </row>
    <row r="65" spans="42:50" x14ac:dyDescent="0.25">
      <c r="AP65" s="290">
        <v>6.4</v>
      </c>
      <c r="AQ65" s="280">
        <f t="shared" si="1"/>
        <v>100.72399060123742</v>
      </c>
      <c r="AR65" s="280">
        <f t="shared" si="2"/>
        <v>119.35352790923011</v>
      </c>
      <c r="AS65" s="280">
        <f t="shared" si="3"/>
        <v>0.50935999488001649</v>
      </c>
      <c r="AT65" s="1">
        <f t="shared" si="4"/>
        <v>0.22903600429911147</v>
      </c>
      <c r="AU65" s="290"/>
      <c r="AV65" s="290">
        <v>6.4</v>
      </c>
      <c r="AW65" s="280">
        <f t="shared" si="5"/>
        <v>100.72399060123742</v>
      </c>
      <c r="AX65" s="280">
        <f t="shared" si="6"/>
        <v>102.21940536069474</v>
      </c>
    </row>
    <row r="66" spans="42:50" x14ac:dyDescent="0.25">
      <c r="AP66" s="290">
        <v>6.5</v>
      </c>
      <c r="AQ66" s="280">
        <f t="shared" si="1"/>
        <v>99.946187527923371</v>
      </c>
      <c r="AR66" s="280">
        <f t="shared" si="2"/>
        <v>118.8887273302288</v>
      </c>
      <c r="AS66" s="280">
        <f t="shared" si="3"/>
        <v>0.51513343749999052</v>
      </c>
      <c r="AT66" s="1">
        <f t="shared" si="4"/>
        <v>0.23163205864578337</v>
      </c>
      <c r="AU66" s="290"/>
      <c r="AV66" s="290">
        <v>6.5</v>
      </c>
      <c r="AW66" s="280">
        <f t="shared" si="5"/>
        <v>99.946187527923371</v>
      </c>
      <c r="AX66" s="280">
        <f t="shared" si="6"/>
        <v>101.47574119360262</v>
      </c>
    </row>
    <row r="67" spans="42:50" x14ac:dyDescent="0.25">
      <c r="AP67" s="290"/>
      <c r="AQ67" s="290"/>
      <c r="AR67" s="290"/>
      <c r="AS67" s="290"/>
      <c r="AT67" s="290"/>
      <c r="AU67" s="290"/>
      <c r="AV67" s="290"/>
      <c r="AW67" s="290"/>
      <c r="AX67" s="290"/>
    </row>
    <row r="68" spans="42:50" x14ac:dyDescent="0.25">
      <c r="AP68" s="290"/>
      <c r="AQ68" s="290"/>
      <c r="AR68" s="290"/>
      <c r="AS68" s="290"/>
      <c r="AT68" s="290"/>
      <c r="AU68" s="290"/>
      <c r="AV68" s="290"/>
      <c r="AW68" s="290"/>
      <c r="AX68" s="290"/>
    </row>
    <row r="69" spans="42:50" x14ac:dyDescent="0.25">
      <c r="AP69" s="290"/>
      <c r="AQ69" s="290"/>
      <c r="AR69" s="290"/>
      <c r="AS69" s="290" t="s">
        <v>1247</v>
      </c>
      <c r="AT69" s="290">
        <v>5778</v>
      </c>
      <c r="AU69" s="290" t="s">
        <v>27</v>
      </c>
      <c r="AV69" s="290"/>
      <c r="AW69" s="290"/>
      <c r="AX69" s="290"/>
    </row>
    <row r="70" spans="42:50" x14ac:dyDescent="0.25">
      <c r="AP70" s="290"/>
      <c r="AQ70" s="290"/>
      <c r="AR70" s="290"/>
      <c r="AS70" s="290" t="s">
        <v>35</v>
      </c>
      <c r="AT70" s="290">
        <v>149597870700</v>
      </c>
      <c r="AU70" s="290" t="s">
        <v>32</v>
      </c>
      <c r="AV70" s="290"/>
      <c r="AW70" s="290"/>
      <c r="AX70" s="290"/>
    </row>
    <row r="71" spans="42:50" x14ac:dyDescent="0.25">
      <c r="AP71" s="290"/>
      <c r="AQ71" s="290"/>
      <c r="AR71" s="290"/>
      <c r="AS71" s="290" t="s">
        <v>1248</v>
      </c>
      <c r="AT71" s="290">
        <v>695500000</v>
      </c>
      <c r="AU71" s="290" t="s">
        <v>32</v>
      </c>
      <c r="AV71" s="290"/>
      <c r="AW71" s="290"/>
      <c r="AX71" s="290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66"/>
  <sheetViews>
    <sheetView workbookViewId="0"/>
  </sheetViews>
  <sheetFormatPr defaultRowHeight="15" x14ac:dyDescent="0.25"/>
  <cols>
    <col min="1" max="1" width="7.85546875" style="2" customWidth="1"/>
    <col min="2" max="2" width="11.42578125" style="2" customWidth="1"/>
    <col min="3" max="3" width="10.7109375" style="2" customWidth="1"/>
    <col min="4" max="5" width="12.5703125" style="2" customWidth="1"/>
    <col min="6" max="6" width="12.5703125" style="83" customWidth="1"/>
    <col min="7" max="7" width="9.85546875" style="2" customWidth="1"/>
    <col min="8" max="8" width="10.7109375" style="2" customWidth="1"/>
    <col min="9" max="9" width="11.140625" style="2" customWidth="1"/>
    <col min="10" max="10" width="12.5703125" style="2" customWidth="1"/>
    <col min="11" max="11" width="9" style="2" customWidth="1"/>
    <col min="12" max="12" width="8.7109375" style="2" customWidth="1"/>
    <col min="13" max="13" width="10" style="2" customWidth="1"/>
    <col min="14" max="14" width="9.5703125" style="2" customWidth="1"/>
    <col min="15" max="15" width="12.5703125" style="2" customWidth="1"/>
    <col min="16" max="16" width="17.85546875" style="84" customWidth="1"/>
    <col min="17" max="18" width="9.42578125" style="3" customWidth="1"/>
    <col min="19" max="19" width="13.7109375" customWidth="1"/>
    <col min="20" max="20" width="1.7109375" style="97" customWidth="1"/>
    <col min="21" max="21" width="1.28515625" customWidth="1"/>
    <col min="261" max="274" width="15" customWidth="1"/>
    <col min="517" max="530" width="15" customWidth="1"/>
    <col min="773" max="786" width="15" customWidth="1"/>
    <col min="1029" max="1042" width="15" customWidth="1"/>
    <col min="1285" max="1298" width="15" customWidth="1"/>
    <col min="1541" max="1554" width="15" customWidth="1"/>
    <col min="1797" max="1810" width="15" customWidth="1"/>
    <col min="2053" max="2066" width="15" customWidth="1"/>
    <col min="2309" max="2322" width="15" customWidth="1"/>
    <col min="2565" max="2578" width="15" customWidth="1"/>
    <col min="2821" max="2834" width="15" customWidth="1"/>
    <col min="3077" max="3090" width="15" customWidth="1"/>
    <col min="3333" max="3346" width="15" customWidth="1"/>
    <col min="3589" max="3602" width="15" customWidth="1"/>
    <col min="3845" max="3858" width="15" customWidth="1"/>
    <col min="4101" max="4114" width="15" customWidth="1"/>
    <col min="4357" max="4370" width="15" customWidth="1"/>
    <col min="4613" max="4626" width="15" customWidth="1"/>
    <col min="4869" max="4882" width="15" customWidth="1"/>
    <col min="5125" max="5138" width="15" customWidth="1"/>
    <col min="5381" max="5394" width="15" customWidth="1"/>
    <col min="5637" max="5650" width="15" customWidth="1"/>
    <col min="5893" max="5906" width="15" customWidth="1"/>
    <col min="6149" max="6162" width="15" customWidth="1"/>
    <col min="6405" max="6418" width="15" customWidth="1"/>
    <col min="6661" max="6674" width="15" customWidth="1"/>
    <col min="6917" max="6930" width="15" customWidth="1"/>
    <col min="7173" max="7186" width="15" customWidth="1"/>
    <col min="7429" max="7442" width="15" customWidth="1"/>
    <col min="7685" max="7698" width="15" customWidth="1"/>
    <col min="7941" max="7954" width="15" customWidth="1"/>
    <col min="8197" max="8210" width="15" customWidth="1"/>
    <col min="8453" max="8466" width="15" customWidth="1"/>
    <col min="8709" max="8722" width="15" customWidth="1"/>
    <col min="8965" max="8978" width="15" customWidth="1"/>
    <col min="9221" max="9234" width="15" customWidth="1"/>
    <col min="9477" max="9490" width="15" customWidth="1"/>
    <col min="9733" max="9746" width="15" customWidth="1"/>
    <col min="9989" max="10002" width="15" customWidth="1"/>
    <col min="10245" max="10258" width="15" customWidth="1"/>
    <col min="10501" max="10514" width="15" customWidth="1"/>
    <col min="10757" max="10770" width="15" customWidth="1"/>
    <col min="11013" max="11026" width="15" customWidth="1"/>
    <col min="11269" max="11282" width="15" customWidth="1"/>
    <col min="11525" max="11538" width="15" customWidth="1"/>
    <col min="11781" max="11794" width="15" customWidth="1"/>
    <col min="12037" max="12050" width="15" customWidth="1"/>
    <col min="12293" max="12306" width="15" customWidth="1"/>
    <col min="12549" max="12562" width="15" customWidth="1"/>
    <col min="12805" max="12818" width="15" customWidth="1"/>
    <col min="13061" max="13074" width="15" customWidth="1"/>
    <col min="13317" max="13330" width="15" customWidth="1"/>
    <col min="13573" max="13586" width="15" customWidth="1"/>
    <col min="13829" max="13842" width="15" customWidth="1"/>
    <col min="14085" max="14098" width="15" customWidth="1"/>
    <col min="14341" max="14354" width="15" customWidth="1"/>
    <col min="14597" max="14610" width="15" customWidth="1"/>
    <col min="14853" max="14866" width="15" customWidth="1"/>
    <col min="15109" max="15122" width="15" customWidth="1"/>
    <col min="15365" max="15378" width="15" customWidth="1"/>
    <col min="15621" max="15634" width="15" customWidth="1"/>
    <col min="15877" max="15890" width="15" customWidth="1"/>
    <col min="16133" max="16146" width="15" customWidth="1"/>
  </cols>
  <sheetData>
    <row r="1" spans="1:23" s="221" customFormat="1" ht="21" customHeight="1" x14ac:dyDescent="0.35">
      <c r="A1" s="221" t="s">
        <v>827</v>
      </c>
      <c r="Q1" s="521"/>
      <c r="R1" s="521"/>
    </row>
    <row r="2" spans="1:23" s="16" customFormat="1" ht="15.75" x14ac:dyDescent="0.25">
      <c r="A2" s="498" t="s">
        <v>212</v>
      </c>
      <c r="B2" s="499" t="s">
        <v>213</v>
      </c>
      <c r="C2" s="499" t="s">
        <v>214</v>
      </c>
      <c r="D2" s="499" t="s">
        <v>215</v>
      </c>
      <c r="E2" s="499" t="s">
        <v>216</v>
      </c>
      <c r="F2" s="500" t="s">
        <v>217</v>
      </c>
      <c r="G2" s="499" t="s">
        <v>218</v>
      </c>
      <c r="H2" s="499" t="s">
        <v>219</v>
      </c>
      <c r="I2" s="499" t="s">
        <v>220</v>
      </c>
      <c r="J2" s="499" t="s">
        <v>221</v>
      </c>
      <c r="K2" s="499" t="s">
        <v>222</v>
      </c>
      <c r="L2" s="499" t="s">
        <v>223</v>
      </c>
      <c r="M2" s="499" t="s">
        <v>224</v>
      </c>
      <c r="N2" s="499" t="s">
        <v>225</v>
      </c>
      <c r="O2" s="499" t="s">
        <v>226</v>
      </c>
      <c r="P2" s="501" t="s">
        <v>227</v>
      </c>
      <c r="Q2" s="502" t="s">
        <v>810</v>
      </c>
      <c r="R2" s="502" t="s">
        <v>1186</v>
      </c>
      <c r="S2" s="213" t="s">
        <v>1040</v>
      </c>
      <c r="T2" s="97"/>
      <c r="U2"/>
    </row>
    <row r="3" spans="1:23" x14ac:dyDescent="0.25">
      <c r="A3" s="497">
        <v>1</v>
      </c>
      <c r="B3" s="100">
        <v>11.98</v>
      </c>
      <c r="C3" s="214">
        <v>15.3139</v>
      </c>
      <c r="D3" s="215">
        <v>130.24680000000001</v>
      </c>
      <c r="E3" s="215">
        <v>-23.456499999999998</v>
      </c>
      <c r="F3" s="216" t="s">
        <v>228</v>
      </c>
      <c r="G3" s="215">
        <v>2</v>
      </c>
      <c r="H3" s="215">
        <v>12.945</v>
      </c>
      <c r="I3" s="100">
        <v>0.4</v>
      </c>
      <c r="J3" s="100">
        <v>10000</v>
      </c>
      <c r="K3" s="100">
        <v>30</v>
      </c>
      <c r="L3" s="100">
        <v>0.81</v>
      </c>
      <c r="M3" s="217">
        <v>1.9590000000000001</v>
      </c>
      <c r="N3" s="217">
        <v>3.5457999999999998</v>
      </c>
      <c r="O3" s="100" t="s">
        <v>229</v>
      </c>
      <c r="P3" s="218">
        <f>(K3*AU)/(C3*pc)/Photometry!$AB$19</f>
        <v>39.839163675973268</v>
      </c>
      <c r="Q3" s="522" t="s">
        <v>90</v>
      </c>
      <c r="R3" s="100">
        <v>999</v>
      </c>
      <c r="S3" s="103"/>
      <c r="U3" s="16"/>
    </row>
    <row r="4" spans="1:23" x14ac:dyDescent="0.25">
      <c r="A4" s="497">
        <v>2</v>
      </c>
      <c r="B4" s="100">
        <v>3.73</v>
      </c>
      <c r="C4" s="214">
        <v>3.2161</v>
      </c>
      <c r="D4" s="215">
        <v>53.232700000000001</v>
      </c>
      <c r="E4" s="215">
        <v>-9.4582999999999995</v>
      </c>
      <c r="F4" s="216" t="s">
        <v>230</v>
      </c>
      <c r="G4" s="215">
        <v>1.55</v>
      </c>
      <c r="H4" s="215">
        <v>12.913</v>
      </c>
      <c r="I4" s="100">
        <v>0.4</v>
      </c>
      <c r="J4" s="100">
        <v>2502</v>
      </c>
      <c r="K4" s="100">
        <v>3.39</v>
      </c>
      <c r="L4" s="100">
        <v>0.7</v>
      </c>
      <c r="M4" s="217">
        <v>1.0541</v>
      </c>
      <c r="N4" s="217">
        <v>1.7919</v>
      </c>
      <c r="O4" s="100" t="s">
        <v>231</v>
      </c>
      <c r="P4" s="218">
        <f>(K4*AU)/(C4*pc)/Photometry!$AB$19</f>
        <v>21.436057788556329</v>
      </c>
      <c r="Q4" s="522" t="s">
        <v>87</v>
      </c>
      <c r="R4" s="100">
        <v>6</v>
      </c>
      <c r="S4" s="103" t="s">
        <v>1071</v>
      </c>
    </row>
    <row r="5" spans="1:23" x14ac:dyDescent="0.25">
      <c r="A5" s="497">
        <v>3</v>
      </c>
      <c r="B5" s="100">
        <v>5.04</v>
      </c>
      <c r="C5" s="214">
        <v>14.0627</v>
      </c>
      <c r="D5" s="215">
        <v>164.86660000000001</v>
      </c>
      <c r="E5" s="215">
        <v>40.430300000000003</v>
      </c>
      <c r="F5" s="216" t="s">
        <v>232</v>
      </c>
      <c r="G5" s="215">
        <v>1.64</v>
      </c>
      <c r="H5" s="215">
        <v>12.919</v>
      </c>
      <c r="I5" s="100">
        <v>0.4</v>
      </c>
      <c r="J5" s="100">
        <v>14002</v>
      </c>
      <c r="K5" s="100">
        <v>11.6</v>
      </c>
      <c r="L5" s="100">
        <v>0.16</v>
      </c>
      <c r="M5" s="217">
        <v>0.82487999999999995</v>
      </c>
      <c r="N5" s="217">
        <v>0.95686000000000004</v>
      </c>
      <c r="O5" s="100" t="s">
        <v>233</v>
      </c>
      <c r="P5" s="218">
        <f>(K5*AU)/(C5*pc)/Photometry!$AB$19</f>
        <v>16.775058454784283</v>
      </c>
      <c r="Q5" s="522" t="s">
        <v>85</v>
      </c>
      <c r="R5" s="100">
        <v>999</v>
      </c>
      <c r="S5" s="103"/>
    </row>
    <row r="6" spans="1:23" x14ac:dyDescent="0.25">
      <c r="A6" s="497">
        <v>4</v>
      </c>
      <c r="B6" s="100">
        <v>8.6720000000000006</v>
      </c>
      <c r="C6" s="214">
        <v>4.9537000000000004</v>
      </c>
      <c r="D6" s="215">
        <v>323.39159999999998</v>
      </c>
      <c r="E6" s="215">
        <v>-49.009</v>
      </c>
      <c r="F6" s="216" t="s">
        <v>234</v>
      </c>
      <c r="G6" s="215">
        <v>0.64</v>
      </c>
      <c r="H6" s="215">
        <v>12.766999999999999</v>
      </c>
      <c r="I6" s="100">
        <v>0.4</v>
      </c>
      <c r="J6" s="100">
        <v>3416</v>
      </c>
      <c r="K6" s="100">
        <v>3.4</v>
      </c>
      <c r="L6" s="100">
        <v>0.12</v>
      </c>
      <c r="M6" s="217">
        <v>0.68635999999999997</v>
      </c>
      <c r="N6" s="217">
        <v>0.76871999999999996</v>
      </c>
      <c r="O6" s="100" t="s">
        <v>235</v>
      </c>
      <c r="P6" s="218">
        <f>(K6*AU)/(C6*pc)/Photometry!$AB$19</f>
        <v>13.95802526932364</v>
      </c>
      <c r="Q6" s="522" t="s">
        <v>89</v>
      </c>
      <c r="R6" s="100">
        <v>29</v>
      </c>
      <c r="S6" s="103" t="s">
        <v>1061</v>
      </c>
    </row>
    <row r="7" spans="1:23" x14ac:dyDescent="0.25">
      <c r="A7" s="497">
        <v>5</v>
      </c>
      <c r="B7" s="100">
        <v>5.95</v>
      </c>
      <c r="C7" s="214">
        <v>12.341100000000001</v>
      </c>
      <c r="D7" s="215">
        <v>133.14920000000001</v>
      </c>
      <c r="E7" s="215">
        <v>28.3308</v>
      </c>
      <c r="F7" s="216" t="s">
        <v>236</v>
      </c>
      <c r="G7" s="215">
        <v>3.835</v>
      </c>
      <c r="H7" s="215">
        <v>13.129</v>
      </c>
      <c r="I7" s="100">
        <v>0.4</v>
      </c>
      <c r="J7" s="100">
        <v>5218</v>
      </c>
      <c r="K7" s="100">
        <v>5.76</v>
      </c>
      <c r="L7" s="100">
        <v>0.03</v>
      </c>
      <c r="M7" s="217">
        <v>0.46672999999999998</v>
      </c>
      <c r="N7" s="217">
        <v>0.48072999999999999</v>
      </c>
      <c r="O7" s="100" t="s">
        <v>237</v>
      </c>
      <c r="P7" s="218">
        <f>(K7*AU)/(C7*pc)/Photometry!$AB$19</f>
        <v>9.4916863143931653</v>
      </c>
      <c r="Q7" s="522" t="s">
        <v>86</v>
      </c>
      <c r="R7" s="100">
        <v>17</v>
      </c>
      <c r="S7" s="103" t="s">
        <v>1049</v>
      </c>
      <c r="W7" s="280"/>
    </row>
    <row r="8" spans="1:23" x14ac:dyDescent="0.25">
      <c r="A8" s="497">
        <v>6</v>
      </c>
      <c r="B8" s="100">
        <v>10.375999999999999</v>
      </c>
      <c r="C8" s="214">
        <v>23.573799999999999</v>
      </c>
      <c r="D8" s="215">
        <v>217.32730000000001</v>
      </c>
      <c r="E8" s="215">
        <v>-46.463799999999999</v>
      </c>
      <c r="F8" s="216" t="s">
        <v>238</v>
      </c>
      <c r="G8" s="215">
        <v>9</v>
      </c>
      <c r="H8" s="215">
        <v>12.851000000000001</v>
      </c>
      <c r="I8" s="100">
        <v>0.4</v>
      </c>
      <c r="J8" s="100">
        <v>10000</v>
      </c>
      <c r="K8" s="100">
        <v>10</v>
      </c>
      <c r="L8" s="100">
        <v>0.6</v>
      </c>
      <c r="M8" s="217">
        <v>0.42420000000000002</v>
      </c>
      <c r="N8" s="217">
        <v>0.67871999999999999</v>
      </c>
      <c r="O8" s="100" t="s">
        <v>239</v>
      </c>
      <c r="P8" s="218">
        <f>(K8*AU)/(C8*pc)/Photometry!$AB$19</f>
        <v>8.6267094347324438</v>
      </c>
      <c r="Q8" s="522" t="s">
        <v>88</v>
      </c>
      <c r="R8" s="100">
        <v>999</v>
      </c>
      <c r="S8" s="103"/>
      <c r="W8" s="280"/>
    </row>
    <row r="9" spans="1:23" x14ac:dyDescent="0.25">
      <c r="A9" s="497">
        <v>7</v>
      </c>
      <c r="B9" s="100">
        <v>9.8130000000000006</v>
      </c>
      <c r="C9" s="214">
        <v>8.8826000000000001</v>
      </c>
      <c r="D9" s="215">
        <v>173.8623</v>
      </c>
      <c r="E9" s="215">
        <v>-32.54</v>
      </c>
      <c r="F9" s="216" t="s">
        <v>240</v>
      </c>
      <c r="G9" s="215">
        <v>0.14000000000000001</v>
      </c>
      <c r="H9" s="215">
        <v>11.249000000000001</v>
      </c>
      <c r="I9" s="100">
        <v>0.4</v>
      </c>
      <c r="J9" s="100">
        <v>3693</v>
      </c>
      <c r="K9" s="100">
        <v>3.6</v>
      </c>
      <c r="L9" s="100">
        <v>0.17</v>
      </c>
      <c r="M9" s="217">
        <v>0.40528999999999998</v>
      </c>
      <c r="N9" s="217">
        <v>0.47419</v>
      </c>
      <c r="O9" s="100" t="s">
        <v>235</v>
      </c>
      <c r="P9" s="218">
        <f>(K9*AU)/(C9*pc)/Photometry!$AB$19</f>
        <v>8.2420863524304178</v>
      </c>
      <c r="Q9" s="522" t="s">
        <v>89</v>
      </c>
      <c r="R9" s="100">
        <v>999</v>
      </c>
      <c r="S9" s="103"/>
      <c r="W9" s="280"/>
    </row>
    <row r="10" spans="1:23" x14ac:dyDescent="0.25">
      <c r="A10" s="497">
        <v>8</v>
      </c>
      <c r="B10" s="100">
        <v>4.0999999999999996</v>
      </c>
      <c r="C10" s="214">
        <v>13.4916</v>
      </c>
      <c r="D10" s="215">
        <v>24.199300000000001</v>
      </c>
      <c r="E10" s="215">
        <v>41.405500000000004</v>
      </c>
      <c r="F10" s="216" t="s">
        <v>241</v>
      </c>
      <c r="G10" s="215">
        <v>1.0589999999999999</v>
      </c>
      <c r="H10" s="215">
        <v>12.85</v>
      </c>
      <c r="I10" s="100">
        <v>0.4</v>
      </c>
      <c r="J10" s="100">
        <v>3848.9</v>
      </c>
      <c r="K10" s="100">
        <v>5.25</v>
      </c>
      <c r="L10" s="100">
        <v>0.01</v>
      </c>
      <c r="M10" s="217">
        <v>0.38912999999999998</v>
      </c>
      <c r="N10" s="217">
        <v>0.39301999999999998</v>
      </c>
      <c r="O10" s="100" t="s">
        <v>242</v>
      </c>
      <c r="P10" s="218">
        <f>(K10*AU)/(C10*pc)/Photometry!$AB$19</f>
        <v>7.9135365344407056</v>
      </c>
      <c r="Q10" s="522" t="s">
        <v>84</v>
      </c>
      <c r="R10" s="100">
        <v>999</v>
      </c>
      <c r="S10" s="103"/>
      <c r="W10" s="280"/>
    </row>
    <row r="11" spans="1:23" x14ac:dyDescent="0.25">
      <c r="A11" s="497">
        <v>9</v>
      </c>
      <c r="B11" s="100">
        <v>5.15</v>
      </c>
      <c r="C11" s="214">
        <v>15.511100000000001</v>
      </c>
      <c r="D11" s="215">
        <v>266.03629999999998</v>
      </c>
      <c r="E11" s="215">
        <v>-51.834099999999999</v>
      </c>
      <c r="F11" s="216" t="s">
        <v>243</v>
      </c>
      <c r="G11" s="215">
        <v>1.8140000000000001</v>
      </c>
      <c r="H11" s="215">
        <v>12.932</v>
      </c>
      <c r="I11" s="100">
        <v>0.4</v>
      </c>
      <c r="J11" s="100">
        <v>4205.8</v>
      </c>
      <c r="K11" s="100">
        <v>5.24</v>
      </c>
      <c r="L11" s="100">
        <v>0.1</v>
      </c>
      <c r="M11" s="217">
        <v>0.33782000000000001</v>
      </c>
      <c r="N11" s="217">
        <v>0.37161</v>
      </c>
      <c r="O11" s="100" t="s">
        <v>244</v>
      </c>
      <c r="P11" s="218">
        <f>(K11*AU)/(C11*pc)/Photometry!$AB$19</f>
        <v>6.8701062584334904</v>
      </c>
      <c r="Q11" s="522" t="s">
        <v>86</v>
      </c>
      <c r="R11" s="100">
        <v>14</v>
      </c>
      <c r="S11" s="103" t="s">
        <v>1047</v>
      </c>
      <c r="W11" s="280"/>
    </row>
    <row r="12" spans="1:23" x14ac:dyDescent="0.25">
      <c r="A12" s="497">
        <v>10</v>
      </c>
      <c r="B12" s="100">
        <v>7.53</v>
      </c>
      <c r="C12" s="214">
        <v>17.956499999999998</v>
      </c>
      <c r="D12" s="215">
        <v>171.69280000000001</v>
      </c>
      <c r="E12" s="215">
        <v>3.0063</v>
      </c>
      <c r="F12" s="216" t="s">
        <v>245</v>
      </c>
      <c r="G12" s="215">
        <v>0.36</v>
      </c>
      <c r="H12" s="215">
        <v>12.382999999999999</v>
      </c>
      <c r="I12" s="100">
        <v>0.4</v>
      </c>
      <c r="J12" s="100">
        <v>4970</v>
      </c>
      <c r="K12" s="100">
        <v>5.4</v>
      </c>
      <c r="L12" s="100">
        <v>0.11</v>
      </c>
      <c r="M12" s="217">
        <v>0.30073</v>
      </c>
      <c r="N12" s="217">
        <v>0.33381</v>
      </c>
      <c r="O12" s="100" t="s">
        <v>246</v>
      </c>
      <c r="P12" s="218">
        <f>(K12*AU)/(C12*pc)/Photometry!$AB$19</f>
        <v>6.1157093170243453</v>
      </c>
      <c r="Q12" s="522" t="s">
        <v>87</v>
      </c>
      <c r="R12" s="100">
        <v>999</v>
      </c>
      <c r="S12" s="103"/>
    </row>
    <row r="13" spans="1:23" x14ac:dyDescent="0.25">
      <c r="A13" s="497">
        <v>11</v>
      </c>
      <c r="B13" s="100">
        <v>6.18</v>
      </c>
      <c r="C13" s="214">
        <v>19.856999999999999</v>
      </c>
      <c r="D13" s="215">
        <v>344.56479999999999</v>
      </c>
      <c r="E13" s="215">
        <v>-2.3954</v>
      </c>
      <c r="F13" s="216" t="s">
        <v>247</v>
      </c>
      <c r="G13" s="215">
        <v>2.4900000000000002</v>
      </c>
      <c r="H13" s="215">
        <v>12.984999999999999</v>
      </c>
      <c r="I13" s="100">
        <v>0.4</v>
      </c>
      <c r="J13" s="100">
        <v>4210</v>
      </c>
      <c r="K13" s="100">
        <v>5.27</v>
      </c>
      <c r="L13" s="100">
        <v>0.52</v>
      </c>
      <c r="M13" s="217">
        <v>0.26540000000000002</v>
      </c>
      <c r="N13" s="217">
        <v>0.40339999999999998</v>
      </c>
      <c r="O13" s="100" t="s">
        <v>248</v>
      </c>
      <c r="P13" s="218">
        <f>(K13*AU)/(C13*pc)/Photometry!$AB$19</f>
        <v>5.3972401749410883</v>
      </c>
      <c r="Q13" s="522" t="s">
        <v>86</v>
      </c>
      <c r="R13" s="100">
        <v>19</v>
      </c>
      <c r="S13" s="103" t="s">
        <v>1051</v>
      </c>
    </row>
    <row r="14" spans="1:23" x14ac:dyDescent="0.25">
      <c r="A14" s="497">
        <v>12</v>
      </c>
      <c r="B14" s="100">
        <v>5.7</v>
      </c>
      <c r="C14" s="214">
        <v>25.7136</v>
      </c>
      <c r="D14" s="215">
        <v>1.5799000000000001</v>
      </c>
      <c r="E14" s="215">
        <v>-49.075200000000002</v>
      </c>
      <c r="F14" s="216" t="s">
        <v>249</v>
      </c>
      <c r="G14" s="215">
        <v>5.3</v>
      </c>
      <c r="H14" s="215">
        <v>13.09</v>
      </c>
      <c r="I14" s="100">
        <v>0.4</v>
      </c>
      <c r="J14" s="100">
        <v>6005</v>
      </c>
      <c r="K14" s="100">
        <v>6.8</v>
      </c>
      <c r="L14" s="100">
        <v>0.21</v>
      </c>
      <c r="M14" s="217">
        <v>0.26445000000000002</v>
      </c>
      <c r="N14" s="217">
        <v>0.31999</v>
      </c>
      <c r="O14" s="100" t="s">
        <v>250</v>
      </c>
      <c r="P14" s="218">
        <f>(K14*AU)/(C14*pc)/Photometry!$AB$19</f>
        <v>5.3779999515158146</v>
      </c>
      <c r="Q14" s="522" t="s">
        <v>84</v>
      </c>
      <c r="R14" s="100">
        <v>31</v>
      </c>
      <c r="S14" s="103" t="s">
        <v>1063</v>
      </c>
    </row>
    <row r="15" spans="1:23" x14ac:dyDescent="0.25">
      <c r="A15" s="497">
        <v>13</v>
      </c>
      <c r="B15" s="100">
        <v>10.366</v>
      </c>
      <c r="C15" s="214">
        <v>9.0959000000000003</v>
      </c>
      <c r="D15" s="215">
        <v>332.41809999999998</v>
      </c>
      <c r="E15" s="215">
        <v>-4.6406999999999998</v>
      </c>
      <c r="F15" s="216" t="s">
        <v>251</v>
      </c>
      <c r="G15" s="215">
        <v>0.99</v>
      </c>
      <c r="H15" s="215">
        <v>12.839</v>
      </c>
      <c r="I15" s="100">
        <v>0.4</v>
      </c>
      <c r="J15" s="100">
        <v>1852</v>
      </c>
      <c r="K15" s="100">
        <v>2.35</v>
      </c>
      <c r="L15" s="100">
        <v>0.04</v>
      </c>
      <c r="M15" s="217">
        <v>0.25835999999999998</v>
      </c>
      <c r="N15" s="217">
        <v>0.26868999999999998</v>
      </c>
      <c r="O15" s="100" t="s">
        <v>252</v>
      </c>
      <c r="P15" s="218">
        <f>(K15*AU)/(C15*pc)/Photometry!$AB$19</f>
        <v>5.2540832545472655</v>
      </c>
      <c r="Q15" s="522" t="s">
        <v>90</v>
      </c>
      <c r="R15" s="100">
        <v>999</v>
      </c>
      <c r="S15" s="103"/>
    </row>
    <row r="16" spans="1:23" x14ac:dyDescent="0.25">
      <c r="A16" s="497">
        <v>14</v>
      </c>
      <c r="B16" s="100">
        <v>5.04</v>
      </c>
      <c r="C16" s="214">
        <v>14.0627</v>
      </c>
      <c r="D16" s="215">
        <v>164.86660000000001</v>
      </c>
      <c r="E16" s="215">
        <v>40.430300000000003</v>
      </c>
      <c r="F16" s="216" t="s">
        <v>232</v>
      </c>
      <c r="G16" s="215">
        <v>0.54</v>
      </c>
      <c r="H16" s="215">
        <v>12.659000000000001</v>
      </c>
      <c r="I16" s="100">
        <v>0.4</v>
      </c>
      <c r="J16" s="100">
        <v>2391</v>
      </c>
      <c r="K16" s="100">
        <v>3.6</v>
      </c>
      <c r="L16" s="100">
        <v>0.1</v>
      </c>
      <c r="M16" s="217">
        <v>0.25600000000000001</v>
      </c>
      <c r="N16" s="217">
        <v>0.28160000000000002</v>
      </c>
      <c r="O16" s="100" t="s">
        <v>233</v>
      </c>
      <c r="P16" s="218">
        <f>(K16*AU)/(C16*pc)/Photometry!$AB$19</f>
        <v>5.2060526238985716</v>
      </c>
      <c r="Q16" s="522" t="s">
        <v>85</v>
      </c>
      <c r="R16" s="100">
        <v>9</v>
      </c>
      <c r="S16" s="103" t="s">
        <v>1069</v>
      </c>
    </row>
    <row r="17" spans="1:19" x14ac:dyDescent="0.25">
      <c r="A17" s="497">
        <v>15</v>
      </c>
      <c r="B17" s="100">
        <v>5.71</v>
      </c>
      <c r="C17" s="214">
        <v>15.857900000000001</v>
      </c>
      <c r="D17" s="215">
        <v>300.90589999999997</v>
      </c>
      <c r="E17" s="215">
        <v>29.896799999999999</v>
      </c>
      <c r="F17" s="216" t="s">
        <v>253</v>
      </c>
      <c r="G17" s="215">
        <v>1.502</v>
      </c>
      <c r="H17" s="215">
        <v>12.909000000000001</v>
      </c>
      <c r="I17" s="100">
        <v>0.4</v>
      </c>
      <c r="J17" s="100">
        <v>2891</v>
      </c>
      <c r="K17" s="100">
        <v>3.92</v>
      </c>
      <c r="L17" s="100">
        <v>0.36</v>
      </c>
      <c r="M17" s="217">
        <v>0.2472</v>
      </c>
      <c r="N17" s="217">
        <v>0.33618999999999999</v>
      </c>
      <c r="O17" s="100" t="s">
        <v>254</v>
      </c>
      <c r="P17" s="218">
        <f>(K17*AU)/(C17*pc)/Photometry!$AB$19</f>
        <v>5.0270725988950797</v>
      </c>
      <c r="Q17" s="522" t="s">
        <v>86</v>
      </c>
      <c r="R17" s="100">
        <v>13</v>
      </c>
      <c r="S17" s="103" t="s">
        <v>1046</v>
      </c>
    </row>
    <row r="18" spans="1:19" x14ac:dyDescent="0.25">
      <c r="A18" s="497">
        <v>16</v>
      </c>
      <c r="B18" s="100">
        <v>7.0289999999999999</v>
      </c>
      <c r="C18" s="214">
        <v>28.224699999999999</v>
      </c>
      <c r="D18" s="215">
        <v>247.82329999999999</v>
      </c>
      <c r="E18" s="215">
        <v>79.7898</v>
      </c>
      <c r="F18" s="216" t="s">
        <v>255</v>
      </c>
      <c r="G18" s="215">
        <v>2.71</v>
      </c>
      <c r="H18" s="215">
        <v>13.009</v>
      </c>
      <c r="I18" s="100">
        <v>0.4</v>
      </c>
      <c r="J18" s="100">
        <v>5894</v>
      </c>
      <c r="K18" s="100">
        <v>6.7</v>
      </c>
      <c r="L18" s="100">
        <v>0.38</v>
      </c>
      <c r="M18" s="217">
        <v>0.23738000000000001</v>
      </c>
      <c r="N18" s="217">
        <v>0.32758999999999999</v>
      </c>
      <c r="O18" s="100" t="s">
        <v>256</v>
      </c>
      <c r="P18" s="218">
        <f>(K18*AU)/(C18*pc)/Photometry!$AB$19</f>
        <v>4.8274772211776247</v>
      </c>
      <c r="Q18" s="522" t="s">
        <v>86</v>
      </c>
      <c r="R18" s="100">
        <v>999</v>
      </c>
      <c r="S18" s="103"/>
    </row>
    <row r="19" spans="1:19" x14ac:dyDescent="0.25">
      <c r="A19" s="497">
        <v>17</v>
      </c>
      <c r="B19" s="100">
        <v>6.74</v>
      </c>
      <c r="C19" s="214">
        <v>18.587399999999999</v>
      </c>
      <c r="D19" s="215">
        <v>255.65170000000001</v>
      </c>
      <c r="E19" s="215">
        <v>47.081899999999997</v>
      </c>
      <c r="F19" s="216" t="s">
        <v>257</v>
      </c>
      <c r="G19" s="215">
        <v>1</v>
      </c>
      <c r="H19" s="215">
        <v>12.840999999999999</v>
      </c>
      <c r="I19" s="100">
        <v>0.4</v>
      </c>
      <c r="J19" s="100">
        <v>3538</v>
      </c>
      <c r="K19" s="100">
        <v>4.3</v>
      </c>
      <c r="L19" s="100">
        <v>0.26</v>
      </c>
      <c r="M19" s="217">
        <v>0.23133999999999999</v>
      </c>
      <c r="N19" s="217">
        <v>0.29149000000000003</v>
      </c>
      <c r="O19" s="100" t="s">
        <v>237</v>
      </c>
      <c r="P19" s="218">
        <f>(K19*AU)/(C19*pc)/Photometry!$AB$19</f>
        <v>4.7046202715373386</v>
      </c>
      <c r="Q19" s="522" t="s">
        <v>86</v>
      </c>
      <c r="R19" s="100">
        <v>20</v>
      </c>
      <c r="S19" s="103" t="s">
        <v>1052</v>
      </c>
    </row>
    <row r="20" spans="1:19" x14ac:dyDescent="0.25">
      <c r="A20" s="497">
        <v>18</v>
      </c>
      <c r="B20" s="100">
        <v>6.46</v>
      </c>
      <c r="C20" s="214">
        <v>26.205500000000001</v>
      </c>
      <c r="D20" s="215">
        <v>228.36940000000001</v>
      </c>
      <c r="E20" s="215">
        <v>-25.3093</v>
      </c>
      <c r="F20" s="216" t="s">
        <v>258</v>
      </c>
      <c r="G20" s="215">
        <v>0.82</v>
      </c>
      <c r="H20" s="215">
        <v>12.808999999999999</v>
      </c>
      <c r="I20" s="100">
        <v>0.4</v>
      </c>
      <c r="J20" s="100">
        <v>5000</v>
      </c>
      <c r="K20" s="100">
        <v>5.8</v>
      </c>
      <c r="L20" s="100">
        <v>0.12</v>
      </c>
      <c r="M20" s="217">
        <v>0.22133</v>
      </c>
      <c r="N20" s="217">
        <v>0.24789</v>
      </c>
      <c r="O20" s="100" t="s">
        <v>259</v>
      </c>
      <c r="P20" s="218">
        <f>(K20*AU)/(C20*pc)/Photometry!$AB$19</f>
        <v>4.5010134233671355</v>
      </c>
      <c r="Q20" s="522" t="s">
        <v>86</v>
      </c>
      <c r="R20" s="100">
        <v>22</v>
      </c>
      <c r="S20" s="103" t="s">
        <v>1054</v>
      </c>
    </row>
    <row r="21" spans="1:19" x14ac:dyDescent="0.25">
      <c r="A21" s="497">
        <v>19</v>
      </c>
      <c r="B21" s="100">
        <v>7.55</v>
      </c>
      <c r="C21" s="214">
        <v>18.204999999999998</v>
      </c>
      <c r="D21" s="215">
        <v>152.1797</v>
      </c>
      <c r="E21" s="215">
        <v>34.2423</v>
      </c>
      <c r="F21" s="216" t="s">
        <v>260</v>
      </c>
      <c r="G21" s="215">
        <v>12.1</v>
      </c>
      <c r="H21" s="215">
        <v>12.605</v>
      </c>
      <c r="I21" s="100">
        <v>0.4</v>
      </c>
      <c r="J21" s="100">
        <v>2754</v>
      </c>
      <c r="K21" s="100">
        <v>3.6</v>
      </c>
      <c r="L21" s="100">
        <v>0.53</v>
      </c>
      <c r="M21" s="217">
        <v>0.19775000000000001</v>
      </c>
      <c r="N21" s="217">
        <v>0.30254999999999999</v>
      </c>
      <c r="O21" s="100" t="s">
        <v>261</v>
      </c>
      <c r="P21" s="218">
        <f>(K21*AU)/(C21*pc)/Photometry!$AB$19</f>
        <v>4.0214861979729983</v>
      </c>
      <c r="Q21" s="522" t="s">
        <v>87</v>
      </c>
      <c r="R21" s="100">
        <v>23</v>
      </c>
      <c r="S21" s="103" t="s">
        <v>1055</v>
      </c>
    </row>
    <row r="22" spans="1:19" x14ac:dyDescent="0.25">
      <c r="A22" s="497">
        <v>20</v>
      </c>
      <c r="B22" s="100">
        <v>12.018000000000001</v>
      </c>
      <c r="C22" s="214">
        <v>12.288</v>
      </c>
      <c r="D22" s="215">
        <v>73.023499999999999</v>
      </c>
      <c r="E22" s="215">
        <v>6.4772999999999996</v>
      </c>
      <c r="F22" s="216" t="s">
        <v>262</v>
      </c>
      <c r="G22" s="215">
        <v>0.82</v>
      </c>
      <c r="H22" s="215">
        <v>12.808999999999999</v>
      </c>
      <c r="I22" s="100">
        <v>0.4</v>
      </c>
      <c r="J22" s="100">
        <v>2288</v>
      </c>
      <c r="K22" s="100">
        <v>2.41</v>
      </c>
      <c r="L22" s="100">
        <v>0.21</v>
      </c>
      <c r="M22" s="217">
        <v>0.19613</v>
      </c>
      <c r="N22" s="217">
        <v>0.23730999999999999</v>
      </c>
      <c r="O22" s="100" t="s">
        <v>229</v>
      </c>
      <c r="P22" s="218">
        <f>(K22*AU)/(C22*pc)/Photometry!$AB$19</f>
        <v>3.9885092620663616</v>
      </c>
      <c r="Q22" s="522" t="s">
        <v>90</v>
      </c>
      <c r="R22" s="100">
        <v>999</v>
      </c>
      <c r="S22" s="103"/>
    </row>
    <row r="23" spans="1:19" x14ac:dyDescent="0.25">
      <c r="A23" s="497">
        <v>21</v>
      </c>
      <c r="B23" s="100">
        <v>4.0999999999999996</v>
      </c>
      <c r="C23" s="214">
        <v>13.4916</v>
      </c>
      <c r="D23" s="215">
        <v>24.199300000000001</v>
      </c>
      <c r="E23" s="215">
        <v>41.405500000000004</v>
      </c>
      <c r="F23" s="216" t="s">
        <v>241</v>
      </c>
      <c r="G23" s="215">
        <v>10.19</v>
      </c>
      <c r="H23" s="215">
        <v>12.757</v>
      </c>
      <c r="I23" s="100">
        <v>0.4</v>
      </c>
      <c r="J23" s="100">
        <v>1302.5999999999999</v>
      </c>
      <c r="K23" s="100">
        <v>2.5499999999999998</v>
      </c>
      <c r="L23" s="100">
        <v>0.27</v>
      </c>
      <c r="M23" s="217">
        <v>0.18901000000000001</v>
      </c>
      <c r="N23" s="217">
        <v>0.24004</v>
      </c>
      <c r="O23" s="100" t="s">
        <v>242</v>
      </c>
      <c r="P23" s="218">
        <f>(K23*AU)/(C23*pc)/Photometry!$AB$19</f>
        <v>3.8437177452997711</v>
      </c>
      <c r="Q23" s="522" t="s">
        <v>84</v>
      </c>
      <c r="R23" s="100">
        <v>5</v>
      </c>
      <c r="S23" s="103" t="s">
        <v>1072</v>
      </c>
    </row>
    <row r="24" spans="1:19" x14ac:dyDescent="0.25">
      <c r="A24" s="497">
        <v>22</v>
      </c>
      <c r="B24" s="100">
        <v>10.210000000000001</v>
      </c>
      <c r="C24" s="214">
        <v>41.186199999999999</v>
      </c>
      <c r="D24" s="215">
        <v>16.508500000000002</v>
      </c>
      <c r="E24" s="215">
        <v>-22.453199999999999</v>
      </c>
      <c r="F24" s="216" t="s">
        <v>263</v>
      </c>
      <c r="G24" s="215">
        <v>15.04</v>
      </c>
      <c r="H24" s="215">
        <v>12.371</v>
      </c>
      <c r="I24" s="100">
        <v>0.4</v>
      </c>
      <c r="J24" s="100">
        <v>9018</v>
      </c>
      <c r="K24" s="100">
        <v>7.7</v>
      </c>
      <c r="L24" s="100">
        <v>0.14000000000000001</v>
      </c>
      <c r="M24" s="217">
        <v>0.18695999999999999</v>
      </c>
      <c r="N24" s="217">
        <v>0.21312999999999999</v>
      </c>
      <c r="O24" s="100" t="s">
        <v>264</v>
      </c>
      <c r="P24" s="218">
        <f>(K24*AU)/(C24*pc)/Photometry!$AB$19</f>
        <v>3.8020144760094801</v>
      </c>
      <c r="Q24" s="522" t="s">
        <v>88</v>
      </c>
      <c r="R24" s="100">
        <v>999</v>
      </c>
      <c r="S24" s="103"/>
    </row>
    <row r="25" spans="1:19" x14ac:dyDescent="0.25">
      <c r="A25" s="497">
        <v>23</v>
      </c>
      <c r="B25" s="100">
        <v>5.67</v>
      </c>
      <c r="C25" s="214">
        <v>18.315000000000001</v>
      </c>
      <c r="D25" s="215">
        <v>84.291200000000003</v>
      </c>
      <c r="E25" s="215">
        <v>-80.469099999999997</v>
      </c>
      <c r="F25" s="216" t="s">
        <v>265</v>
      </c>
      <c r="G25" s="215">
        <v>10.3</v>
      </c>
      <c r="H25" s="215">
        <v>12.747999999999999</v>
      </c>
      <c r="I25" s="100">
        <v>0.4</v>
      </c>
      <c r="J25" s="100">
        <v>2049</v>
      </c>
      <c r="K25" s="100">
        <v>3.28</v>
      </c>
      <c r="L25" s="100">
        <v>0.61</v>
      </c>
      <c r="M25" s="217">
        <v>0.17909</v>
      </c>
      <c r="N25" s="217">
        <v>0.28832999999999998</v>
      </c>
      <c r="O25" s="100" t="s">
        <v>266</v>
      </c>
      <c r="P25" s="218">
        <f>(K25*AU)/(C25*pc)/Photometry!$AB$19</f>
        <v>3.6420146274735767</v>
      </c>
      <c r="Q25" s="522" t="s">
        <v>85</v>
      </c>
      <c r="R25" s="100">
        <v>10</v>
      </c>
      <c r="S25" s="103" t="s">
        <v>1044</v>
      </c>
    </row>
    <row r="26" spans="1:19" x14ac:dyDescent="0.25">
      <c r="A26" s="497">
        <v>24</v>
      </c>
      <c r="B26" s="100">
        <v>1.1499999999999999</v>
      </c>
      <c r="C26" s="214">
        <v>10.3584</v>
      </c>
      <c r="D26" s="215">
        <v>116.32899999999999</v>
      </c>
      <c r="E26" s="215">
        <v>28.026199999999999</v>
      </c>
      <c r="F26" s="216" t="s">
        <v>267</v>
      </c>
      <c r="G26" s="215">
        <v>2.9</v>
      </c>
      <c r="H26" s="215">
        <v>13.029</v>
      </c>
      <c r="I26" s="100">
        <v>0.4</v>
      </c>
      <c r="J26" s="100">
        <v>589.6</v>
      </c>
      <c r="K26" s="100">
        <v>1.69</v>
      </c>
      <c r="L26" s="100">
        <v>0.02</v>
      </c>
      <c r="M26" s="217">
        <v>0.16314999999999999</v>
      </c>
      <c r="N26" s="217">
        <v>0.16642000000000001</v>
      </c>
      <c r="O26" s="100" t="s">
        <v>268</v>
      </c>
      <c r="P26" s="218">
        <f>(K26*AU)/(C26*pc)/Photometry!$AB$19</f>
        <v>3.3179420147370022</v>
      </c>
      <c r="Q26" s="522" t="s">
        <v>87</v>
      </c>
      <c r="R26" s="100">
        <v>1</v>
      </c>
      <c r="S26" s="103" t="s">
        <v>1076</v>
      </c>
    </row>
    <row r="27" spans="1:19" x14ac:dyDescent="0.25">
      <c r="A27" s="497">
        <v>25</v>
      </c>
      <c r="B27" s="100">
        <v>6.67</v>
      </c>
      <c r="C27" s="214">
        <v>17.5716</v>
      </c>
      <c r="D27" s="215">
        <v>242.60130000000001</v>
      </c>
      <c r="E27" s="215">
        <v>43.817599999999999</v>
      </c>
      <c r="F27" s="216" t="s">
        <v>269</v>
      </c>
      <c r="G27" s="215">
        <v>4.6399999999999997</v>
      </c>
      <c r="H27" s="215">
        <v>13.113</v>
      </c>
      <c r="I27" s="100">
        <v>0.4</v>
      </c>
      <c r="J27" s="100">
        <v>1773.4</v>
      </c>
      <c r="K27" s="100">
        <v>2.77</v>
      </c>
      <c r="L27" s="100">
        <v>0.37</v>
      </c>
      <c r="M27" s="217">
        <v>0.15764</v>
      </c>
      <c r="N27" s="217">
        <v>0.21597</v>
      </c>
      <c r="O27" s="100" t="s">
        <v>261</v>
      </c>
      <c r="P27" s="218">
        <f>(K27*AU)/(C27*pc)/Photometry!$AB$19</f>
        <v>3.2058502034920719</v>
      </c>
      <c r="Q27" s="522" t="s">
        <v>87</v>
      </c>
      <c r="R27" s="100">
        <v>999</v>
      </c>
      <c r="S27" s="103"/>
    </row>
    <row r="28" spans="1:19" x14ac:dyDescent="0.25">
      <c r="A28" s="497">
        <v>26</v>
      </c>
      <c r="B28" s="100">
        <v>9.0570000000000004</v>
      </c>
      <c r="C28" s="214">
        <v>15.865500000000001</v>
      </c>
      <c r="D28" s="215">
        <v>196.23949999999999</v>
      </c>
      <c r="E28" s="215">
        <v>-52.442900000000002</v>
      </c>
      <c r="F28" s="216" t="s">
        <v>270</v>
      </c>
      <c r="G28" s="215">
        <v>0.71</v>
      </c>
      <c r="H28" s="215">
        <v>12.79</v>
      </c>
      <c r="I28" s="100">
        <v>0.4</v>
      </c>
      <c r="J28" s="100">
        <v>1657</v>
      </c>
      <c r="K28" s="100">
        <v>2.4300000000000002</v>
      </c>
      <c r="L28" s="100">
        <v>0.32</v>
      </c>
      <c r="M28" s="217">
        <v>0.15315999999999999</v>
      </c>
      <c r="N28" s="217">
        <v>0.20218</v>
      </c>
      <c r="O28" s="100" t="s">
        <v>271</v>
      </c>
      <c r="P28" s="218">
        <f>(K28*AU)/(C28*pc)/Photometry!$AB$19</f>
        <v>3.1147792668378833</v>
      </c>
      <c r="Q28" s="522" t="s">
        <v>88</v>
      </c>
      <c r="R28" s="100">
        <v>999</v>
      </c>
      <c r="S28" s="103"/>
    </row>
    <row r="29" spans="1:19" x14ac:dyDescent="0.25">
      <c r="A29" s="497">
        <v>27</v>
      </c>
      <c r="B29" s="100">
        <v>5.04</v>
      </c>
      <c r="C29" s="214">
        <v>14.0627</v>
      </c>
      <c r="D29" s="215">
        <v>164.86660000000001</v>
      </c>
      <c r="E29" s="215">
        <v>40.430300000000003</v>
      </c>
      <c r="F29" s="216" t="s">
        <v>232</v>
      </c>
      <c r="G29" s="215">
        <v>2.5299999999999998</v>
      </c>
      <c r="H29" s="215">
        <v>12.989000000000001</v>
      </c>
      <c r="I29" s="100">
        <v>0.4</v>
      </c>
      <c r="J29" s="100">
        <v>1078</v>
      </c>
      <c r="K29" s="100">
        <v>2.1</v>
      </c>
      <c r="L29" s="100">
        <v>0.03</v>
      </c>
      <c r="M29" s="217">
        <v>0.14932999999999999</v>
      </c>
      <c r="N29" s="217">
        <v>0.15381</v>
      </c>
      <c r="O29" s="100" t="s">
        <v>233</v>
      </c>
      <c r="P29" s="218">
        <f>(K29*AU)/(C29*pc)/Photometry!$AB$19</f>
        <v>3.0368640306075001</v>
      </c>
      <c r="Q29" s="522" t="s">
        <v>85</v>
      </c>
      <c r="R29" s="100">
        <v>7</v>
      </c>
      <c r="S29" s="103" t="s">
        <v>1070</v>
      </c>
    </row>
    <row r="30" spans="1:19" x14ac:dyDescent="0.25">
      <c r="A30" s="497">
        <v>28</v>
      </c>
      <c r="B30" s="100">
        <v>3.22</v>
      </c>
      <c r="C30" s="214">
        <v>14.102399999999999</v>
      </c>
      <c r="D30" s="215">
        <v>354.83690000000001</v>
      </c>
      <c r="E30" s="215">
        <v>77.632300000000001</v>
      </c>
      <c r="F30" s="216" t="s">
        <v>272</v>
      </c>
      <c r="G30" s="215">
        <v>1.85</v>
      </c>
      <c r="H30" s="215">
        <v>12.933999999999999</v>
      </c>
      <c r="I30" s="100">
        <v>0.4</v>
      </c>
      <c r="J30" s="100">
        <v>903.3</v>
      </c>
      <c r="K30" s="100">
        <v>2.0499999999999998</v>
      </c>
      <c r="L30" s="100">
        <v>0.05</v>
      </c>
      <c r="M30" s="217">
        <v>0.14537</v>
      </c>
      <c r="N30" s="217">
        <v>0.15262999999999999</v>
      </c>
      <c r="O30" s="100" t="s">
        <v>273</v>
      </c>
      <c r="P30" s="218">
        <f>(K30*AU)/(C30*pc)/Photometry!$AB$19</f>
        <v>2.956212147496994</v>
      </c>
      <c r="Q30" s="522" t="s">
        <v>87</v>
      </c>
      <c r="R30" s="100">
        <v>2</v>
      </c>
      <c r="S30" s="103" t="s">
        <v>1075</v>
      </c>
    </row>
    <row r="31" spans="1:19" x14ac:dyDescent="0.25">
      <c r="A31" s="497">
        <v>29</v>
      </c>
      <c r="B31" s="100">
        <v>5.7229999999999999</v>
      </c>
      <c r="C31" s="214">
        <v>8.9110999999999994</v>
      </c>
      <c r="D31" s="215">
        <v>303.82249999999999</v>
      </c>
      <c r="E31" s="215">
        <v>-27.033000000000001</v>
      </c>
      <c r="F31" s="216" t="s">
        <v>274</v>
      </c>
      <c r="G31" s="215">
        <v>7.4999999999999997E-2</v>
      </c>
      <c r="H31" s="215">
        <v>9.673</v>
      </c>
      <c r="I31" s="100">
        <v>0.4</v>
      </c>
      <c r="J31" s="100">
        <v>525.79999999999995</v>
      </c>
      <c r="K31" s="100">
        <v>1.18</v>
      </c>
      <c r="L31" s="100">
        <v>0.32</v>
      </c>
      <c r="M31" s="217">
        <v>0.13242000000000001</v>
      </c>
      <c r="N31" s="217">
        <v>0.17479</v>
      </c>
      <c r="O31" s="100" t="s">
        <v>275</v>
      </c>
      <c r="P31" s="218">
        <f>(K31*AU)/(C31*pc)/Photometry!$AB$19</f>
        <v>2.6929324212447945</v>
      </c>
      <c r="Q31" s="522" t="s">
        <v>87</v>
      </c>
      <c r="R31" s="100">
        <v>4</v>
      </c>
      <c r="S31" s="103" t="s">
        <v>1073</v>
      </c>
    </row>
    <row r="32" spans="1:19" x14ac:dyDescent="0.25">
      <c r="A32" s="497">
        <v>30</v>
      </c>
      <c r="B32" s="100">
        <v>3.3090000000000002</v>
      </c>
      <c r="C32" s="214">
        <v>46.210700000000003</v>
      </c>
      <c r="D32" s="215">
        <v>269.75659999999999</v>
      </c>
      <c r="E32" s="215">
        <v>-9.7736000000000001</v>
      </c>
      <c r="F32" s="216" t="s">
        <v>276</v>
      </c>
      <c r="G32" s="215">
        <v>27</v>
      </c>
      <c r="H32" s="215">
        <v>11.419</v>
      </c>
      <c r="I32" s="100">
        <v>0.4</v>
      </c>
      <c r="J32" s="100">
        <v>3186</v>
      </c>
      <c r="K32" s="100">
        <v>6.1</v>
      </c>
      <c r="L32" s="100">
        <v>0.18</v>
      </c>
      <c r="M32" s="217">
        <v>0.13200000000000001</v>
      </c>
      <c r="N32" s="217">
        <v>0.15576000000000001</v>
      </c>
      <c r="O32" s="100" t="s">
        <v>277</v>
      </c>
      <c r="P32" s="218">
        <f>(K32*AU)/(C32*pc)/Photometry!$AB$19</f>
        <v>2.6844916210363041</v>
      </c>
      <c r="Q32" s="522" t="s">
        <v>86</v>
      </c>
      <c r="R32" s="100">
        <v>32</v>
      </c>
      <c r="S32" s="103" t="s">
        <v>1064</v>
      </c>
    </row>
    <row r="33" spans="1:19" x14ac:dyDescent="0.25">
      <c r="A33" s="497">
        <v>31</v>
      </c>
      <c r="B33" s="100">
        <v>7.48</v>
      </c>
      <c r="C33" s="214">
        <v>38.925699999999999</v>
      </c>
      <c r="D33" s="215">
        <v>18.622199999999999</v>
      </c>
      <c r="E33" s="215">
        <v>-5.0473999999999997</v>
      </c>
      <c r="F33" s="216" t="s">
        <v>278</v>
      </c>
      <c r="G33" s="215">
        <v>2</v>
      </c>
      <c r="H33" s="215">
        <v>12.945</v>
      </c>
      <c r="I33" s="100">
        <v>0.4</v>
      </c>
      <c r="J33" s="100">
        <v>4046</v>
      </c>
      <c r="K33" s="100">
        <v>4.96</v>
      </c>
      <c r="L33" s="100">
        <v>0.53</v>
      </c>
      <c r="M33" s="217">
        <v>0.12742000000000001</v>
      </c>
      <c r="N33" s="217">
        <v>0.19495999999999999</v>
      </c>
      <c r="O33" s="100" t="s">
        <v>279</v>
      </c>
      <c r="P33" s="218">
        <f>(K33*AU)/(C33*pc)/Photometry!$AB$19</f>
        <v>2.5913138143888963</v>
      </c>
      <c r="Q33" s="522" t="s">
        <v>84</v>
      </c>
      <c r="R33" s="100">
        <v>999</v>
      </c>
      <c r="S33" s="103"/>
    </row>
    <row r="34" spans="1:19" x14ac:dyDescent="0.25">
      <c r="A34" s="497">
        <v>32</v>
      </c>
      <c r="B34" s="100">
        <v>7.35</v>
      </c>
      <c r="C34" s="214">
        <v>35.186500000000002</v>
      </c>
      <c r="D34" s="215">
        <v>183.7774</v>
      </c>
      <c r="E34" s="215">
        <v>-7.2572999999999999</v>
      </c>
      <c r="F34" s="216" t="s">
        <v>280</v>
      </c>
      <c r="G34" s="215">
        <v>9.33</v>
      </c>
      <c r="H34" s="215">
        <v>12.824999999999999</v>
      </c>
      <c r="I34" s="100">
        <v>0.4</v>
      </c>
      <c r="J34" s="100">
        <v>3567</v>
      </c>
      <c r="K34" s="100">
        <v>4.43</v>
      </c>
      <c r="L34" s="100">
        <v>0.6</v>
      </c>
      <c r="M34" s="217">
        <v>0.12590000000000001</v>
      </c>
      <c r="N34" s="217">
        <v>0.20144000000000001</v>
      </c>
      <c r="O34" s="100" t="s">
        <v>281</v>
      </c>
      <c r="P34" s="218">
        <f>(K34*AU)/(C34*pc)/Photometry!$AB$19</f>
        <v>2.5603681819025921</v>
      </c>
      <c r="Q34" s="522" t="s">
        <v>86</v>
      </c>
      <c r="R34" s="100">
        <v>999</v>
      </c>
      <c r="S34" s="103"/>
    </row>
    <row r="35" spans="1:19" x14ac:dyDescent="0.25">
      <c r="A35" s="497">
        <v>33</v>
      </c>
      <c r="B35" s="100">
        <v>5.25</v>
      </c>
      <c r="C35" s="214">
        <v>14.8721</v>
      </c>
      <c r="D35" s="215">
        <v>284.25670000000002</v>
      </c>
      <c r="E35" s="215">
        <v>32.901299999999999</v>
      </c>
      <c r="F35" s="216" t="s">
        <v>282</v>
      </c>
      <c r="G35" s="215">
        <v>1.5</v>
      </c>
      <c r="H35" s="215">
        <v>12.909000000000001</v>
      </c>
      <c r="I35" s="100">
        <v>0.4</v>
      </c>
      <c r="J35" s="100">
        <v>1016</v>
      </c>
      <c r="K35" s="100">
        <v>1.76</v>
      </c>
      <c r="L35" s="100">
        <v>0</v>
      </c>
      <c r="M35" s="217">
        <v>0.11834</v>
      </c>
      <c r="N35" s="217">
        <v>0.11834</v>
      </c>
      <c r="O35" s="100" t="s">
        <v>283</v>
      </c>
      <c r="P35" s="218">
        <f>(K35*AU)/(C35*pc)/Photometry!$AB$19</f>
        <v>2.4066621946839537</v>
      </c>
      <c r="Q35" s="522" t="s">
        <v>85</v>
      </c>
      <c r="R35" s="100">
        <v>999</v>
      </c>
      <c r="S35" s="103"/>
    </row>
    <row r="36" spans="1:19" x14ac:dyDescent="0.25">
      <c r="A36" s="497">
        <v>34</v>
      </c>
      <c r="B36" s="100">
        <v>7.18</v>
      </c>
      <c r="C36" s="214">
        <v>28.066199999999998</v>
      </c>
      <c r="D36" s="215">
        <v>125.3672</v>
      </c>
      <c r="E36" s="215">
        <v>-39.705399999999997</v>
      </c>
      <c r="F36" s="216" t="s">
        <v>284</v>
      </c>
      <c r="G36" s="215">
        <v>2</v>
      </c>
      <c r="H36" s="215">
        <v>12.945</v>
      </c>
      <c r="I36" s="100">
        <v>0.4</v>
      </c>
      <c r="J36" s="100">
        <v>2231</v>
      </c>
      <c r="K36" s="100">
        <v>3.3</v>
      </c>
      <c r="L36" s="100">
        <v>0.1</v>
      </c>
      <c r="M36" s="217">
        <v>0.11758</v>
      </c>
      <c r="N36" s="217">
        <v>0.12934000000000001</v>
      </c>
      <c r="O36" s="100" t="s">
        <v>285</v>
      </c>
      <c r="P36" s="218">
        <f>(K36*AU)/(C36*pc)/Photometry!$AB$19</f>
        <v>2.3911404660382796</v>
      </c>
      <c r="Q36" s="522" t="s">
        <v>86</v>
      </c>
      <c r="R36" s="100">
        <v>18</v>
      </c>
      <c r="S36" s="103" t="s">
        <v>1050</v>
      </c>
    </row>
    <row r="37" spans="1:19" x14ac:dyDescent="0.25">
      <c r="A37" s="497">
        <v>35</v>
      </c>
      <c r="B37" s="100">
        <v>7.6</v>
      </c>
      <c r="C37" s="214">
        <v>44.228200000000001</v>
      </c>
      <c r="D37" s="215">
        <v>34.197400000000002</v>
      </c>
      <c r="E37" s="215">
        <v>43.773000000000003</v>
      </c>
      <c r="F37" s="216" t="s">
        <v>286</v>
      </c>
      <c r="G37" s="215">
        <v>1.88</v>
      </c>
      <c r="H37" s="215">
        <v>12.936</v>
      </c>
      <c r="I37" s="100">
        <v>0.4</v>
      </c>
      <c r="J37" s="100">
        <v>4218</v>
      </c>
      <c r="K37" s="100">
        <v>5.15</v>
      </c>
      <c r="L37" s="100">
        <v>0.02</v>
      </c>
      <c r="M37" s="217">
        <v>0.11644</v>
      </c>
      <c r="N37" s="217">
        <v>0.11877</v>
      </c>
      <c r="O37" s="100" t="s">
        <v>287</v>
      </c>
      <c r="P37" s="218">
        <f>(K37*AU)/(C37*pc)/Photometry!$AB$19</f>
        <v>2.3680056226420079</v>
      </c>
      <c r="Q37" s="522" t="s">
        <v>85</v>
      </c>
      <c r="R37" s="100">
        <v>27</v>
      </c>
      <c r="S37" s="103" t="s">
        <v>1059</v>
      </c>
    </row>
    <row r="38" spans="1:19" x14ac:dyDescent="0.25">
      <c r="A38" s="497">
        <v>36</v>
      </c>
      <c r="B38" s="100">
        <v>5.52</v>
      </c>
      <c r="C38" s="214">
        <v>17.433800000000002</v>
      </c>
      <c r="D38" s="215">
        <v>25.6221</v>
      </c>
      <c r="E38" s="215">
        <v>-53.7408</v>
      </c>
      <c r="F38" s="216" t="s">
        <v>288</v>
      </c>
      <c r="G38" s="215">
        <v>0.93</v>
      </c>
      <c r="H38" s="215">
        <v>12.829000000000001</v>
      </c>
      <c r="I38" s="100">
        <v>0.4</v>
      </c>
      <c r="J38" s="100">
        <v>1003</v>
      </c>
      <c r="K38" s="100">
        <v>2.0299999999999998</v>
      </c>
      <c r="L38" s="100">
        <v>0.1</v>
      </c>
      <c r="M38" s="217">
        <v>0.11644</v>
      </c>
      <c r="N38" s="217">
        <v>0.12808</v>
      </c>
      <c r="O38" s="100" t="s">
        <v>242</v>
      </c>
      <c r="P38" s="218">
        <f>(K38*AU)/(C38*pc)/Photometry!$AB$19</f>
        <v>2.3679838900937611</v>
      </c>
      <c r="Q38" s="522" t="s">
        <v>84</v>
      </c>
      <c r="R38" s="100">
        <v>8</v>
      </c>
      <c r="S38" s="103" t="s">
        <v>1043</v>
      </c>
    </row>
    <row r="39" spans="1:19" x14ac:dyDescent="0.25">
      <c r="A39" s="497">
        <v>37</v>
      </c>
      <c r="B39" s="100">
        <v>7.25</v>
      </c>
      <c r="C39" s="214">
        <v>33.046900000000001</v>
      </c>
      <c r="D39" s="215">
        <v>202.33799999999999</v>
      </c>
      <c r="E39" s="215">
        <v>-35.570999999999998</v>
      </c>
      <c r="F39" s="216" t="s">
        <v>289</v>
      </c>
      <c r="G39" s="215">
        <v>2.06</v>
      </c>
      <c r="H39" s="215">
        <v>12.949</v>
      </c>
      <c r="I39" s="100">
        <v>0.4</v>
      </c>
      <c r="J39" s="100">
        <v>2627.1</v>
      </c>
      <c r="K39" s="100">
        <v>3.78</v>
      </c>
      <c r="L39" s="100">
        <v>0.16</v>
      </c>
      <c r="M39" s="217">
        <v>0.11438</v>
      </c>
      <c r="N39" s="217">
        <v>0.13267999999999999</v>
      </c>
      <c r="O39" s="100" t="s">
        <v>254</v>
      </c>
      <c r="P39" s="218">
        <f>(K39*AU)/(C39*pc)/Photometry!$AB$19</f>
        <v>2.3261399418948026</v>
      </c>
      <c r="Q39" s="522" t="s">
        <v>86</v>
      </c>
      <c r="R39" s="100">
        <v>21</v>
      </c>
      <c r="S39" s="103" t="s">
        <v>1053</v>
      </c>
    </row>
    <row r="40" spans="1:19" x14ac:dyDescent="0.25">
      <c r="A40" s="497">
        <v>38</v>
      </c>
      <c r="B40" s="100">
        <v>8.3800000000000008</v>
      </c>
      <c r="C40" s="214">
        <v>26.759399999999999</v>
      </c>
      <c r="D40" s="215">
        <v>291.28989999999999</v>
      </c>
      <c r="E40" s="215">
        <v>-66.468800000000002</v>
      </c>
      <c r="F40" s="216" t="s">
        <v>290</v>
      </c>
      <c r="G40" s="215">
        <v>0.54</v>
      </c>
      <c r="H40" s="215">
        <v>12.659000000000001</v>
      </c>
      <c r="I40" s="100">
        <v>0.4</v>
      </c>
      <c r="J40" s="100">
        <v>2172</v>
      </c>
      <c r="K40" s="100">
        <v>3</v>
      </c>
      <c r="L40" s="100">
        <v>0.48</v>
      </c>
      <c r="M40" s="217">
        <v>0.11211</v>
      </c>
      <c r="N40" s="217">
        <v>0.16592000000000001</v>
      </c>
      <c r="O40" s="100" t="s">
        <v>291</v>
      </c>
      <c r="P40" s="218">
        <f>(K40*AU)/(C40*pc)/Photometry!$AB$19</f>
        <v>2.2799202097860451</v>
      </c>
      <c r="Q40" s="522" t="s">
        <v>88</v>
      </c>
      <c r="R40" s="100">
        <v>25</v>
      </c>
      <c r="S40" s="103" t="s">
        <v>1057</v>
      </c>
    </row>
    <row r="41" spans="1:19" x14ac:dyDescent="0.25">
      <c r="A41" s="497">
        <v>39</v>
      </c>
      <c r="B41" s="100">
        <v>9.6549999999999994</v>
      </c>
      <c r="C41" s="214">
        <v>10.3445</v>
      </c>
      <c r="D41" s="215">
        <v>254.5369</v>
      </c>
      <c r="E41" s="215">
        <v>25.744199999999999</v>
      </c>
      <c r="F41" s="216" t="s">
        <v>292</v>
      </c>
      <c r="G41" s="215">
        <v>0.32800000000000001</v>
      </c>
      <c r="H41" s="215">
        <v>12.262</v>
      </c>
      <c r="I41" s="100">
        <v>0.4</v>
      </c>
      <c r="J41" s="100">
        <v>598.29999999999995</v>
      </c>
      <c r="K41" s="100">
        <v>1.1399999999999999</v>
      </c>
      <c r="L41" s="100">
        <v>0.3</v>
      </c>
      <c r="M41" s="217">
        <v>0.11020000000000001</v>
      </c>
      <c r="N41" s="217">
        <v>0.14326</v>
      </c>
      <c r="O41" s="100" t="s">
        <v>293</v>
      </c>
      <c r="P41" s="218">
        <f>(K41*AU)/(C41*pc)/Photometry!$AB$19</f>
        <v>2.2411458076721451</v>
      </c>
      <c r="Q41" s="522" t="s">
        <v>89</v>
      </c>
      <c r="R41" s="100">
        <v>999</v>
      </c>
      <c r="S41" s="103"/>
    </row>
    <row r="42" spans="1:19" x14ac:dyDescent="0.25">
      <c r="A42" s="497">
        <v>40</v>
      </c>
      <c r="B42" s="100">
        <v>7.4459999999999997</v>
      </c>
      <c r="C42" s="214">
        <v>16.5017</v>
      </c>
      <c r="D42" s="215">
        <v>219.00229999999999</v>
      </c>
      <c r="E42" s="215">
        <v>9.7464999999999993</v>
      </c>
      <c r="F42" s="216" t="s">
        <v>294</v>
      </c>
      <c r="G42" s="215">
        <v>3.21</v>
      </c>
      <c r="H42" s="215">
        <v>13.061999999999999</v>
      </c>
      <c r="I42" s="100">
        <v>0.4</v>
      </c>
      <c r="J42" s="100">
        <v>919</v>
      </c>
      <c r="K42" s="100">
        <v>1.76</v>
      </c>
      <c r="L42" s="100">
        <v>0.17</v>
      </c>
      <c r="M42" s="217">
        <v>0.10666</v>
      </c>
      <c r="N42" s="217">
        <v>0.12479</v>
      </c>
      <c r="O42" s="100" t="s">
        <v>295</v>
      </c>
      <c r="P42" s="218">
        <f>(K42*AU)/(C42*pc)/Photometry!$AB$19</f>
        <v>2.168995971661055</v>
      </c>
      <c r="Q42" s="522" t="s">
        <v>88</v>
      </c>
      <c r="R42" s="100">
        <v>12</v>
      </c>
      <c r="S42" s="103" t="s">
        <v>1045</v>
      </c>
    </row>
    <row r="43" spans="1:19" x14ac:dyDescent="0.25">
      <c r="A43" s="497">
        <v>41</v>
      </c>
      <c r="B43" s="100">
        <v>7.52</v>
      </c>
      <c r="C43" s="214">
        <v>46.598300000000002</v>
      </c>
      <c r="D43" s="215">
        <v>57.595700000000001</v>
      </c>
      <c r="E43" s="215">
        <v>17.476400000000002</v>
      </c>
      <c r="F43" s="216" t="s">
        <v>296</v>
      </c>
      <c r="G43" s="215">
        <v>4.01</v>
      </c>
      <c r="H43" s="215">
        <v>13.134</v>
      </c>
      <c r="I43" s="100">
        <v>0.4</v>
      </c>
      <c r="J43" s="100">
        <v>3668</v>
      </c>
      <c r="K43" s="100">
        <v>4.92</v>
      </c>
      <c r="L43" s="100">
        <v>0.04</v>
      </c>
      <c r="M43" s="217">
        <v>0.10557999999999999</v>
      </c>
      <c r="N43" s="217">
        <v>0.10981</v>
      </c>
      <c r="O43" s="100" t="s">
        <v>287</v>
      </c>
      <c r="P43" s="218">
        <f>(K43*AU)/(C43*pc)/Photometry!$AB$19</f>
        <v>2.1471866324150848</v>
      </c>
      <c r="Q43" s="522" t="s">
        <v>85</v>
      </c>
      <c r="R43" s="100">
        <v>26</v>
      </c>
      <c r="S43" s="103" t="s">
        <v>1058</v>
      </c>
    </row>
    <row r="44" spans="1:19" x14ac:dyDescent="0.25">
      <c r="A44" s="497">
        <v>42</v>
      </c>
      <c r="B44" s="100">
        <v>7.12</v>
      </c>
      <c r="C44" s="214">
        <v>49.067700000000002</v>
      </c>
      <c r="D44" s="215">
        <v>354.50130000000001</v>
      </c>
      <c r="E44" s="215">
        <v>48.996499999999997</v>
      </c>
      <c r="F44" s="216" t="s">
        <v>297</v>
      </c>
      <c r="G44" s="215">
        <v>1.9</v>
      </c>
      <c r="H44" s="215">
        <v>12.938000000000001</v>
      </c>
      <c r="I44" s="100">
        <v>0.4</v>
      </c>
      <c r="J44" s="100">
        <v>3999</v>
      </c>
      <c r="K44" s="100">
        <v>5.0999999999999996</v>
      </c>
      <c r="L44" s="100">
        <v>0.16</v>
      </c>
      <c r="M44" s="217">
        <v>0.10394</v>
      </c>
      <c r="N44" s="217">
        <v>0.12057</v>
      </c>
      <c r="O44" s="100" t="s">
        <v>287</v>
      </c>
      <c r="P44" s="218">
        <f>(K44*AU)/(C44*pc)/Photometry!$AB$19</f>
        <v>2.1137286782338025</v>
      </c>
      <c r="Q44" s="522" t="s">
        <v>85</v>
      </c>
      <c r="R44" s="100">
        <v>24</v>
      </c>
      <c r="S44" s="103" t="s">
        <v>1056</v>
      </c>
    </row>
    <row r="45" spans="1:19" x14ac:dyDescent="0.25">
      <c r="A45" s="497">
        <v>43</v>
      </c>
      <c r="B45" s="100">
        <v>5.3760000000000003</v>
      </c>
      <c r="C45" s="214">
        <v>12.777900000000001</v>
      </c>
      <c r="D45" s="215">
        <v>246.00540000000001</v>
      </c>
      <c r="E45" s="215">
        <v>-39.192999999999998</v>
      </c>
      <c r="F45" s="216" t="s">
        <v>298</v>
      </c>
      <c r="G45" s="215">
        <v>1.21</v>
      </c>
      <c r="H45" s="215">
        <v>12.872999999999999</v>
      </c>
      <c r="I45" s="100">
        <v>0.4</v>
      </c>
      <c r="J45" s="100">
        <v>528.4</v>
      </c>
      <c r="K45" s="100">
        <v>1.32</v>
      </c>
      <c r="L45" s="100">
        <v>0.26</v>
      </c>
      <c r="M45" s="217">
        <v>0.1033</v>
      </c>
      <c r="N45" s="217">
        <v>0.13016</v>
      </c>
      <c r="O45" s="100" t="s">
        <v>299</v>
      </c>
      <c r="P45" s="218">
        <f>(K45*AU)/(C45*pc)/Photometry!$AB$19</f>
        <v>2.1008217797266706</v>
      </c>
      <c r="Q45" s="522" t="s">
        <v>86</v>
      </c>
      <c r="R45" s="100">
        <v>3</v>
      </c>
      <c r="S45" s="103" t="s">
        <v>1074</v>
      </c>
    </row>
    <row r="46" spans="1:19" x14ac:dyDescent="0.25">
      <c r="A46" s="497">
        <v>44</v>
      </c>
      <c r="B46" s="100">
        <v>7.03</v>
      </c>
      <c r="C46" s="214">
        <v>32.362499999999997</v>
      </c>
      <c r="D46" s="215">
        <v>154.58869999999999</v>
      </c>
      <c r="E46" s="215">
        <v>12.6211</v>
      </c>
      <c r="F46" s="216" t="s">
        <v>300</v>
      </c>
      <c r="G46" s="215">
        <v>2</v>
      </c>
      <c r="H46" s="215">
        <v>12.945</v>
      </c>
      <c r="I46" s="100">
        <v>0.4</v>
      </c>
      <c r="J46" s="100">
        <v>2199</v>
      </c>
      <c r="K46" s="100">
        <v>3.34</v>
      </c>
      <c r="L46" s="100">
        <v>0.25</v>
      </c>
      <c r="M46" s="217">
        <v>0.10321</v>
      </c>
      <c r="N46" s="217">
        <v>0.12901000000000001</v>
      </c>
      <c r="O46" s="100" t="s">
        <v>266</v>
      </c>
      <c r="P46" s="218">
        <f>(K46*AU)/(C46*pc)/Photometry!$AB$19</f>
        <v>2.09883920708887</v>
      </c>
      <c r="Q46" s="522" t="s">
        <v>85</v>
      </c>
      <c r="R46" s="100">
        <v>16</v>
      </c>
      <c r="S46" s="103" t="s">
        <v>1048</v>
      </c>
    </row>
    <row r="47" spans="1:19" x14ac:dyDescent="0.25">
      <c r="A47" s="497">
        <v>45</v>
      </c>
      <c r="B47" s="100">
        <v>7.83</v>
      </c>
      <c r="C47" s="214">
        <v>48.262500000000003</v>
      </c>
      <c r="D47" s="215">
        <v>296.74209999999999</v>
      </c>
      <c r="E47" s="215">
        <v>34.419499999999999</v>
      </c>
      <c r="F47" s="216" t="s">
        <v>301</v>
      </c>
      <c r="G47" s="215">
        <v>1.99</v>
      </c>
      <c r="H47" s="215">
        <v>12.944000000000001</v>
      </c>
      <c r="I47" s="100">
        <v>0.4</v>
      </c>
      <c r="J47" s="100">
        <v>3810</v>
      </c>
      <c r="K47" s="100">
        <v>4.8899999999999997</v>
      </c>
      <c r="L47" s="100">
        <v>0.25</v>
      </c>
      <c r="M47" s="217">
        <v>0.10131999999999999</v>
      </c>
      <c r="N47" s="217">
        <v>0.12665000000000001</v>
      </c>
      <c r="O47" s="100" t="s">
        <v>281</v>
      </c>
      <c r="P47" s="218">
        <f>(K47*AU)/(C47*pc)/Photometry!$AB$19</f>
        <v>2.0605056489956048</v>
      </c>
      <c r="Q47" s="522" t="s">
        <v>86</v>
      </c>
      <c r="R47" s="100">
        <v>28</v>
      </c>
      <c r="S47" s="103" t="s">
        <v>1060</v>
      </c>
    </row>
    <row r="48" spans="1:19" x14ac:dyDescent="0.25">
      <c r="A48" s="497">
        <v>46</v>
      </c>
      <c r="B48" s="100">
        <v>5.9109999999999996</v>
      </c>
      <c r="C48" s="214">
        <v>36.603200000000001</v>
      </c>
      <c r="D48" s="215">
        <v>276.95620000000002</v>
      </c>
      <c r="E48" s="215">
        <v>-29.8169</v>
      </c>
      <c r="F48" s="216" t="s">
        <v>302</v>
      </c>
      <c r="G48" s="215">
        <v>4.04</v>
      </c>
      <c r="H48" s="215">
        <v>13.132999999999999</v>
      </c>
      <c r="I48" s="100">
        <v>0.4</v>
      </c>
      <c r="J48" s="100">
        <v>2102</v>
      </c>
      <c r="K48" s="100">
        <v>3.6</v>
      </c>
      <c r="L48" s="100">
        <v>0.33</v>
      </c>
      <c r="M48" s="217">
        <v>9.8351999999999995E-2</v>
      </c>
      <c r="N48" s="217">
        <v>0.13081000000000001</v>
      </c>
      <c r="O48" s="100" t="s">
        <v>250</v>
      </c>
      <c r="P48" s="218">
        <f>(K48*AU)/(C48*pc)/Photometry!$AB$19</f>
        <v>2.0001299403904147</v>
      </c>
      <c r="Q48" s="522" t="s">
        <v>84</v>
      </c>
      <c r="R48" s="100">
        <v>34</v>
      </c>
      <c r="S48" s="103" t="s">
        <v>1065</v>
      </c>
    </row>
    <row r="49" spans="1:19" x14ac:dyDescent="0.25">
      <c r="A49" s="497">
        <v>47</v>
      </c>
      <c r="B49" s="100">
        <v>7.1</v>
      </c>
      <c r="C49" s="214">
        <v>50.890599999999999</v>
      </c>
      <c r="D49" s="215">
        <v>351.61439999999999</v>
      </c>
      <c r="E49" s="215">
        <v>8.6438000000000006</v>
      </c>
      <c r="F49" s="216" t="s">
        <v>303</v>
      </c>
      <c r="G49" s="215">
        <v>1.45</v>
      </c>
      <c r="H49" s="215">
        <v>12.906000000000001</v>
      </c>
      <c r="I49" s="100">
        <v>0.4</v>
      </c>
      <c r="J49" s="100">
        <v>3724.7</v>
      </c>
      <c r="K49" s="100">
        <v>4.9400000000000004</v>
      </c>
      <c r="L49" s="100">
        <v>0.51</v>
      </c>
      <c r="M49" s="217">
        <v>9.7071000000000005E-2</v>
      </c>
      <c r="N49" s="217">
        <v>0.14657999999999999</v>
      </c>
      <c r="O49" s="100" t="s">
        <v>287</v>
      </c>
      <c r="P49" s="218">
        <f>(K49*AU)/(C49*pc)/Photometry!$AB$19</f>
        <v>1.9740772460732015</v>
      </c>
      <c r="Q49" s="522" t="s">
        <v>85</v>
      </c>
      <c r="R49" s="100">
        <v>999</v>
      </c>
      <c r="S49" s="103"/>
    </row>
    <row r="50" spans="1:19" x14ac:dyDescent="0.25">
      <c r="A50" s="497">
        <v>48</v>
      </c>
      <c r="B50" s="100">
        <v>5.15</v>
      </c>
      <c r="C50" s="214">
        <v>15.511100000000001</v>
      </c>
      <c r="D50" s="215">
        <v>266.03629999999998</v>
      </c>
      <c r="E50" s="215">
        <v>-51.834099999999999</v>
      </c>
      <c r="F50" s="216" t="s">
        <v>243</v>
      </c>
      <c r="G50" s="215">
        <v>1.6759999999999999</v>
      </c>
      <c r="H50" s="215">
        <v>12.922000000000001</v>
      </c>
      <c r="I50" s="100">
        <v>0.4</v>
      </c>
      <c r="J50" s="100">
        <v>643.20000000000005</v>
      </c>
      <c r="K50" s="100">
        <v>1.5</v>
      </c>
      <c r="L50" s="100">
        <v>0.13</v>
      </c>
      <c r="M50" s="217">
        <v>9.6704999999999999E-2</v>
      </c>
      <c r="N50" s="217">
        <v>0.10928</v>
      </c>
      <c r="O50" s="100" t="s">
        <v>244</v>
      </c>
      <c r="P50" s="218">
        <f>(K50*AU)/(C50*pc)/Photometry!$AB$19</f>
        <v>1.9666334709256175</v>
      </c>
      <c r="Q50" s="522" t="s">
        <v>86</v>
      </c>
      <c r="R50" s="100">
        <v>999</v>
      </c>
      <c r="S50" s="103"/>
    </row>
    <row r="51" spans="1:19" x14ac:dyDescent="0.25">
      <c r="A51" s="497">
        <v>49</v>
      </c>
      <c r="B51" s="100">
        <v>3.95</v>
      </c>
      <c r="C51" s="214">
        <v>19.751100000000001</v>
      </c>
      <c r="D51" s="215">
        <v>99.171000000000006</v>
      </c>
      <c r="E51" s="215">
        <v>-19.2559</v>
      </c>
      <c r="F51" s="216" t="s">
        <v>304</v>
      </c>
      <c r="G51" s="215">
        <v>2.6</v>
      </c>
      <c r="H51" s="215">
        <v>12.997</v>
      </c>
      <c r="I51" s="100">
        <v>0.4</v>
      </c>
      <c r="J51" s="100">
        <v>763</v>
      </c>
      <c r="K51" s="100">
        <v>1.9</v>
      </c>
      <c r="L51" s="100">
        <v>0.14000000000000001</v>
      </c>
      <c r="M51" s="217">
        <v>9.6197000000000005E-2</v>
      </c>
      <c r="N51" s="217">
        <v>0.10965999999999999</v>
      </c>
      <c r="O51" s="100" t="s">
        <v>305</v>
      </c>
      <c r="P51" s="218">
        <f>(K51*AU)/(C51*pc)/Photometry!$AB$19</f>
        <v>1.9563073117838585</v>
      </c>
      <c r="Q51" s="522" t="s">
        <v>87</v>
      </c>
      <c r="R51" s="100">
        <v>999</v>
      </c>
      <c r="S51" s="103"/>
    </row>
    <row r="52" spans="1:19" x14ac:dyDescent="0.25">
      <c r="A52" s="497">
        <v>50</v>
      </c>
      <c r="B52" s="100">
        <v>6.42</v>
      </c>
      <c r="C52" s="214">
        <v>32.851500000000001</v>
      </c>
      <c r="D52" s="215">
        <v>29.29</v>
      </c>
      <c r="E52" s="215">
        <v>-10.2424</v>
      </c>
      <c r="F52" s="216" t="s">
        <v>306</v>
      </c>
      <c r="G52" s="215">
        <v>0.622</v>
      </c>
      <c r="H52" s="215">
        <v>12.747</v>
      </c>
      <c r="I52" s="100">
        <v>0.4</v>
      </c>
      <c r="J52" s="100">
        <v>1945</v>
      </c>
      <c r="K52" s="100">
        <v>3.16</v>
      </c>
      <c r="L52" s="100">
        <v>0.04</v>
      </c>
      <c r="M52" s="217">
        <v>9.6189999999999998E-2</v>
      </c>
      <c r="N52" s="217">
        <v>0.10004</v>
      </c>
      <c r="O52" s="100" t="s">
        <v>307</v>
      </c>
      <c r="P52" s="218">
        <f>(K52*AU)/(C52*pc)/Photometry!$AB$19</f>
        <v>1.9561702213813257</v>
      </c>
      <c r="Q52" s="522" t="s">
        <v>86</v>
      </c>
      <c r="R52" s="100">
        <v>999</v>
      </c>
      <c r="S52" s="103"/>
    </row>
    <row r="53" spans="1:19" x14ac:dyDescent="0.25">
      <c r="A53" s="497">
        <v>51</v>
      </c>
      <c r="B53" s="100">
        <v>6.99</v>
      </c>
      <c r="C53" s="214">
        <v>22.119</v>
      </c>
      <c r="D53" s="215">
        <v>270.62860000000001</v>
      </c>
      <c r="E53" s="215">
        <v>26.312999999999999</v>
      </c>
      <c r="F53" s="216" t="s">
        <v>308</v>
      </c>
      <c r="G53" s="215">
        <v>0.36</v>
      </c>
      <c r="H53" s="215">
        <v>12.382999999999999</v>
      </c>
      <c r="I53" s="100">
        <v>0.4</v>
      </c>
      <c r="J53" s="100">
        <v>1155</v>
      </c>
      <c r="K53" s="100">
        <v>2.11</v>
      </c>
      <c r="L53" s="100">
        <v>0.05</v>
      </c>
      <c r="M53" s="217">
        <v>9.5393000000000006E-2</v>
      </c>
      <c r="N53" s="217">
        <v>0.10016</v>
      </c>
      <c r="O53" s="100" t="s">
        <v>261</v>
      </c>
      <c r="P53" s="218">
        <f>(K53*AU)/(C53*pc)/Photometry!$AB$19</f>
        <v>1.93995533822038</v>
      </c>
      <c r="Q53" s="522" t="s">
        <v>87</v>
      </c>
      <c r="R53" s="100">
        <v>999</v>
      </c>
      <c r="S53" s="103"/>
    </row>
    <row r="54" spans="1:19" x14ac:dyDescent="0.25">
      <c r="A54" s="497">
        <v>52</v>
      </c>
      <c r="B54" s="100">
        <v>8.48</v>
      </c>
      <c r="C54" s="214">
        <v>26.903400000000001</v>
      </c>
      <c r="D54" s="215">
        <v>323.09800000000001</v>
      </c>
      <c r="E54" s="215">
        <v>-20.9574</v>
      </c>
      <c r="F54" s="216" t="s">
        <v>309</v>
      </c>
      <c r="G54" s="215">
        <v>0.26600000000000001</v>
      </c>
      <c r="H54" s="215">
        <v>12.029</v>
      </c>
      <c r="I54" s="100">
        <v>0.4</v>
      </c>
      <c r="J54" s="100">
        <v>1733</v>
      </c>
      <c r="K54" s="100">
        <v>2.56</v>
      </c>
      <c r="L54" s="100">
        <v>0.37</v>
      </c>
      <c r="M54" s="217">
        <v>9.5155000000000003E-2</v>
      </c>
      <c r="N54" s="217">
        <v>0.13036</v>
      </c>
      <c r="O54" s="100" t="s">
        <v>246</v>
      </c>
      <c r="P54" s="218">
        <f>(K54*AU)/(C54*pc)/Photometry!$AB$19</f>
        <v>1.9351184852233874</v>
      </c>
      <c r="Q54" s="522" t="s">
        <v>87</v>
      </c>
      <c r="R54" s="100">
        <v>999</v>
      </c>
      <c r="S54" s="103"/>
    </row>
    <row r="55" spans="1:19" x14ac:dyDescent="0.25">
      <c r="A55" s="497">
        <v>53</v>
      </c>
      <c r="B55" s="100">
        <v>7.47</v>
      </c>
      <c r="C55" s="214">
        <v>49.825600000000001</v>
      </c>
      <c r="D55" s="215">
        <v>128.51329999999999</v>
      </c>
      <c r="E55" s="215">
        <v>-1.5682</v>
      </c>
      <c r="F55" s="216" t="s">
        <v>310</v>
      </c>
      <c r="G55" s="215">
        <v>3.15</v>
      </c>
      <c r="H55" s="215">
        <v>13.055999999999999</v>
      </c>
      <c r="I55" s="100">
        <v>0.4</v>
      </c>
      <c r="J55" s="100">
        <v>3658</v>
      </c>
      <c r="K55" s="100">
        <v>4.74</v>
      </c>
      <c r="L55" s="100">
        <v>0.22</v>
      </c>
      <c r="M55" s="217">
        <v>9.5131999999999994E-2</v>
      </c>
      <c r="N55" s="217">
        <v>0.11606</v>
      </c>
      <c r="O55" s="100" t="s">
        <v>287</v>
      </c>
      <c r="P55" s="218">
        <f>(K55*AU)/(C55*pc)/Photometry!$AB$19</f>
        <v>1.9346418114696649</v>
      </c>
      <c r="Q55" s="522" t="s">
        <v>85</v>
      </c>
      <c r="R55" s="100">
        <v>999</v>
      </c>
      <c r="S55" s="103"/>
    </row>
    <row r="56" spans="1:19" x14ac:dyDescent="0.25">
      <c r="A56" s="497">
        <v>54</v>
      </c>
      <c r="B56" s="100">
        <v>5.9379999999999997</v>
      </c>
      <c r="C56" s="214">
        <v>39.277299999999997</v>
      </c>
      <c r="D56" s="215">
        <v>86.645499999999998</v>
      </c>
      <c r="E56" s="215">
        <v>1.1681999999999999</v>
      </c>
      <c r="F56" s="216" t="s">
        <v>311</v>
      </c>
      <c r="G56" s="215">
        <v>17.7</v>
      </c>
      <c r="H56" s="215">
        <v>12.159000000000001</v>
      </c>
      <c r="I56" s="100">
        <v>0.4</v>
      </c>
      <c r="J56" s="100">
        <v>2134.8000000000002</v>
      </c>
      <c r="K56" s="100">
        <v>3.7</v>
      </c>
      <c r="L56" s="100">
        <v>0.36</v>
      </c>
      <c r="M56" s="217">
        <v>9.4201999999999994E-2</v>
      </c>
      <c r="N56" s="217">
        <v>0.12811</v>
      </c>
      <c r="O56" s="100" t="s">
        <v>312</v>
      </c>
      <c r="P56" s="218">
        <f>(K56*AU)/(C56*pc)/Photometry!$AB$19</f>
        <v>1.9157324832109996</v>
      </c>
      <c r="Q56" s="522" t="s">
        <v>86</v>
      </c>
      <c r="R56" s="100">
        <v>999</v>
      </c>
      <c r="S56" s="103"/>
    </row>
    <row r="57" spans="1:19" x14ac:dyDescent="0.25">
      <c r="A57" s="497">
        <v>55</v>
      </c>
      <c r="B57" s="100">
        <v>6.2850000000000001</v>
      </c>
      <c r="C57" s="214">
        <v>24.2014</v>
      </c>
      <c r="D57" s="215">
        <v>227.68639999999999</v>
      </c>
      <c r="E57" s="215">
        <v>-61.4223</v>
      </c>
      <c r="F57" s="216" t="s">
        <v>313</v>
      </c>
      <c r="G57" s="215">
        <v>0.151</v>
      </c>
      <c r="H57" s="215">
        <v>11.324</v>
      </c>
      <c r="I57" s="100">
        <v>0.4</v>
      </c>
      <c r="J57" s="100">
        <v>1160.9000000000001</v>
      </c>
      <c r="K57" s="100">
        <v>2.23</v>
      </c>
      <c r="L57" s="100">
        <v>0.75</v>
      </c>
      <c r="M57" s="217">
        <v>9.2144000000000004E-2</v>
      </c>
      <c r="N57" s="217">
        <v>0.16125</v>
      </c>
      <c r="O57" s="100" t="s">
        <v>314</v>
      </c>
      <c r="P57" s="218">
        <f>(K57*AU)/(C57*pc)/Photometry!$AB$19</f>
        <v>1.8738686191942009</v>
      </c>
      <c r="Q57" s="522" t="s">
        <v>85</v>
      </c>
      <c r="R57" s="100">
        <v>999</v>
      </c>
      <c r="S57" s="103"/>
    </row>
    <row r="58" spans="1:19" x14ac:dyDescent="0.25">
      <c r="A58" s="497">
        <v>56</v>
      </c>
      <c r="B58" s="100">
        <v>6.63</v>
      </c>
      <c r="C58" s="214">
        <v>38.022799999999997</v>
      </c>
      <c r="D58" s="215">
        <v>341.5335</v>
      </c>
      <c r="E58" s="215">
        <v>-48.9788</v>
      </c>
      <c r="F58" s="216" t="s">
        <v>315</v>
      </c>
      <c r="G58" s="215">
        <v>0.246</v>
      </c>
      <c r="H58" s="215">
        <v>11.952999999999999</v>
      </c>
      <c r="I58" s="100">
        <v>0.4</v>
      </c>
      <c r="J58" s="100">
        <v>2277</v>
      </c>
      <c r="K58" s="100">
        <v>3.39</v>
      </c>
      <c r="L58" s="100">
        <v>0.19</v>
      </c>
      <c r="M58" s="217">
        <v>8.9157E-2</v>
      </c>
      <c r="N58" s="217">
        <v>0.1061</v>
      </c>
      <c r="O58" s="100" t="s">
        <v>316</v>
      </c>
      <c r="P58" s="218">
        <f>(K58*AU)/(C58*pc)/Photometry!$AB$19</f>
        <v>1.8131359461632501</v>
      </c>
      <c r="Q58" s="522" t="s">
        <v>85</v>
      </c>
      <c r="R58" s="100">
        <v>999</v>
      </c>
      <c r="S58" s="103"/>
    </row>
    <row r="59" spans="1:19" x14ac:dyDescent="0.25">
      <c r="A59" s="497">
        <v>57</v>
      </c>
      <c r="B59" s="100">
        <v>7.69</v>
      </c>
      <c r="C59" s="214">
        <v>34.328899999999997</v>
      </c>
      <c r="D59" s="215">
        <v>242.5626</v>
      </c>
      <c r="E59" s="215">
        <v>-84.2316</v>
      </c>
      <c r="F59" s="216" t="s">
        <v>317</v>
      </c>
      <c r="G59" s="215">
        <v>5.0999999999999996</v>
      </c>
      <c r="H59" s="215">
        <v>13.097</v>
      </c>
      <c r="I59" s="100">
        <v>0.4</v>
      </c>
      <c r="J59" s="100">
        <v>1928</v>
      </c>
      <c r="K59" s="100">
        <v>3.03</v>
      </c>
      <c r="L59" s="100">
        <v>0.53</v>
      </c>
      <c r="M59" s="217">
        <v>8.8263999999999995E-2</v>
      </c>
      <c r="N59" s="217">
        <v>0.13503999999999999</v>
      </c>
      <c r="O59" s="100" t="s">
        <v>318</v>
      </c>
      <c r="P59" s="218">
        <f>(K59*AU)/(C59*pc)/Photometry!$AB$19</f>
        <v>1.7949712874681736</v>
      </c>
      <c r="Q59" s="522" t="s">
        <v>86</v>
      </c>
      <c r="R59" s="100">
        <v>999</v>
      </c>
      <c r="S59" s="103"/>
    </row>
    <row r="60" spans="1:19" x14ac:dyDescent="0.25">
      <c r="A60" s="497">
        <v>58</v>
      </c>
      <c r="B60" s="100">
        <v>7.32</v>
      </c>
      <c r="C60" s="214">
        <v>39.016800000000003</v>
      </c>
      <c r="D60" s="215">
        <v>24.473199999999999</v>
      </c>
      <c r="E60" s="215">
        <v>-60.511499999999998</v>
      </c>
      <c r="F60" s="216" t="s">
        <v>319</v>
      </c>
      <c r="G60" s="215">
        <v>0.20300000000000001</v>
      </c>
      <c r="H60" s="215">
        <v>11.69</v>
      </c>
      <c r="I60" s="100">
        <v>0.4</v>
      </c>
      <c r="J60" s="100">
        <v>2222</v>
      </c>
      <c r="K60" s="100">
        <v>3.4</v>
      </c>
      <c r="L60" s="100">
        <v>0.08</v>
      </c>
      <c r="M60" s="217">
        <v>8.7141999999999997E-2</v>
      </c>
      <c r="N60" s="217">
        <v>9.4113000000000002E-2</v>
      </c>
      <c r="O60" s="100" t="s">
        <v>233</v>
      </c>
      <c r="P60" s="218">
        <f>(K60*AU)/(C60*pc)/Photometry!$AB$19</f>
        <v>1.7721563474361943</v>
      </c>
      <c r="Q60" s="522" t="s">
        <v>85</v>
      </c>
      <c r="R60" s="100">
        <v>999</v>
      </c>
      <c r="S60" s="103"/>
    </row>
    <row r="61" spans="1:19" x14ac:dyDescent="0.25">
      <c r="A61" s="497">
        <v>59</v>
      </c>
      <c r="B61" s="100">
        <v>5.77</v>
      </c>
      <c r="C61" s="214">
        <v>26.420100000000001</v>
      </c>
      <c r="D61" s="215">
        <v>72.151600000000002</v>
      </c>
      <c r="E61" s="215">
        <v>-5.6740000000000004</v>
      </c>
      <c r="F61" s="216" t="s">
        <v>320</v>
      </c>
      <c r="G61" s="215">
        <v>1.29</v>
      </c>
      <c r="H61" s="215">
        <v>12.885</v>
      </c>
      <c r="I61" s="100">
        <v>0.4</v>
      </c>
      <c r="J61" s="100">
        <v>1157</v>
      </c>
      <c r="K61" s="100">
        <v>2.2999999999999998</v>
      </c>
      <c r="L61" s="100">
        <v>0.76</v>
      </c>
      <c r="M61" s="217">
        <v>8.7054999999999993E-2</v>
      </c>
      <c r="N61" s="217">
        <v>0.15322</v>
      </c>
      <c r="O61" s="100" t="s">
        <v>321</v>
      </c>
      <c r="P61" s="218">
        <f>(K61*AU)/(C61*pc)/Photometry!$AB$19</f>
        <v>1.7703867230129331</v>
      </c>
      <c r="Q61" s="522" t="s">
        <v>84</v>
      </c>
      <c r="R61" s="100">
        <v>30</v>
      </c>
      <c r="S61" s="103" t="s">
        <v>1062</v>
      </c>
    </row>
    <row r="62" spans="1:19" x14ac:dyDescent="0.25">
      <c r="A62" s="497">
        <v>60</v>
      </c>
      <c r="B62" s="100">
        <v>8.69</v>
      </c>
      <c r="C62" s="214">
        <v>43.9754</v>
      </c>
      <c r="D62" s="215">
        <v>85.007199999999997</v>
      </c>
      <c r="E62" s="215">
        <v>6.0606</v>
      </c>
      <c r="F62" s="216" t="s">
        <v>322</v>
      </c>
      <c r="G62" s="215">
        <v>3.379</v>
      </c>
      <c r="H62" s="215">
        <v>13.08</v>
      </c>
      <c r="I62" s="100">
        <v>0.4</v>
      </c>
      <c r="J62" s="100">
        <v>2720</v>
      </c>
      <c r="K62" s="100">
        <v>3.82</v>
      </c>
      <c r="L62" s="100">
        <v>0.01</v>
      </c>
      <c r="M62" s="217">
        <v>8.6867E-2</v>
      </c>
      <c r="N62" s="217">
        <v>8.7734999999999994E-2</v>
      </c>
      <c r="O62" s="100" t="s">
        <v>323</v>
      </c>
      <c r="P62" s="218">
        <f>(K62*AU)/(C62*pc)/Photometry!$AB$19</f>
        <v>1.7665597433404436</v>
      </c>
      <c r="Q62" s="522" t="s">
        <v>87</v>
      </c>
      <c r="R62" s="100">
        <v>999</v>
      </c>
      <c r="S62" s="103"/>
    </row>
    <row r="63" spans="1:19" x14ac:dyDescent="0.25">
      <c r="A63" s="497">
        <v>61</v>
      </c>
      <c r="B63" s="100">
        <v>6.0640000000000001</v>
      </c>
      <c r="C63" s="214">
        <v>26.745100000000001</v>
      </c>
      <c r="D63" s="215">
        <v>343.66449999999998</v>
      </c>
      <c r="E63" s="215">
        <v>-70.073700000000002</v>
      </c>
      <c r="F63" s="216" t="s">
        <v>324</v>
      </c>
      <c r="G63" s="215">
        <v>1.82</v>
      </c>
      <c r="H63" s="215">
        <v>12.932</v>
      </c>
      <c r="I63" s="100">
        <v>0.4</v>
      </c>
      <c r="J63" s="100">
        <v>1256</v>
      </c>
      <c r="K63" s="100">
        <v>2.3199999999999998</v>
      </c>
      <c r="L63" s="100">
        <v>0.28999999999999998</v>
      </c>
      <c r="M63" s="217">
        <v>8.6745000000000003E-2</v>
      </c>
      <c r="N63" s="217">
        <v>0.1119</v>
      </c>
      <c r="O63" s="100" t="s">
        <v>325</v>
      </c>
      <c r="P63" s="218">
        <f>(K63*AU)/(C63*pc)/Photometry!$AB$19</f>
        <v>1.7640810057326011</v>
      </c>
      <c r="Q63" s="522" t="s">
        <v>85</v>
      </c>
      <c r="R63" s="100">
        <v>999</v>
      </c>
      <c r="S63" s="103"/>
    </row>
    <row r="64" spans="1:19" x14ac:dyDescent="0.25">
      <c r="A64" s="497">
        <v>62</v>
      </c>
      <c r="B64" s="100">
        <v>4.7960000000000003</v>
      </c>
      <c r="C64" s="214">
        <v>30.4971</v>
      </c>
      <c r="D64" s="215">
        <v>237.80799999999999</v>
      </c>
      <c r="E64" s="215">
        <v>35.657400000000003</v>
      </c>
      <c r="F64" s="216" t="s">
        <v>326</v>
      </c>
      <c r="G64" s="215">
        <v>1.6</v>
      </c>
      <c r="H64" s="215">
        <v>12.916</v>
      </c>
      <c r="I64" s="100">
        <v>0.4</v>
      </c>
      <c r="J64" s="100">
        <v>1251</v>
      </c>
      <c r="K64" s="100">
        <v>2.6</v>
      </c>
      <c r="L64" s="100">
        <v>0.19</v>
      </c>
      <c r="M64" s="217">
        <v>8.5253999999999996E-2</v>
      </c>
      <c r="N64" s="217">
        <v>0.10145</v>
      </c>
      <c r="O64" s="100" t="s">
        <v>327</v>
      </c>
      <c r="P64" s="218">
        <f>(K64*AU)/(C64*pc)/Photometry!$AB$19</f>
        <v>1.7337623559895488</v>
      </c>
      <c r="Q64" s="522" t="s">
        <v>87</v>
      </c>
      <c r="R64" s="100">
        <v>999</v>
      </c>
      <c r="S64" s="103"/>
    </row>
    <row r="65" spans="1:19" x14ac:dyDescent="0.25">
      <c r="A65" s="497">
        <v>63</v>
      </c>
      <c r="B65" s="100">
        <v>6.31</v>
      </c>
      <c r="C65" s="214">
        <v>36.061999999999998</v>
      </c>
      <c r="D65" s="215">
        <v>21.5366</v>
      </c>
      <c r="E65" s="215">
        <v>34.579700000000003</v>
      </c>
      <c r="F65" s="216" t="s">
        <v>328</v>
      </c>
      <c r="G65" s="215">
        <v>14.2</v>
      </c>
      <c r="H65" s="215">
        <v>12.438000000000001</v>
      </c>
      <c r="I65" s="100">
        <v>0.4</v>
      </c>
      <c r="J65" s="100">
        <v>1634</v>
      </c>
      <c r="K65" s="100">
        <v>3.02</v>
      </c>
      <c r="L65" s="100">
        <v>0.72</v>
      </c>
      <c r="M65" s="217">
        <v>8.3745E-2</v>
      </c>
      <c r="N65" s="217">
        <v>0.14404</v>
      </c>
      <c r="O65" s="100" t="s">
        <v>250</v>
      </c>
      <c r="P65" s="218">
        <f>(K65*AU)/(C65*pc)/Photometry!$AB$19</f>
        <v>1.703067647592859</v>
      </c>
      <c r="Q65" s="522" t="s">
        <v>84</v>
      </c>
      <c r="R65" s="100">
        <v>999</v>
      </c>
      <c r="S65" s="103"/>
    </row>
    <row r="66" spans="1:19" x14ac:dyDescent="0.25">
      <c r="A66" s="497">
        <v>64</v>
      </c>
      <c r="B66" s="100">
        <v>7.2</v>
      </c>
      <c r="C66" s="214">
        <v>46.125500000000002</v>
      </c>
      <c r="D66" s="215">
        <v>103.00839999999999</v>
      </c>
      <c r="E66" s="215">
        <v>-33.915599999999998</v>
      </c>
      <c r="F66" s="216" t="s">
        <v>329</v>
      </c>
      <c r="G66" s="215">
        <v>1.71</v>
      </c>
      <c r="H66" s="215">
        <v>12.923999999999999</v>
      </c>
      <c r="I66" s="100">
        <v>0.4</v>
      </c>
      <c r="J66" s="100">
        <v>2482.6999999999998</v>
      </c>
      <c r="K66" s="100">
        <v>3.86</v>
      </c>
      <c r="L66" s="100">
        <v>0.23</v>
      </c>
      <c r="M66" s="217">
        <v>8.3684999999999996E-2</v>
      </c>
      <c r="N66" s="217">
        <v>0.10292999999999999</v>
      </c>
      <c r="O66" s="100" t="s">
        <v>233</v>
      </c>
      <c r="P66" s="218">
        <f>(K66*AU)/(C66*pc)/Photometry!$AB$19</f>
        <v>1.7018488391189976</v>
      </c>
      <c r="Q66" s="522" t="s">
        <v>85</v>
      </c>
      <c r="R66" s="100">
        <v>999</v>
      </c>
      <c r="S66" s="103"/>
    </row>
    <row r="67" spans="1:19" x14ac:dyDescent="0.25">
      <c r="A67" s="497">
        <v>65</v>
      </c>
      <c r="B67" s="100">
        <v>7.68</v>
      </c>
      <c r="C67" s="214">
        <v>33.67</v>
      </c>
      <c r="D67" s="215">
        <v>84.260400000000004</v>
      </c>
      <c r="E67" s="215">
        <v>20.730799999999999</v>
      </c>
      <c r="F67" s="216" t="s">
        <v>330</v>
      </c>
      <c r="G67" s="215">
        <v>0.69599999999999995</v>
      </c>
      <c r="H67" s="215">
        <v>12.787000000000001</v>
      </c>
      <c r="I67" s="100">
        <v>0.4</v>
      </c>
      <c r="J67" s="100">
        <v>1862</v>
      </c>
      <c r="K67" s="100">
        <v>2.81</v>
      </c>
      <c r="L67" s="100">
        <v>0.16</v>
      </c>
      <c r="M67" s="217">
        <v>8.3457000000000003E-2</v>
      </c>
      <c r="N67" s="217">
        <v>9.6809999999999993E-2</v>
      </c>
      <c r="O67" s="100" t="s">
        <v>331</v>
      </c>
      <c r="P67" s="218">
        <f>(K67*AU)/(C67*pc)/Photometry!$AB$19</f>
        <v>1.6972193266163136</v>
      </c>
      <c r="Q67" s="522" t="s">
        <v>86</v>
      </c>
      <c r="R67" s="100">
        <v>999</v>
      </c>
      <c r="S67" s="103"/>
    </row>
    <row r="68" spans="1:19" x14ac:dyDescent="0.25">
      <c r="A68" s="497">
        <v>66</v>
      </c>
      <c r="B68" s="100">
        <v>8.02</v>
      </c>
      <c r="C68" s="214">
        <v>47.370899999999999</v>
      </c>
      <c r="D68" s="215">
        <v>322.05090000000001</v>
      </c>
      <c r="E68" s="215">
        <v>-21.726299999999998</v>
      </c>
      <c r="F68" s="216" t="s">
        <v>332</v>
      </c>
      <c r="G68" s="215">
        <v>1.68</v>
      </c>
      <c r="H68" s="215">
        <v>12.922000000000001</v>
      </c>
      <c r="I68" s="100">
        <v>0.4</v>
      </c>
      <c r="J68" s="100">
        <v>2831.6</v>
      </c>
      <c r="K68" s="100">
        <v>3.93</v>
      </c>
      <c r="L68" s="100">
        <v>0.28000000000000003</v>
      </c>
      <c r="M68" s="217">
        <v>8.2961999999999994E-2</v>
      </c>
      <c r="N68" s="217">
        <v>0.10619000000000001</v>
      </c>
      <c r="O68" s="100" t="s">
        <v>299</v>
      </c>
      <c r="P68" s="218">
        <f>(K68*AU)/(C68*pc)/Photometry!$AB$19</f>
        <v>1.6871577041789534</v>
      </c>
      <c r="Q68" s="522" t="s">
        <v>86</v>
      </c>
      <c r="R68" s="100">
        <v>999</v>
      </c>
      <c r="S68" s="103"/>
    </row>
    <row r="69" spans="1:19" x14ac:dyDescent="0.25">
      <c r="A69" s="497">
        <v>67</v>
      </c>
      <c r="B69" s="100">
        <v>6.84</v>
      </c>
      <c r="C69" s="214">
        <v>29.9133</v>
      </c>
      <c r="D69" s="215">
        <v>103.6784</v>
      </c>
      <c r="E69" s="215">
        <v>24.2456</v>
      </c>
      <c r="F69" s="216" t="s">
        <v>333</v>
      </c>
      <c r="G69" s="215">
        <v>5.16</v>
      </c>
      <c r="H69" s="215">
        <v>13.095000000000001</v>
      </c>
      <c r="I69" s="100">
        <v>0.4</v>
      </c>
      <c r="J69" s="100">
        <v>1293</v>
      </c>
      <c r="K69" s="100">
        <v>2.41</v>
      </c>
      <c r="L69" s="100">
        <v>0.5</v>
      </c>
      <c r="M69" s="217">
        <v>8.0565999999999999E-2</v>
      </c>
      <c r="N69" s="217">
        <v>0.12085</v>
      </c>
      <c r="O69" s="100" t="s">
        <v>321</v>
      </c>
      <c r="P69" s="218">
        <f>(K69*AU)/(C69*pc)/Photometry!$AB$19</f>
        <v>1.6384284519685708</v>
      </c>
      <c r="Q69" s="522" t="s">
        <v>84</v>
      </c>
      <c r="R69" s="100">
        <v>999</v>
      </c>
      <c r="S69" s="103"/>
    </row>
    <row r="70" spans="1:19" x14ac:dyDescent="0.25">
      <c r="A70" s="497">
        <v>68</v>
      </c>
      <c r="B70" s="100">
        <v>6.03</v>
      </c>
      <c r="C70" s="214">
        <v>32.6158</v>
      </c>
      <c r="D70" s="215">
        <v>343.40800000000002</v>
      </c>
      <c r="E70" s="215">
        <v>-48.598300000000002</v>
      </c>
      <c r="F70" s="216" t="s">
        <v>334</v>
      </c>
      <c r="G70" s="215">
        <v>1.26</v>
      </c>
      <c r="H70" s="215">
        <v>12.88</v>
      </c>
      <c r="I70" s="100">
        <v>0.4</v>
      </c>
      <c r="J70" s="100">
        <v>1311</v>
      </c>
      <c r="K70" s="100">
        <v>2.56</v>
      </c>
      <c r="L70" s="100">
        <v>7.0000000000000007E-2</v>
      </c>
      <c r="M70" s="217">
        <v>7.8490000000000004E-2</v>
      </c>
      <c r="N70" s="217">
        <v>8.3984000000000003E-2</v>
      </c>
      <c r="O70" s="100" t="s">
        <v>266</v>
      </c>
      <c r="P70" s="218">
        <f>(K70*AU)/(C70*pc)/Photometry!$AB$19</f>
        <v>1.5961977524806654</v>
      </c>
      <c r="Q70" s="522" t="s">
        <v>85</v>
      </c>
      <c r="R70" s="100">
        <v>999</v>
      </c>
      <c r="S70" s="103"/>
    </row>
    <row r="71" spans="1:19" x14ac:dyDescent="0.25">
      <c r="A71" s="497">
        <v>69</v>
      </c>
      <c r="B71" s="100">
        <v>6.3849999999999998</v>
      </c>
      <c r="C71" s="214">
        <v>33.523299999999999</v>
      </c>
      <c r="D71" s="215">
        <v>309.96609999999998</v>
      </c>
      <c r="E71" s="215">
        <v>11.249700000000001</v>
      </c>
      <c r="F71" s="216" t="s">
        <v>335</v>
      </c>
      <c r="G71" s="215">
        <v>2.98</v>
      </c>
      <c r="H71" s="215">
        <v>13.038</v>
      </c>
      <c r="I71" s="100">
        <v>0.4</v>
      </c>
      <c r="J71" s="100">
        <v>1326</v>
      </c>
      <c r="K71" s="100">
        <v>2.6</v>
      </c>
      <c r="L71" s="100">
        <v>0.48</v>
      </c>
      <c r="M71" s="217">
        <v>7.7558000000000002E-2</v>
      </c>
      <c r="N71" s="217">
        <v>0.11479</v>
      </c>
      <c r="O71" s="100" t="s">
        <v>336</v>
      </c>
      <c r="P71" s="218">
        <f>(K71*AU)/(C71*pc)/Photometry!$AB$19</f>
        <v>1.5772529538216367</v>
      </c>
      <c r="Q71" s="522" t="s">
        <v>84</v>
      </c>
      <c r="R71" s="100">
        <v>999</v>
      </c>
      <c r="S71" s="103"/>
    </row>
    <row r="72" spans="1:19" x14ac:dyDescent="0.25">
      <c r="A72" s="497">
        <v>70</v>
      </c>
      <c r="B72" s="100">
        <v>8.32</v>
      </c>
      <c r="C72" s="214">
        <v>54.200499999999998</v>
      </c>
      <c r="D72" s="215">
        <v>215.22300000000001</v>
      </c>
      <c r="E72" s="215">
        <v>-17.4815</v>
      </c>
      <c r="F72" s="216" t="s">
        <v>337</v>
      </c>
      <c r="G72" s="215">
        <v>7.2</v>
      </c>
      <c r="H72" s="215">
        <v>12.994</v>
      </c>
      <c r="I72" s="100">
        <v>0.4</v>
      </c>
      <c r="J72" s="100">
        <v>3008</v>
      </c>
      <c r="K72" s="100">
        <v>4.2</v>
      </c>
      <c r="L72" s="100">
        <v>0.28000000000000003</v>
      </c>
      <c r="M72" s="217">
        <v>7.7490000000000003E-2</v>
      </c>
      <c r="N72" s="217">
        <v>9.9186999999999997E-2</v>
      </c>
      <c r="O72" s="100" t="s">
        <v>256</v>
      </c>
      <c r="P72" s="218">
        <f>(K72*AU)/(C72*pc)/Photometry!$AB$19</f>
        <v>1.5758713592392724</v>
      </c>
      <c r="Q72" s="522" t="s">
        <v>86</v>
      </c>
      <c r="R72" s="100">
        <v>999</v>
      </c>
      <c r="S72" s="103"/>
    </row>
    <row r="73" spans="1:19" x14ac:dyDescent="0.25">
      <c r="A73" s="497">
        <v>71</v>
      </c>
      <c r="B73" s="100">
        <v>7.86</v>
      </c>
      <c r="C73" s="214">
        <v>55.096400000000003</v>
      </c>
      <c r="D73" s="215">
        <v>292.10239999999999</v>
      </c>
      <c r="E73" s="215">
        <v>8.3581000000000003</v>
      </c>
      <c r="F73" s="216" t="s">
        <v>338</v>
      </c>
      <c r="G73" s="215">
        <v>3.82</v>
      </c>
      <c r="H73" s="215">
        <v>13.127000000000001</v>
      </c>
      <c r="I73" s="100">
        <v>0.4</v>
      </c>
      <c r="J73" s="100">
        <v>2950</v>
      </c>
      <c r="K73" s="100">
        <v>4.25</v>
      </c>
      <c r="L73" s="100">
        <v>0.25</v>
      </c>
      <c r="M73" s="217">
        <v>7.7136999999999997E-2</v>
      </c>
      <c r="N73" s="217">
        <v>9.6421999999999994E-2</v>
      </c>
      <c r="O73" s="100" t="s">
        <v>339</v>
      </c>
      <c r="P73" s="218">
        <f>(K73*AU)/(C73*pc)/Photometry!$AB$19</f>
        <v>1.5687020789164199</v>
      </c>
      <c r="Q73" s="522" t="s">
        <v>85</v>
      </c>
      <c r="R73" s="100">
        <v>999</v>
      </c>
      <c r="S73" s="103"/>
    </row>
    <row r="74" spans="1:19" x14ac:dyDescent="0.25">
      <c r="A74" s="497">
        <v>72</v>
      </c>
      <c r="B74" s="100">
        <v>6.92</v>
      </c>
      <c r="C74" s="214">
        <v>37.4251</v>
      </c>
      <c r="D74" s="215">
        <v>275.01639999999998</v>
      </c>
      <c r="E74" s="215">
        <v>-9.5957000000000008</v>
      </c>
      <c r="F74" s="216" t="s">
        <v>340</v>
      </c>
      <c r="G74" s="215">
        <v>17.193000000000001</v>
      </c>
      <c r="H74" s="215">
        <v>12.199</v>
      </c>
      <c r="I74" s="100">
        <v>0.4</v>
      </c>
      <c r="J74" s="100">
        <v>1749.8</v>
      </c>
      <c r="K74" s="100">
        <v>2.84</v>
      </c>
      <c r="L74" s="100">
        <v>0.21</v>
      </c>
      <c r="M74" s="217">
        <v>7.5884999999999994E-2</v>
      </c>
      <c r="N74" s="217">
        <v>9.1821E-2</v>
      </c>
      <c r="O74" s="100" t="s">
        <v>341</v>
      </c>
      <c r="P74" s="218">
        <f>(K74*AU)/(C74*pc)/Photometry!$AB$19</f>
        <v>1.5432281462384541</v>
      </c>
      <c r="Q74" s="522" t="s">
        <v>86</v>
      </c>
      <c r="R74" s="100">
        <v>999</v>
      </c>
      <c r="S74" s="103"/>
    </row>
    <row r="75" spans="1:19" x14ac:dyDescent="0.25">
      <c r="A75" s="497">
        <v>73</v>
      </c>
      <c r="B75" s="100">
        <v>11.98</v>
      </c>
      <c r="C75" s="214">
        <v>15.3139</v>
      </c>
      <c r="D75" s="215">
        <v>130.24680000000001</v>
      </c>
      <c r="E75" s="215">
        <v>-23.456499999999998</v>
      </c>
      <c r="F75" s="216" t="s">
        <v>228</v>
      </c>
      <c r="G75" s="215">
        <v>1.8</v>
      </c>
      <c r="H75" s="215">
        <v>12.930999999999999</v>
      </c>
      <c r="I75" s="100">
        <v>0.4</v>
      </c>
      <c r="J75" s="100">
        <v>691.8</v>
      </c>
      <c r="K75" s="100">
        <v>1.1499999999999999</v>
      </c>
      <c r="L75" s="100">
        <v>0.11</v>
      </c>
      <c r="M75" s="217">
        <v>7.5094999999999995E-2</v>
      </c>
      <c r="N75" s="217">
        <v>8.3354999999999999E-2</v>
      </c>
      <c r="O75" s="100" t="s">
        <v>229</v>
      </c>
      <c r="P75" s="218">
        <f>(K75*AU)/(C75*pc)/Photometry!$AB$19</f>
        <v>1.5271679409123085</v>
      </c>
      <c r="Q75" s="522" t="s">
        <v>90</v>
      </c>
      <c r="R75" s="100">
        <v>999</v>
      </c>
      <c r="S75" s="103"/>
    </row>
    <row r="76" spans="1:19" x14ac:dyDescent="0.25">
      <c r="A76" s="497">
        <v>74</v>
      </c>
      <c r="B76" s="100">
        <v>7.44</v>
      </c>
      <c r="C76" s="214">
        <v>34.952800000000003</v>
      </c>
      <c r="D76" s="215">
        <v>31.142900000000001</v>
      </c>
      <c r="E76" s="215">
        <v>25.414300000000001</v>
      </c>
      <c r="F76" s="216" t="s">
        <v>342</v>
      </c>
      <c r="G76" s="215">
        <v>1.57</v>
      </c>
      <c r="H76" s="215">
        <v>12.914</v>
      </c>
      <c r="I76" s="100">
        <v>0.4</v>
      </c>
      <c r="J76" s="100">
        <v>1708</v>
      </c>
      <c r="K76" s="100">
        <v>2.56</v>
      </c>
      <c r="L76" s="100">
        <v>0.03</v>
      </c>
      <c r="M76" s="217">
        <v>7.3242000000000002E-2</v>
      </c>
      <c r="N76" s="217">
        <v>7.5439000000000006E-2</v>
      </c>
      <c r="O76" s="100" t="s">
        <v>261</v>
      </c>
      <c r="P76" s="218">
        <f>(K76*AU)/(C76*pc)/Photometry!$AB$19</f>
        <v>1.4894734228833992</v>
      </c>
      <c r="Q76" s="522" t="s">
        <v>87</v>
      </c>
      <c r="R76" s="100">
        <v>999</v>
      </c>
      <c r="S76" s="103"/>
    </row>
    <row r="77" spans="1:19" x14ac:dyDescent="0.25">
      <c r="A77" s="497">
        <v>75</v>
      </c>
      <c r="B77" s="100">
        <v>7.36</v>
      </c>
      <c r="C77" s="214">
        <v>37.7074</v>
      </c>
      <c r="D77" s="215">
        <v>183.37299999999999</v>
      </c>
      <c r="E77" s="215">
        <v>10.041600000000001</v>
      </c>
      <c r="F77" s="216" t="s">
        <v>343</v>
      </c>
      <c r="G77" s="215">
        <v>7.56</v>
      </c>
      <c r="H77" s="215">
        <v>12.965999999999999</v>
      </c>
      <c r="I77" s="100">
        <v>0.4</v>
      </c>
      <c r="J77" s="100">
        <v>1600</v>
      </c>
      <c r="K77" s="100">
        <v>2.7</v>
      </c>
      <c r="L77" s="100">
        <v>0.47</v>
      </c>
      <c r="M77" s="217">
        <v>7.1604000000000001E-2</v>
      </c>
      <c r="N77" s="217">
        <v>0.10526000000000001</v>
      </c>
      <c r="O77" s="100" t="s">
        <v>287</v>
      </c>
      <c r="P77" s="218">
        <f>(K77*AU)/(C77*pc)/Photometry!$AB$19</f>
        <v>1.4561695363661729</v>
      </c>
      <c r="Q77" s="522" t="s">
        <v>85</v>
      </c>
      <c r="R77" s="100">
        <v>999</v>
      </c>
      <c r="S77" s="103"/>
    </row>
    <row r="78" spans="1:19" x14ac:dyDescent="0.25">
      <c r="A78" s="497">
        <v>76</v>
      </c>
      <c r="B78" s="100">
        <v>5.9660000000000002</v>
      </c>
      <c r="C78" s="214">
        <v>15.1768</v>
      </c>
      <c r="D78" s="215">
        <v>87.145600000000002</v>
      </c>
      <c r="E78" s="215">
        <v>-4.0945999999999998</v>
      </c>
      <c r="F78" s="216" t="s">
        <v>344</v>
      </c>
      <c r="G78" s="215">
        <v>9.6000000000000002E-2</v>
      </c>
      <c r="H78" s="215">
        <v>10.507</v>
      </c>
      <c r="I78" s="100">
        <v>0.4</v>
      </c>
      <c r="J78" s="100">
        <v>407.1</v>
      </c>
      <c r="K78" s="100">
        <v>1.04</v>
      </c>
      <c r="L78" s="100">
        <v>0.27</v>
      </c>
      <c r="M78" s="217">
        <v>6.8526000000000004E-2</v>
      </c>
      <c r="N78" s="217">
        <v>8.7027999999999994E-2</v>
      </c>
      <c r="O78" s="100" t="s">
        <v>312</v>
      </c>
      <c r="P78" s="218">
        <f>(K78*AU)/(C78*pc)/Photometry!$AB$19</f>
        <v>1.3935671273746473</v>
      </c>
      <c r="Q78" s="522" t="s">
        <v>86</v>
      </c>
      <c r="R78" s="100">
        <v>999</v>
      </c>
      <c r="S78" s="103"/>
    </row>
    <row r="79" spans="1:19" x14ac:dyDescent="0.25">
      <c r="A79" s="497">
        <v>77</v>
      </c>
      <c r="B79" s="100">
        <v>8.02</v>
      </c>
      <c r="C79" s="214">
        <v>46.104199999999999</v>
      </c>
      <c r="D79" s="215">
        <v>138.78919999999999</v>
      </c>
      <c r="E79" s="215">
        <v>23.375599999999999</v>
      </c>
      <c r="F79" s="216" t="s">
        <v>345</v>
      </c>
      <c r="G79" s="215">
        <v>1.34</v>
      </c>
      <c r="H79" s="215">
        <v>12.891999999999999</v>
      </c>
      <c r="I79" s="100">
        <v>0.4</v>
      </c>
      <c r="J79" s="100">
        <v>1966</v>
      </c>
      <c r="K79" s="100">
        <v>3.13</v>
      </c>
      <c r="L79" s="100">
        <v>0.59</v>
      </c>
      <c r="M79" s="217">
        <v>6.7890000000000006E-2</v>
      </c>
      <c r="N79" s="217">
        <v>0.10793999999999999</v>
      </c>
      <c r="O79" s="100" t="s">
        <v>281</v>
      </c>
      <c r="P79" s="218">
        <f>(K79*AU)/(C79*pc)/Photometry!$AB$19</f>
        <v>1.38063415174954</v>
      </c>
      <c r="Q79" s="522" t="s">
        <v>86</v>
      </c>
      <c r="R79" s="100">
        <v>999</v>
      </c>
      <c r="S79" s="103"/>
    </row>
    <row r="80" spans="1:19" x14ac:dyDescent="0.25">
      <c r="A80" s="497">
        <v>78</v>
      </c>
      <c r="B80" s="100">
        <v>7.61</v>
      </c>
      <c r="C80" s="214">
        <v>29.342700000000001</v>
      </c>
      <c r="D80" s="215">
        <v>192.21559999999999</v>
      </c>
      <c r="E80" s="215">
        <v>-68.425200000000004</v>
      </c>
      <c r="F80" s="216" t="s">
        <v>346</v>
      </c>
      <c r="G80" s="215">
        <v>6.8</v>
      </c>
      <c r="H80" s="215">
        <v>13.026</v>
      </c>
      <c r="I80" s="100">
        <v>0.4</v>
      </c>
      <c r="J80" s="100">
        <v>1143</v>
      </c>
      <c r="K80" s="100">
        <v>1.97</v>
      </c>
      <c r="L80" s="100">
        <v>0.2</v>
      </c>
      <c r="M80" s="217">
        <v>6.7138000000000003E-2</v>
      </c>
      <c r="N80" s="217">
        <v>8.0564999999999998E-2</v>
      </c>
      <c r="O80" s="100" t="s">
        <v>347</v>
      </c>
      <c r="P80" s="218">
        <f>(K80*AU)/(C80*pc)/Photometry!$AB$19</f>
        <v>1.3653403267552624</v>
      </c>
      <c r="Q80" s="522" t="s">
        <v>86</v>
      </c>
      <c r="R80" s="100">
        <v>999</v>
      </c>
      <c r="S80" s="103"/>
    </row>
    <row r="81" spans="1:19" x14ac:dyDescent="0.25">
      <c r="A81" s="497">
        <v>79</v>
      </c>
      <c r="B81" s="100">
        <v>7.4459999999999997</v>
      </c>
      <c r="C81" s="214">
        <v>16.5017</v>
      </c>
      <c r="D81" s="215">
        <v>219.00229999999999</v>
      </c>
      <c r="E81" s="215">
        <v>9.7464999999999993</v>
      </c>
      <c r="F81" s="216" t="s">
        <v>294</v>
      </c>
      <c r="G81" s="215">
        <v>2.1800000000000002</v>
      </c>
      <c r="H81" s="215">
        <v>12.958</v>
      </c>
      <c r="I81" s="100">
        <v>0.4</v>
      </c>
      <c r="J81" s="100">
        <v>448.6</v>
      </c>
      <c r="K81" s="100">
        <v>1.1000000000000001</v>
      </c>
      <c r="L81" s="100">
        <v>0.25</v>
      </c>
      <c r="M81" s="217">
        <v>6.6659999999999997E-2</v>
      </c>
      <c r="N81" s="217">
        <v>8.3324999999999996E-2</v>
      </c>
      <c r="O81" s="100" t="s">
        <v>295</v>
      </c>
      <c r="P81" s="218">
        <f>(K81*AU)/(C81*pc)/Photometry!$AB$19</f>
        <v>1.3556224822881593</v>
      </c>
      <c r="Q81" s="522" t="s">
        <v>88</v>
      </c>
      <c r="R81" s="100">
        <v>999</v>
      </c>
      <c r="S81" s="103"/>
    </row>
    <row r="82" spans="1:19" x14ac:dyDescent="0.25">
      <c r="A82" s="497">
        <v>80</v>
      </c>
      <c r="B82" s="100">
        <v>6.2919999999999998</v>
      </c>
      <c r="C82" s="214">
        <v>32.573300000000003</v>
      </c>
      <c r="D82" s="215">
        <v>26.232600000000001</v>
      </c>
      <c r="E82" s="215">
        <v>20.083100000000002</v>
      </c>
      <c r="F82" s="216" t="s">
        <v>348</v>
      </c>
      <c r="G82" s="215">
        <v>6.38</v>
      </c>
      <c r="H82" s="215">
        <v>13.053000000000001</v>
      </c>
      <c r="I82" s="100">
        <v>0.4</v>
      </c>
      <c r="J82" s="100">
        <v>1076.4000000000001</v>
      </c>
      <c r="K82" s="100">
        <v>2.16</v>
      </c>
      <c r="L82" s="100">
        <v>0.1</v>
      </c>
      <c r="M82" s="217">
        <v>6.6311999999999996E-2</v>
      </c>
      <c r="N82" s="217">
        <v>7.2942999999999994E-2</v>
      </c>
      <c r="O82" s="100" t="s">
        <v>349</v>
      </c>
      <c r="P82" s="218">
        <f>(K82*AU)/(C82*pc)/Photometry!$AB$19</f>
        <v>1.3485490797818784</v>
      </c>
      <c r="Q82" s="522" t="s">
        <v>86</v>
      </c>
      <c r="R82" s="100">
        <v>999</v>
      </c>
      <c r="S82" s="103"/>
    </row>
    <row r="83" spans="1:19" x14ac:dyDescent="0.25">
      <c r="A83" s="497">
        <v>81</v>
      </c>
      <c r="B83" s="100">
        <v>8.3800000000000008</v>
      </c>
      <c r="C83" s="214">
        <v>26.759399999999999</v>
      </c>
      <c r="D83" s="215">
        <v>291.28989999999999</v>
      </c>
      <c r="E83" s="215">
        <v>-66.468800000000002</v>
      </c>
      <c r="F83" s="216" t="s">
        <v>290</v>
      </c>
      <c r="G83" s="215">
        <v>0.64</v>
      </c>
      <c r="H83" s="215">
        <v>12.766999999999999</v>
      </c>
      <c r="I83" s="100">
        <v>0.4</v>
      </c>
      <c r="J83" s="100">
        <v>962</v>
      </c>
      <c r="K83" s="100">
        <v>1.76</v>
      </c>
      <c r="L83" s="100">
        <v>0.28000000000000003</v>
      </c>
      <c r="M83" s="217">
        <v>6.5770999999999996E-2</v>
      </c>
      <c r="N83" s="217">
        <v>8.4186999999999998E-2</v>
      </c>
      <c r="O83" s="100" t="s">
        <v>291</v>
      </c>
      <c r="P83" s="218">
        <f>(K83*AU)/(C83*pc)/Photometry!$AB$19</f>
        <v>1.3375531897411466</v>
      </c>
      <c r="Q83" s="522" t="s">
        <v>88</v>
      </c>
      <c r="R83" s="100">
        <v>999</v>
      </c>
      <c r="S83" s="103"/>
    </row>
    <row r="84" spans="1:19" x14ac:dyDescent="0.25">
      <c r="A84" s="497">
        <v>82</v>
      </c>
      <c r="B84" s="100">
        <v>7.22</v>
      </c>
      <c r="C84" s="214">
        <v>29.568300000000001</v>
      </c>
      <c r="D84" s="215">
        <v>250.2842</v>
      </c>
      <c r="E84" s="215">
        <v>-2.8573</v>
      </c>
      <c r="F84" s="216" t="s">
        <v>350</v>
      </c>
      <c r="G84" s="215">
        <v>0.16800000000000001</v>
      </c>
      <c r="H84" s="215">
        <v>11.446</v>
      </c>
      <c r="I84" s="100">
        <v>0.4</v>
      </c>
      <c r="J84" s="100">
        <v>1096.2</v>
      </c>
      <c r="K84" s="100">
        <v>1.93</v>
      </c>
      <c r="L84" s="100">
        <v>0</v>
      </c>
      <c r="M84" s="217">
        <v>6.5272999999999998E-2</v>
      </c>
      <c r="N84" s="217">
        <v>6.5272999999999998E-2</v>
      </c>
      <c r="O84" s="100" t="s">
        <v>287</v>
      </c>
      <c r="P84" s="218">
        <f>(K84*AU)/(C84*pc)/Photometry!$AB$19</f>
        <v>1.327411934889448</v>
      </c>
      <c r="Q84" s="522" t="s">
        <v>85</v>
      </c>
      <c r="R84" s="100">
        <v>999</v>
      </c>
      <c r="S84" s="103"/>
    </row>
    <row r="85" spans="1:19" x14ac:dyDescent="0.25">
      <c r="A85" s="497">
        <v>83</v>
      </c>
      <c r="B85" s="100">
        <v>8.4499999999999993</v>
      </c>
      <c r="C85" s="214">
        <v>54.854599999999998</v>
      </c>
      <c r="D85" s="215">
        <v>16.9528</v>
      </c>
      <c r="E85" s="215">
        <v>-8.2337000000000007</v>
      </c>
      <c r="F85" s="216" t="s">
        <v>351</v>
      </c>
      <c r="G85" s="215">
        <v>1.56</v>
      </c>
      <c r="H85" s="215">
        <v>12.913</v>
      </c>
      <c r="I85" s="100">
        <v>0.4</v>
      </c>
      <c r="J85" s="100">
        <v>2496</v>
      </c>
      <c r="K85" s="100">
        <v>3.56</v>
      </c>
      <c r="L85" s="100">
        <v>0.1</v>
      </c>
      <c r="M85" s="217">
        <v>6.4898999999999998E-2</v>
      </c>
      <c r="N85" s="217">
        <v>7.1388999999999994E-2</v>
      </c>
      <c r="O85" s="100" t="s">
        <v>287</v>
      </c>
      <c r="P85" s="218">
        <f>(K85*AU)/(C85*pc)/Photometry!$AB$19</f>
        <v>1.3198108990423494</v>
      </c>
      <c r="Q85" s="522" t="s">
        <v>85</v>
      </c>
      <c r="R85" s="100">
        <v>999</v>
      </c>
      <c r="S85" s="103"/>
    </row>
    <row r="86" spans="1:19" x14ac:dyDescent="0.25">
      <c r="A86" s="497">
        <v>84</v>
      </c>
      <c r="B86" s="100">
        <v>8.02</v>
      </c>
      <c r="C86" s="214">
        <v>47.370899999999999</v>
      </c>
      <c r="D86" s="215">
        <v>322.05090000000001</v>
      </c>
      <c r="E86" s="215">
        <v>-21.726299999999998</v>
      </c>
      <c r="F86" s="216" t="s">
        <v>332</v>
      </c>
      <c r="G86" s="215">
        <v>3.55</v>
      </c>
      <c r="H86" s="215">
        <v>13.099</v>
      </c>
      <c r="I86" s="100">
        <v>0.4</v>
      </c>
      <c r="J86" s="100">
        <v>1920.1</v>
      </c>
      <c r="K86" s="100">
        <v>3.04</v>
      </c>
      <c r="L86" s="100">
        <v>0.23</v>
      </c>
      <c r="M86" s="217">
        <v>6.4173999999999995E-2</v>
      </c>
      <c r="N86" s="217">
        <v>7.8935000000000005E-2</v>
      </c>
      <c r="O86" s="100" t="s">
        <v>299</v>
      </c>
      <c r="P86" s="218">
        <f>(K86*AU)/(C86*pc)/Photometry!$AB$19</f>
        <v>1.3050787330035669</v>
      </c>
      <c r="Q86" s="522" t="s">
        <v>86</v>
      </c>
      <c r="R86" s="100">
        <v>999</v>
      </c>
      <c r="S86" s="103"/>
    </row>
    <row r="87" spans="1:19" x14ac:dyDescent="0.25">
      <c r="A87" s="497">
        <v>85</v>
      </c>
      <c r="B87" s="100">
        <v>6.8129999999999997</v>
      </c>
      <c r="C87" s="214">
        <v>32.331099999999999</v>
      </c>
      <c r="D87" s="215">
        <v>309.88729999999998</v>
      </c>
      <c r="E87" s="215">
        <v>42.248600000000003</v>
      </c>
      <c r="F87" s="216" t="s">
        <v>352</v>
      </c>
      <c r="G87" s="215">
        <v>0.79</v>
      </c>
      <c r="H87" s="215">
        <v>12.804</v>
      </c>
      <c r="I87" s="100">
        <v>0.4</v>
      </c>
      <c r="J87" s="100">
        <v>1035.7</v>
      </c>
      <c r="K87" s="100">
        <v>2.0699999999999998</v>
      </c>
      <c r="L87" s="100">
        <v>0.22</v>
      </c>
      <c r="M87" s="217">
        <v>6.4024999999999999E-2</v>
      </c>
      <c r="N87" s="217">
        <v>7.8111E-2</v>
      </c>
      <c r="O87" s="100" t="s">
        <v>287</v>
      </c>
      <c r="P87" s="218">
        <f>(K87*AU)/(C87*pc)/Photometry!$AB$19</f>
        <v>1.3020409090506233</v>
      </c>
      <c r="Q87" s="522" t="s">
        <v>85</v>
      </c>
      <c r="R87" s="100">
        <v>999</v>
      </c>
      <c r="S87" s="103"/>
    </row>
    <row r="88" spans="1:19" x14ac:dyDescent="0.25">
      <c r="A88" s="497">
        <v>86</v>
      </c>
      <c r="B88" s="100">
        <v>4.0999999999999996</v>
      </c>
      <c r="C88" s="214">
        <v>13.4916</v>
      </c>
      <c r="D88" s="215">
        <v>24.199300000000001</v>
      </c>
      <c r="E88" s="215">
        <v>41.405500000000004</v>
      </c>
      <c r="F88" s="216" t="s">
        <v>241</v>
      </c>
      <c r="G88" s="215">
        <v>1.8</v>
      </c>
      <c r="H88" s="215">
        <v>12.930999999999999</v>
      </c>
      <c r="I88" s="100">
        <v>0.4</v>
      </c>
      <c r="J88" s="100">
        <v>237.7</v>
      </c>
      <c r="K88" s="100">
        <v>0.86</v>
      </c>
      <c r="L88" s="100">
        <v>0.24</v>
      </c>
      <c r="M88" s="217">
        <v>6.3742999999999994E-2</v>
      </c>
      <c r="N88" s="217">
        <v>7.9042000000000001E-2</v>
      </c>
      <c r="O88" s="100" t="s">
        <v>242</v>
      </c>
      <c r="P88" s="218">
        <f>(K88*AU)/(C88*pc)/Photometry!$AB$19</f>
        <v>1.2963126513560013</v>
      </c>
      <c r="Q88" s="522" t="s">
        <v>84</v>
      </c>
      <c r="R88" s="100">
        <v>999</v>
      </c>
      <c r="S88" s="103"/>
    </row>
    <row r="89" spans="1:19" x14ac:dyDescent="0.25">
      <c r="A89" s="497">
        <v>87</v>
      </c>
      <c r="B89" s="100">
        <v>4.4420000000000002</v>
      </c>
      <c r="C89" s="214">
        <v>18.238199999999999</v>
      </c>
      <c r="D89" s="215">
        <v>64.120999999999995</v>
      </c>
      <c r="E89" s="215">
        <v>-59.302199999999999</v>
      </c>
      <c r="F89" s="216" t="s">
        <v>353</v>
      </c>
      <c r="G89" s="215">
        <v>1.35</v>
      </c>
      <c r="H89" s="215">
        <v>12.894</v>
      </c>
      <c r="I89" s="100">
        <v>0.4</v>
      </c>
      <c r="J89" s="100">
        <v>415.2</v>
      </c>
      <c r="K89" s="100">
        <v>1.1599999999999999</v>
      </c>
      <c r="L89" s="100">
        <v>0.06</v>
      </c>
      <c r="M89" s="217">
        <v>6.3603000000000007E-2</v>
      </c>
      <c r="N89" s="217">
        <v>6.7419000000000007E-2</v>
      </c>
      <c r="O89" s="100" t="s">
        <v>354</v>
      </c>
      <c r="P89" s="218">
        <f>(K89*AU)/(C89*pc)/Photometry!$AB$19</f>
        <v>1.2934533809920659</v>
      </c>
      <c r="Q89" s="522" t="s">
        <v>87</v>
      </c>
      <c r="R89" s="100">
        <v>999</v>
      </c>
      <c r="S89" s="103"/>
    </row>
    <row r="90" spans="1:19" x14ac:dyDescent="0.25">
      <c r="A90" s="497">
        <v>88</v>
      </c>
      <c r="B90" s="100">
        <v>5.95</v>
      </c>
      <c r="C90" s="214">
        <v>12.341100000000001</v>
      </c>
      <c r="D90" s="215">
        <v>133.14920000000001</v>
      </c>
      <c r="E90" s="215">
        <v>28.3308</v>
      </c>
      <c r="F90" s="216" t="s">
        <v>236</v>
      </c>
      <c r="G90" s="215">
        <v>0.14399999999999999</v>
      </c>
      <c r="H90" s="215">
        <v>11.276999999999999</v>
      </c>
      <c r="I90" s="100">
        <v>0.4</v>
      </c>
      <c r="J90" s="100">
        <v>260.7</v>
      </c>
      <c r="K90" s="100">
        <v>0.78</v>
      </c>
      <c r="L90" s="100">
        <v>0</v>
      </c>
      <c r="M90" s="217">
        <v>6.3202999999999995E-2</v>
      </c>
      <c r="N90" s="217">
        <v>6.3202999999999995E-2</v>
      </c>
      <c r="O90" s="100" t="s">
        <v>237</v>
      </c>
      <c r="P90" s="218">
        <f>(K90*AU)/(C90*pc)/Photometry!$AB$19</f>
        <v>1.2853325217407412</v>
      </c>
      <c r="Q90" s="522" t="s">
        <v>86</v>
      </c>
      <c r="R90" s="100">
        <v>999</v>
      </c>
      <c r="S90" s="103"/>
    </row>
    <row r="91" spans="1:19" x14ac:dyDescent="0.25">
      <c r="A91" s="497">
        <v>89</v>
      </c>
      <c r="B91" s="100">
        <v>5.08</v>
      </c>
      <c r="C91" s="214">
        <v>22.578499999999998</v>
      </c>
      <c r="D91" s="215">
        <v>48.1935</v>
      </c>
      <c r="E91" s="215">
        <v>-1.1960999999999999</v>
      </c>
      <c r="F91" s="216" t="s">
        <v>355</v>
      </c>
      <c r="G91" s="215">
        <v>1.68</v>
      </c>
      <c r="H91" s="215">
        <v>12.922000000000001</v>
      </c>
      <c r="I91" s="100">
        <v>0.4</v>
      </c>
      <c r="J91" s="100">
        <v>535.70000000000005</v>
      </c>
      <c r="K91" s="100">
        <v>1.42</v>
      </c>
      <c r="L91" s="100">
        <v>0.3</v>
      </c>
      <c r="M91" s="217">
        <v>6.2892000000000003E-2</v>
      </c>
      <c r="N91" s="217">
        <v>8.1758999999999998E-2</v>
      </c>
      <c r="O91" s="100" t="s">
        <v>321</v>
      </c>
      <c r="P91" s="218">
        <f>(K91*AU)/(C91*pc)/Photometry!$AB$19</f>
        <v>1.278992574701348</v>
      </c>
      <c r="Q91" s="522" t="s">
        <v>84</v>
      </c>
      <c r="R91" s="100">
        <v>999</v>
      </c>
      <c r="S91" s="103"/>
    </row>
    <row r="92" spans="1:19" x14ac:dyDescent="0.25">
      <c r="A92" s="497">
        <v>90</v>
      </c>
      <c r="B92" s="100">
        <v>4.3899999999999997</v>
      </c>
      <c r="C92" s="214">
        <v>25.2972</v>
      </c>
      <c r="D92" s="215">
        <v>113.5133</v>
      </c>
      <c r="E92" s="215">
        <v>-22.296099999999999</v>
      </c>
      <c r="F92" s="216" t="s">
        <v>356</v>
      </c>
      <c r="G92" s="215">
        <v>7.46</v>
      </c>
      <c r="H92" s="215">
        <v>12.974</v>
      </c>
      <c r="I92" s="100">
        <v>0.4</v>
      </c>
      <c r="J92" s="100">
        <v>607.1</v>
      </c>
      <c r="K92" s="100">
        <v>1.58</v>
      </c>
      <c r="L92" s="100">
        <v>0.04</v>
      </c>
      <c r="M92" s="217">
        <v>6.2456999999999999E-2</v>
      </c>
      <c r="N92" s="217">
        <v>6.4956E-2</v>
      </c>
      <c r="O92" s="100" t="s">
        <v>357</v>
      </c>
      <c r="P92" s="218">
        <f>(K92*AU)/(C92*pc)/Photometry!$AB$19</f>
        <v>1.2701628248918579</v>
      </c>
      <c r="Q92" s="522" t="s">
        <v>84</v>
      </c>
      <c r="R92" s="100">
        <v>999</v>
      </c>
      <c r="S92" s="103"/>
    </row>
    <row r="93" spans="1:19" x14ac:dyDescent="0.25">
      <c r="A93" s="497">
        <v>91</v>
      </c>
      <c r="B93" s="100">
        <v>7.63</v>
      </c>
      <c r="C93" s="214">
        <v>39.588299999999997</v>
      </c>
      <c r="D93" s="215">
        <v>99.036600000000007</v>
      </c>
      <c r="E93" s="215">
        <v>-27.622299999999999</v>
      </c>
      <c r="F93" s="216" t="s">
        <v>358</v>
      </c>
      <c r="G93" s="215">
        <v>0.35099999999999998</v>
      </c>
      <c r="H93" s="215">
        <v>12.347</v>
      </c>
      <c r="I93" s="100">
        <v>0.4</v>
      </c>
      <c r="J93" s="100">
        <v>1353.6</v>
      </c>
      <c r="K93" s="100">
        <v>2.4</v>
      </c>
      <c r="L93" s="100">
        <v>0.25</v>
      </c>
      <c r="M93" s="217">
        <v>6.0623999999999997E-2</v>
      </c>
      <c r="N93" s="217">
        <v>7.578E-2</v>
      </c>
      <c r="O93" s="100" t="s">
        <v>341</v>
      </c>
      <c r="P93" s="218">
        <f>(K93*AU)/(C93*pc)/Photometry!$AB$19</f>
        <v>1.2328753063253275</v>
      </c>
      <c r="Q93" s="522" t="s">
        <v>86</v>
      </c>
      <c r="R93" s="100">
        <v>999</v>
      </c>
      <c r="S93" s="103"/>
    </row>
    <row r="94" spans="1:19" x14ac:dyDescent="0.25">
      <c r="A94" s="497">
        <v>92</v>
      </c>
      <c r="B94" s="100">
        <v>8.94</v>
      </c>
      <c r="C94" s="214">
        <v>56.657200000000003</v>
      </c>
      <c r="D94" s="215">
        <v>80.8399</v>
      </c>
      <c r="E94" s="215">
        <v>-2.2776000000000001</v>
      </c>
      <c r="F94" s="216" t="s">
        <v>359</v>
      </c>
      <c r="G94" s="215">
        <v>2.54</v>
      </c>
      <c r="H94" s="215">
        <v>12.99</v>
      </c>
      <c r="I94" s="100">
        <v>0.4</v>
      </c>
      <c r="J94" s="100">
        <v>2443</v>
      </c>
      <c r="K94" s="100">
        <v>3.43</v>
      </c>
      <c r="L94" s="100">
        <v>0.08</v>
      </c>
      <c r="M94" s="217">
        <v>6.0539999999999997E-2</v>
      </c>
      <c r="N94" s="217">
        <v>6.5382999999999997E-2</v>
      </c>
      <c r="O94" s="100" t="s">
        <v>349</v>
      </c>
      <c r="P94" s="218">
        <f>(K94*AU)/(C94*pc)/Photometry!$AB$19</f>
        <v>1.2311579595402879</v>
      </c>
      <c r="Q94" s="522" t="s">
        <v>84</v>
      </c>
      <c r="R94" s="100">
        <v>999</v>
      </c>
      <c r="S94" s="103"/>
    </row>
    <row r="95" spans="1:19" x14ac:dyDescent="0.25">
      <c r="A95" s="497">
        <v>93</v>
      </c>
      <c r="B95" s="100">
        <v>1.996</v>
      </c>
      <c r="C95" s="214">
        <v>20.177600000000002</v>
      </c>
      <c r="D95" s="215">
        <v>31.793399999999998</v>
      </c>
      <c r="E95" s="215">
        <v>23.462399999999999</v>
      </c>
      <c r="F95" s="216" t="s">
        <v>360</v>
      </c>
      <c r="G95" s="215">
        <v>1.8</v>
      </c>
      <c r="H95" s="215">
        <v>12.930999999999999</v>
      </c>
      <c r="I95" s="100">
        <v>0.4</v>
      </c>
      <c r="J95" s="100">
        <v>380.8</v>
      </c>
      <c r="K95" s="100">
        <v>1.2</v>
      </c>
      <c r="L95" s="100">
        <v>0.25</v>
      </c>
      <c r="M95" s="217">
        <v>5.9471999999999997E-2</v>
      </c>
      <c r="N95" s="217">
        <v>7.4340000000000003E-2</v>
      </c>
      <c r="O95" s="100" t="s">
        <v>354</v>
      </c>
      <c r="P95" s="218">
        <f>(K95*AU)/(C95*pc)/Photometry!$AB$19</f>
        <v>1.2094460562554255</v>
      </c>
      <c r="Q95" s="522" t="s">
        <v>87</v>
      </c>
      <c r="R95" s="100">
        <v>999</v>
      </c>
      <c r="S95" s="103"/>
    </row>
    <row r="96" spans="1:19" x14ac:dyDescent="0.25">
      <c r="A96" s="497">
        <v>94</v>
      </c>
      <c r="B96" s="100">
        <v>5.15</v>
      </c>
      <c r="C96" s="214">
        <v>15.511100000000001</v>
      </c>
      <c r="D96" s="215">
        <v>266.03629999999998</v>
      </c>
      <c r="E96" s="215">
        <v>-51.834099999999999</v>
      </c>
      <c r="F96" s="216" t="s">
        <v>243</v>
      </c>
      <c r="G96" s="215">
        <v>0.52200000000000002</v>
      </c>
      <c r="H96" s="215">
        <v>12.64</v>
      </c>
      <c r="I96" s="100">
        <v>0.4</v>
      </c>
      <c r="J96" s="100">
        <v>310.5</v>
      </c>
      <c r="K96" s="100">
        <v>0.92</v>
      </c>
      <c r="L96" s="100">
        <v>7.0000000000000007E-2</v>
      </c>
      <c r="M96" s="217">
        <v>5.9311999999999997E-2</v>
      </c>
      <c r="N96" s="217">
        <v>6.3464000000000007E-2</v>
      </c>
      <c r="O96" s="100" t="s">
        <v>244</v>
      </c>
      <c r="P96" s="218">
        <f>(K96*AU)/(C96*pc)/Photometry!$AB$19</f>
        <v>1.206201862167712</v>
      </c>
      <c r="Q96" s="522" t="s">
        <v>86</v>
      </c>
      <c r="R96" s="100">
        <v>999</v>
      </c>
      <c r="S96" s="103"/>
    </row>
    <row r="97" spans="1:19" x14ac:dyDescent="0.25">
      <c r="A97" s="497">
        <v>95</v>
      </c>
      <c r="B97" s="100">
        <v>7.48</v>
      </c>
      <c r="C97" s="214">
        <v>38.925699999999999</v>
      </c>
      <c r="D97" s="215">
        <v>18.622199999999999</v>
      </c>
      <c r="E97" s="215">
        <v>-5.0473999999999997</v>
      </c>
      <c r="F97" s="216" t="s">
        <v>278</v>
      </c>
      <c r="G97" s="215">
        <v>1.1100000000000001</v>
      </c>
      <c r="H97" s="215">
        <v>12.856999999999999</v>
      </c>
      <c r="I97" s="100">
        <v>0.4</v>
      </c>
      <c r="J97" s="100">
        <v>1275</v>
      </c>
      <c r="K97" s="100">
        <v>2.2999999999999998</v>
      </c>
      <c r="L97" s="100">
        <v>0.82</v>
      </c>
      <c r="M97" s="217">
        <v>5.9087000000000001E-2</v>
      </c>
      <c r="N97" s="217">
        <v>0.10754</v>
      </c>
      <c r="O97" s="100" t="s">
        <v>279</v>
      </c>
      <c r="P97" s="218">
        <f>(K97*AU)/(C97*pc)/Photometry!$AB$19</f>
        <v>1.201617292962593</v>
      </c>
      <c r="Q97" s="522" t="s">
        <v>84</v>
      </c>
      <c r="R97" s="100">
        <v>999</v>
      </c>
      <c r="S97" s="103"/>
    </row>
    <row r="98" spans="1:19" x14ac:dyDescent="0.25">
      <c r="A98" s="497">
        <v>96</v>
      </c>
      <c r="B98" s="100">
        <v>7.73</v>
      </c>
      <c r="C98" s="214">
        <v>33.1126</v>
      </c>
      <c r="D98" s="215">
        <v>140.9462</v>
      </c>
      <c r="E98" s="215">
        <v>20.3645</v>
      </c>
      <c r="F98" s="216" t="s">
        <v>361</v>
      </c>
      <c r="G98" s="215">
        <v>6.86</v>
      </c>
      <c r="H98" s="215">
        <v>13.022</v>
      </c>
      <c r="I98" s="100">
        <v>0.4</v>
      </c>
      <c r="J98" s="100">
        <v>1001.7</v>
      </c>
      <c r="K98" s="100">
        <v>1.94</v>
      </c>
      <c r="L98" s="100">
        <v>0.53</v>
      </c>
      <c r="M98" s="217">
        <v>5.8588000000000001E-2</v>
      </c>
      <c r="N98" s="217">
        <v>8.9639999999999997E-2</v>
      </c>
      <c r="O98" s="100" t="s">
        <v>266</v>
      </c>
      <c r="P98" s="218">
        <f>(K98*AU)/(C98*pc)/Photometry!$AB$19</f>
        <v>1.1914702752808344</v>
      </c>
      <c r="Q98" s="522" t="s">
        <v>85</v>
      </c>
      <c r="R98" s="100">
        <v>999</v>
      </c>
      <c r="S98" s="103"/>
    </row>
    <row r="99" spans="1:19" x14ac:dyDescent="0.25">
      <c r="A99" s="497">
        <v>97</v>
      </c>
      <c r="B99" s="100">
        <v>7.55</v>
      </c>
      <c r="C99" s="214">
        <v>20.5002</v>
      </c>
      <c r="D99" s="215">
        <v>198.1824</v>
      </c>
      <c r="E99" s="215">
        <v>-2.2650000000000001</v>
      </c>
      <c r="F99" s="216" t="s">
        <v>362</v>
      </c>
      <c r="G99" s="215">
        <v>1</v>
      </c>
      <c r="H99" s="215">
        <v>12.840999999999999</v>
      </c>
      <c r="I99" s="100">
        <v>0.4</v>
      </c>
      <c r="J99" s="100">
        <v>501</v>
      </c>
      <c r="K99" s="100">
        <v>1.2</v>
      </c>
      <c r="L99" s="100">
        <v>0.1</v>
      </c>
      <c r="M99" s="217">
        <v>5.8535999999999998E-2</v>
      </c>
      <c r="N99" s="217">
        <v>6.4390000000000003E-2</v>
      </c>
      <c r="O99" s="100" t="s">
        <v>363</v>
      </c>
      <c r="P99" s="218">
        <f>(K99*AU)/(C99*pc)/Photometry!$AB$19</f>
        <v>1.190413690827381</v>
      </c>
      <c r="Q99" s="522" t="s">
        <v>87</v>
      </c>
      <c r="R99" s="100">
        <v>999</v>
      </c>
      <c r="S99" s="103"/>
    </row>
    <row r="100" spans="1:19" x14ac:dyDescent="0.25">
      <c r="A100" s="497">
        <v>98</v>
      </c>
      <c r="B100" s="100">
        <v>4.2549999999999999</v>
      </c>
      <c r="C100" s="214">
        <v>6.0434000000000001</v>
      </c>
      <c r="D100" s="215">
        <v>49.981900000000003</v>
      </c>
      <c r="E100" s="215">
        <v>-43.069800000000001</v>
      </c>
      <c r="F100" s="216" t="s">
        <v>364</v>
      </c>
      <c r="G100" s="215">
        <v>1.4999999999999999E-2</v>
      </c>
      <c r="H100" s="215">
        <v>1.5189999999999999</v>
      </c>
      <c r="I100" s="100">
        <v>0.4</v>
      </c>
      <c r="J100" s="100">
        <v>90.3</v>
      </c>
      <c r="K100" s="100">
        <v>0.35</v>
      </c>
      <c r="L100" s="100">
        <v>0</v>
      </c>
      <c r="M100" s="217">
        <v>5.7915000000000001E-2</v>
      </c>
      <c r="N100" s="217">
        <v>5.7915000000000001E-2</v>
      </c>
      <c r="O100" s="100" t="s">
        <v>237</v>
      </c>
      <c r="P100" s="218">
        <f>(K100*AU)/(C100*pc)/Photometry!$AB$19</f>
        <v>1.1777726611737347</v>
      </c>
      <c r="Q100" s="522" t="s">
        <v>86</v>
      </c>
      <c r="R100" s="100">
        <v>999</v>
      </c>
      <c r="S100" s="103"/>
    </row>
    <row r="101" spans="1:19" x14ac:dyDescent="0.25">
      <c r="A101" s="497">
        <v>99</v>
      </c>
      <c r="B101" s="100">
        <v>8.26</v>
      </c>
      <c r="C101" s="214">
        <v>54.914900000000003</v>
      </c>
      <c r="D101" s="215">
        <v>120.8694</v>
      </c>
      <c r="E101" s="215">
        <v>-1.1627000000000001</v>
      </c>
      <c r="F101" s="216" t="s">
        <v>365</v>
      </c>
      <c r="G101" s="215">
        <v>2.82</v>
      </c>
      <c r="H101" s="215">
        <v>13.02</v>
      </c>
      <c r="I101" s="100">
        <v>0.4</v>
      </c>
      <c r="J101" s="100">
        <v>1973</v>
      </c>
      <c r="K101" s="100">
        <v>3.18</v>
      </c>
      <c r="L101" s="100">
        <v>0.47</v>
      </c>
      <c r="M101" s="217">
        <v>5.7908000000000001E-2</v>
      </c>
      <c r="N101" s="217">
        <v>8.5124000000000005E-2</v>
      </c>
      <c r="O101" s="100" t="s">
        <v>281</v>
      </c>
      <c r="P101" s="218">
        <f>(K101*AU)/(C101*pc)/Photometry!$AB$19</f>
        <v>1.1776376661607981</v>
      </c>
      <c r="Q101" s="522" t="s">
        <v>86</v>
      </c>
      <c r="R101" s="100">
        <v>999</v>
      </c>
      <c r="S101" s="103"/>
    </row>
    <row r="102" spans="1:19" x14ac:dyDescent="0.25">
      <c r="A102" s="497">
        <v>100</v>
      </c>
      <c r="B102" s="100">
        <v>7.93</v>
      </c>
      <c r="C102" s="214">
        <v>45.045000000000002</v>
      </c>
      <c r="D102" s="215">
        <v>149.12440000000001</v>
      </c>
      <c r="E102" s="215">
        <v>-24.099399999999999</v>
      </c>
      <c r="F102" s="216" t="s">
        <v>366</v>
      </c>
      <c r="G102" s="215">
        <v>1.5</v>
      </c>
      <c r="H102" s="215">
        <v>12.909000000000001</v>
      </c>
      <c r="I102" s="100">
        <v>0.4</v>
      </c>
      <c r="J102" s="100">
        <v>1534</v>
      </c>
      <c r="K102" s="100">
        <v>2.6</v>
      </c>
      <c r="L102" s="100">
        <v>0.73</v>
      </c>
      <c r="M102" s="217">
        <v>5.772E-2</v>
      </c>
      <c r="N102" s="217">
        <v>9.9856E-2</v>
      </c>
      <c r="O102" s="100" t="s">
        <v>367</v>
      </c>
      <c r="P102" s="218">
        <f>(K102*AU)/(C102*pc)/Photometry!$AB$19</f>
        <v>1.1738200454400902</v>
      </c>
      <c r="Q102" s="522" t="s">
        <v>85</v>
      </c>
      <c r="R102" s="100">
        <v>999</v>
      </c>
      <c r="S102" s="103"/>
    </row>
    <row r="103" spans="1:19" x14ac:dyDescent="0.25">
      <c r="A103" s="497">
        <v>101</v>
      </c>
      <c r="B103" s="100">
        <v>6.69</v>
      </c>
      <c r="C103" s="214">
        <v>36.114100000000001</v>
      </c>
      <c r="D103" s="215">
        <v>198.18440000000001</v>
      </c>
      <c r="E103" s="215">
        <v>-31.8733</v>
      </c>
      <c r="F103" s="216" t="s">
        <v>368</v>
      </c>
      <c r="G103" s="215">
        <v>0.84</v>
      </c>
      <c r="H103" s="215">
        <v>12.813000000000001</v>
      </c>
      <c r="I103" s="100">
        <v>0.4</v>
      </c>
      <c r="J103" s="100">
        <v>1135</v>
      </c>
      <c r="K103" s="100">
        <v>2.08</v>
      </c>
      <c r="L103" s="100">
        <v>0.32</v>
      </c>
      <c r="M103" s="217">
        <v>5.7595E-2</v>
      </c>
      <c r="N103" s="217">
        <v>7.6025999999999996E-2</v>
      </c>
      <c r="O103" s="100" t="s">
        <v>266</v>
      </c>
      <c r="P103" s="218">
        <f>(K103*AU)/(C103*pc)/Photometry!$AB$19</f>
        <v>1.1712815536723633</v>
      </c>
      <c r="Q103" s="522" t="s">
        <v>85</v>
      </c>
      <c r="R103" s="100">
        <v>999</v>
      </c>
      <c r="S103" s="103"/>
    </row>
    <row r="104" spans="1:19" x14ac:dyDescent="0.25">
      <c r="A104" s="497">
        <v>102</v>
      </c>
      <c r="B104" s="100">
        <v>7.24</v>
      </c>
      <c r="C104" s="214">
        <v>50.428600000000003</v>
      </c>
      <c r="D104" s="215">
        <v>57.001600000000003</v>
      </c>
      <c r="E104" s="215">
        <v>40.5306</v>
      </c>
      <c r="F104" s="216" t="s">
        <v>369</v>
      </c>
      <c r="G104" s="215">
        <v>8.1</v>
      </c>
      <c r="H104" s="215">
        <v>12.923</v>
      </c>
      <c r="I104" s="100">
        <v>0.4</v>
      </c>
      <c r="J104" s="100">
        <v>1565</v>
      </c>
      <c r="K104" s="100">
        <v>2.88</v>
      </c>
      <c r="L104" s="100">
        <v>0.28999999999999998</v>
      </c>
      <c r="M104" s="217">
        <v>5.7110000000000001E-2</v>
      </c>
      <c r="N104" s="217">
        <v>7.3672000000000001E-2</v>
      </c>
      <c r="O104" s="100" t="s">
        <v>370</v>
      </c>
      <c r="P104" s="218">
        <f>(K104*AU)/(C104*pc)/Photometry!$AB$19</f>
        <v>1.1614227836441771</v>
      </c>
      <c r="Q104" s="522" t="s">
        <v>84</v>
      </c>
      <c r="R104" s="100">
        <v>999</v>
      </c>
      <c r="S104" s="103"/>
    </row>
    <row r="105" spans="1:19" x14ac:dyDescent="0.25">
      <c r="A105" s="497">
        <v>103</v>
      </c>
      <c r="B105" s="100">
        <v>8.07</v>
      </c>
      <c r="C105" s="214">
        <v>45.3309</v>
      </c>
      <c r="D105" s="215">
        <v>318.7407</v>
      </c>
      <c r="E105" s="215">
        <v>-20.789200000000001</v>
      </c>
      <c r="F105" s="216" t="s">
        <v>371</v>
      </c>
      <c r="G105" s="215">
        <v>2.44</v>
      </c>
      <c r="H105" s="215">
        <v>12.98</v>
      </c>
      <c r="I105" s="100">
        <v>0.4</v>
      </c>
      <c r="J105" s="100">
        <v>1383.4</v>
      </c>
      <c r="K105" s="100">
        <v>2.5499999999999998</v>
      </c>
      <c r="L105" s="100">
        <v>0.27</v>
      </c>
      <c r="M105" s="217">
        <v>5.6252999999999997E-2</v>
      </c>
      <c r="N105" s="217">
        <v>7.1441000000000004E-2</v>
      </c>
      <c r="O105" s="100" t="s">
        <v>341</v>
      </c>
      <c r="P105" s="218">
        <f>(K105*AU)/(C105*pc)/Photometry!$AB$19</f>
        <v>1.1439857212737092</v>
      </c>
      <c r="Q105" s="522" t="s">
        <v>86</v>
      </c>
      <c r="R105" s="100">
        <v>999</v>
      </c>
      <c r="S105" s="103"/>
    </row>
    <row r="106" spans="1:19" x14ac:dyDescent="0.25">
      <c r="A106" s="497">
        <v>104</v>
      </c>
      <c r="B106" s="100">
        <v>4.74</v>
      </c>
      <c r="C106" s="214">
        <v>8.5550999999999995</v>
      </c>
      <c r="D106" s="215">
        <v>199.60130000000001</v>
      </c>
      <c r="E106" s="215">
        <v>-18.311199999999999</v>
      </c>
      <c r="F106" s="216" t="s">
        <v>372</v>
      </c>
      <c r="G106" s="215">
        <v>7.1999999999999995E-2</v>
      </c>
      <c r="H106" s="215">
        <v>9.4779999999999998</v>
      </c>
      <c r="I106" s="100">
        <v>0.4</v>
      </c>
      <c r="J106" s="100">
        <v>123</v>
      </c>
      <c r="K106" s="100">
        <v>0.48</v>
      </c>
      <c r="L106" s="100">
        <v>0.35</v>
      </c>
      <c r="M106" s="217">
        <v>5.6106999999999997E-2</v>
      </c>
      <c r="N106" s="217">
        <v>7.5745000000000007E-2</v>
      </c>
      <c r="O106" s="100" t="s">
        <v>373</v>
      </c>
      <c r="P106" s="218">
        <f>(K106*AU)/(C106*pc)/Photometry!$AB$19</f>
        <v>1.1410138394501281</v>
      </c>
      <c r="Q106" s="522" t="s">
        <v>86</v>
      </c>
      <c r="R106" s="100">
        <v>999</v>
      </c>
      <c r="S106" s="103"/>
    </row>
    <row r="107" spans="1:19" x14ac:dyDescent="0.25">
      <c r="A107" s="497">
        <v>105</v>
      </c>
      <c r="B107" s="100">
        <v>7.78</v>
      </c>
      <c r="C107" s="214">
        <v>54.975299999999997</v>
      </c>
      <c r="D107" s="215">
        <v>58.956000000000003</v>
      </c>
      <c r="E107" s="215">
        <v>-65.186700000000002</v>
      </c>
      <c r="F107" s="216" t="s">
        <v>374</v>
      </c>
      <c r="G107" s="215">
        <v>0.95</v>
      </c>
      <c r="H107" s="215">
        <v>12.833</v>
      </c>
      <c r="I107" s="100">
        <v>0.4</v>
      </c>
      <c r="J107" s="100">
        <v>1845</v>
      </c>
      <c r="K107" s="100">
        <v>3.02</v>
      </c>
      <c r="L107" s="100">
        <v>0.08</v>
      </c>
      <c r="M107" s="217">
        <v>5.4933999999999997E-2</v>
      </c>
      <c r="N107" s="217">
        <v>5.9329E-2</v>
      </c>
      <c r="O107" s="100" t="s">
        <v>321</v>
      </c>
      <c r="P107" s="218">
        <f>(K107*AU)/(C107*pc)/Photometry!$AB$19</f>
        <v>1.1171567141515133</v>
      </c>
      <c r="Q107" s="522" t="s">
        <v>84</v>
      </c>
      <c r="R107" s="100">
        <v>999</v>
      </c>
      <c r="S107" s="103"/>
    </row>
    <row r="108" spans="1:19" x14ac:dyDescent="0.25">
      <c r="A108" s="497">
        <v>106</v>
      </c>
      <c r="B108" s="100">
        <v>5.4</v>
      </c>
      <c r="C108" s="214">
        <v>17.167400000000001</v>
      </c>
      <c r="D108" s="215">
        <v>40.639400000000002</v>
      </c>
      <c r="E108" s="215">
        <v>-50.8003</v>
      </c>
      <c r="F108" s="216" t="s">
        <v>375</v>
      </c>
      <c r="G108" s="215">
        <v>2.2599999999999998</v>
      </c>
      <c r="H108" s="215">
        <v>12.962999999999999</v>
      </c>
      <c r="I108" s="100">
        <v>0.4</v>
      </c>
      <c r="J108" s="100">
        <v>320.10000000000002</v>
      </c>
      <c r="K108" s="100">
        <v>0.93</v>
      </c>
      <c r="L108" s="100">
        <v>0.16</v>
      </c>
      <c r="M108" s="217">
        <v>5.4172999999999999E-2</v>
      </c>
      <c r="N108" s="217">
        <v>6.2839999999999993E-2</v>
      </c>
      <c r="O108" s="100" t="s">
        <v>321</v>
      </c>
      <c r="P108" s="218">
        <f>(K108*AU)/(C108*pc)/Photometry!$AB$19</f>
        <v>1.1016742213230946</v>
      </c>
      <c r="Q108" s="522" t="s">
        <v>84</v>
      </c>
      <c r="R108" s="100">
        <v>999</v>
      </c>
      <c r="S108" s="103"/>
    </row>
    <row r="109" spans="1:19" x14ac:dyDescent="0.25">
      <c r="A109" s="497">
        <v>107</v>
      </c>
      <c r="B109" s="100">
        <v>7.61</v>
      </c>
      <c r="C109" s="214">
        <v>64.433000000000007</v>
      </c>
      <c r="D109" s="215">
        <v>130.60470000000001</v>
      </c>
      <c r="E109" s="215">
        <v>4.5781000000000001</v>
      </c>
      <c r="F109" s="216" t="s">
        <v>376</v>
      </c>
      <c r="G109" s="215">
        <v>8.0299999999999994</v>
      </c>
      <c r="H109" s="215">
        <v>12.928000000000001</v>
      </c>
      <c r="I109" s="100">
        <v>0.4</v>
      </c>
      <c r="J109" s="100">
        <v>2476</v>
      </c>
      <c r="K109" s="100">
        <v>3.4</v>
      </c>
      <c r="L109" s="100">
        <v>0.43</v>
      </c>
      <c r="M109" s="217">
        <v>5.2768000000000002E-2</v>
      </c>
      <c r="N109" s="217">
        <v>7.5457999999999997E-2</v>
      </c>
      <c r="O109" s="100" t="s">
        <v>287</v>
      </c>
      <c r="P109" s="218">
        <f>(K109*AU)/(C109*pc)/Photometry!$AB$19</f>
        <v>1.073112687235555</v>
      </c>
      <c r="Q109" s="522" t="s">
        <v>85</v>
      </c>
      <c r="R109" s="100">
        <v>999</v>
      </c>
      <c r="S109" s="103"/>
    </row>
    <row r="110" spans="1:19" x14ac:dyDescent="0.25">
      <c r="A110" s="497">
        <v>108</v>
      </c>
      <c r="B110" s="100">
        <v>5.0949999999999998</v>
      </c>
      <c r="C110" s="214">
        <v>20.8855</v>
      </c>
      <c r="D110" s="215">
        <v>80.639700000000005</v>
      </c>
      <c r="E110" s="215">
        <v>79.231200000000001</v>
      </c>
      <c r="F110" s="216" t="s">
        <v>377</v>
      </c>
      <c r="G110" s="215">
        <v>9.1</v>
      </c>
      <c r="H110" s="215">
        <v>12.843</v>
      </c>
      <c r="I110" s="100">
        <v>0.4</v>
      </c>
      <c r="J110" s="100">
        <v>388</v>
      </c>
      <c r="K110" s="100">
        <v>1.1000000000000001</v>
      </c>
      <c r="L110" s="100">
        <v>0.34</v>
      </c>
      <c r="M110" s="217">
        <v>5.2668E-2</v>
      </c>
      <c r="N110" s="217">
        <v>7.0574999999999999E-2</v>
      </c>
      <c r="O110" s="100" t="s">
        <v>378</v>
      </c>
      <c r="P110" s="218">
        <f>(K110*AU)/(C110*pc)/Photometry!$AB$19</f>
        <v>1.071081636349358</v>
      </c>
      <c r="Q110" s="522" t="s">
        <v>84</v>
      </c>
      <c r="R110" s="100">
        <v>999</v>
      </c>
      <c r="S110" s="103"/>
    </row>
    <row r="111" spans="1:19" x14ac:dyDescent="0.25">
      <c r="A111" s="497">
        <v>109</v>
      </c>
      <c r="B111" s="100">
        <v>7.79</v>
      </c>
      <c r="C111" s="214">
        <v>32.372900000000001</v>
      </c>
      <c r="D111" s="215">
        <v>11.111000000000001</v>
      </c>
      <c r="E111" s="215">
        <v>-26.515699999999999</v>
      </c>
      <c r="F111" s="216" t="s">
        <v>379</v>
      </c>
      <c r="G111" s="215">
        <v>0.8</v>
      </c>
      <c r="H111" s="215">
        <v>12.805999999999999</v>
      </c>
      <c r="I111" s="100">
        <v>0.4</v>
      </c>
      <c r="J111" s="100">
        <v>829</v>
      </c>
      <c r="K111" s="100">
        <v>1.7</v>
      </c>
      <c r="L111" s="100">
        <v>0.04</v>
      </c>
      <c r="M111" s="217">
        <v>5.2512999999999997E-2</v>
      </c>
      <c r="N111" s="217">
        <v>5.4614000000000003E-2</v>
      </c>
      <c r="O111" s="100" t="s">
        <v>380</v>
      </c>
      <c r="P111" s="218">
        <f>(K111*AU)/(C111*pc)/Photometry!$AB$19</f>
        <v>1.0679282637120635</v>
      </c>
      <c r="Q111" s="522" t="s">
        <v>86</v>
      </c>
      <c r="R111" s="100">
        <v>999</v>
      </c>
      <c r="S111" s="103"/>
    </row>
    <row r="112" spans="1:19" x14ac:dyDescent="0.25">
      <c r="A112" s="497">
        <v>110</v>
      </c>
      <c r="B112" s="100">
        <v>6.63</v>
      </c>
      <c r="C112" s="214">
        <v>21.561</v>
      </c>
      <c r="D112" s="215">
        <v>332.37439999999998</v>
      </c>
      <c r="E112" s="215">
        <v>-7.5487000000000002</v>
      </c>
      <c r="F112" s="216" t="s">
        <v>381</v>
      </c>
      <c r="G112" s="215">
        <v>1.23</v>
      </c>
      <c r="H112" s="215">
        <v>12.875999999999999</v>
      </c>
      <c r="I112" s="100">
        <v>0.4</v>
      </c>
      <c r="J112" s="100">
        <v>442.1</v>
      </c>
      <c r="K112" s="100">
        <v>1.1000000000000001</v>
      </c>
      <c r="L112" s="100">
        <v>0.47</v>
      </c>
      <c r="M112" s="217">
        <v>5.1018000000000001E-2</v>
      </c>
      <c r="N112" s="217">
        <v>7.4995999999999993E-2</v>
      </c>
      <c r="O112" s="100" t="s">
        <v>287</v>
      </c>
      <c r="P112" s="218">
        <f>(K112*AU)/(C112*pc)/Photometry!$AB$19</f>
        <v>1.0375249532013597</v>
      </c>
      <c r="Q112" s="522" t="s">
        <v>85</v>
      </c>
      <c r="R112" s="100">
        <v>999</v>
      </c>
      <c r="S112" s="103"/>
    </row>
    <row r="113" spans="1:19" x14ac:dyDescent="0.25">
      <c r="A113" s="497">
        <v>111</v>
      </c>
      <c r="B113" s="100">
        <v>7.68</v>
      </c>
      <c r="C113" s="214">
        <v>33.67</v>
      </c>
      <c r="D113" s="215">
        <v>84.260400000000004</v>
      </c>
      <c r="E113" s="215">
        <v>20.730799999999999</v>
      </c>
      <c r="F113" s="216" t="s">
        <v>330</v>
      </c>
      <c r="G113" s="215">
        <v>0.65200000000000002</v>
      </c>
      <c r="H113" s="215">
        <v>12.779</v>
      </c>
      <c r="I113" s="100">
        <v>0.4</v>
      </c>
      <c r="J113" s="100">
        <v>885.5</v>
      </c>
      <c r="K113" s="100">
        <v>1.71</v>
      </c>
      <c r="L113" s="100">
        <v>0.13</v>
      </c>
      <c r="M113" s="217">
        <v>5.0786999999999999E-2</v>
      </c>
      <c r="N113" s="217">
        <v>5.7389000000000003E-2</v>
      </c>
      <c r="O113" s="100" t="s">
        <v>331</v>
      </c>
      <c r="P113" s="218">
        <f>(K113*AU)/(C113*pc)/Photometry!$AB$19</f>
        <v>1.0328274193999629</v>
      </c>
      <c r="Q113" s="522" t="s">
        <v>86</v>
      </c>
      <c r="R113" s="100">
        <v>999</v>
      </c>
      <c r="S113" s="103"/>
    </row>
    <row r="114" spans="1:19" x14ac:dyDescent="0.25">
      <c r="A114" s="497">
        <v>112</v>
      </c>
      <c r="B114" s="100">
        <v>7.58</v>
      </c>
      <c r="C114" s="214">
        <v>84.889600000000002</v>
      </c>
      <c r="D114" s="215">
        <v>183.40539999999999</v>
      </c>
      <c r="E114" s="215">
        <v>-9.5134000000000007</v>
      </c>
      <c r="F114" s="216" t="s">
        <v>382</v>
      </c>
      <c r="G114" s="215">
        <v>11</v>
      </c>
      <c r="H114" s="215">
        <v>12.692</v>
      </c>
      <c r="I114" s="100">
        <v>0.4</v>
      </c>
      <c r="J114" s="100">
        <v>2890</v>
      </c>
      <c r="K114" s="100">
        <v>4.3</v>
      </c>
      <c r="L114" s="100">
        <v>0.4</v>
      </c>
      <c r="M114" s="217">
        <v>5.0653999999999998E-2</v>
      </c>
      <c r="N114" s="217">
        <v>7.0916000000000007E-2</v>
      </c>
      <c r="O114" s="100" t="s">
        <v>281</v>
      </c>
      <c r="P114" s="218">
        <f>(K114*AU)/(C114*pc)/Photometry!$AB$19</f>
        <v>1.0301221685008897</v>
      </c>
      <c r="Q114" s="522" t="s">
        <v>86</v>
      </c>
      <c r="R114" s="100">
        <v>999</v>
      </c>
      <c r="S114" s="103"/>
    </row>
    <row r="115" spans="1:19" x14ac:dyDescent="0.25">
      <c r="A115" s="497">
        <v>113</v>
      </c>
      <c r="B115" s="100">
        <v>8.65</v>
      </c>
      <c r="C115" s="214">
        <v>50.276499999999999</v>
      </c>
      <c r="D115" s="215">
        <v>278.68200000000002</v>
      </c>
      <c r="E115" s="215">
        <v>-28.072299999999998</v>
      </c>
      <c r="F115" s="216" t="s">
        <v>383</v>
      </c>
      <c r="G115" s="215">
        <v>2.6</v>
      </c>
      <c r="H115" s="215">
        <v>12.997</v>
      </c>
      <c r="I115" s="100">
        <v>0.4</v>
      </c>
      <c r="J115" s="100">
        <v>1523</v>
      </c>
      <c r="K115" s="100">
        <v>2.54</v>
      </c>
      <c r="L115" s="100">
        <v>0.4</v>
      </c>
      <c r="M115" s="217">
        <v>5.0521000000000003E-2</v>
      </c>
      <c r="N115" s="217">
        <v>7.0729E-2</v>
      </c>
      <c r="O115" s="100" t="s">
        <v>237</v>
      </c>
      <c r="P115" s="218">
        <f>(K115*AU)/(C115*pc)/Photometry!$AB$19</f>
        <v>1.0274091873860332</v>
      </c>
      <c r="Q115" s="522" t="s">
        <v>86</v>
      </c>
      <c r="R115" s="100">
        <v>999</v>
      </c>
      <c r="S115" s="103"/>
    </row>
    <row r="116" spans="1:19" x14ac:dyDescent="0.25">
      <c r="A116" s="497">
        <v>114</v>
      </c>
      <c r="B116" s="100">
        <v>5.95</v>
      </c>
      <c r="C116" s="214">
        <v>12.4938</v>
      </c>
      <c r="D116" s="215">
        <v>124.5998</v>
      </c>
      <c r="E116" s="215">
        <v>-12.632199999999999</v>
      </c>
      <c r="F116" s="216" t="s">
        <v>384</v>
      </c>
      <c r="G116" s="215">
        <v>5.8000000000000003E-2</v>
      </c>
      <c r="H116" s="215">
        <v>8.5649999999999995</v>
      </c>
      <c r="I116" s="100">
        <v>0.4</v>
      </c>
      <c r="J116" s="100">
        <v>197</v>
      </c>
      <c r="K116" s="100">
        <v>0.63</v>
      </c>
      <c r="L116" s="100">
        <v>7.0000000000000007E-2</v>
      </c>
      <c r="M116" s="217">
        <v>5.0424999999999998E-2</v>
      </c>
      <c r="N116" s="217">
        <v>5.3955000000000003E-2</v>
      </c>
      <c r="O116" s="100" t="s">
        <v>385</v>
      </c>
      <c r="P116" s="218">
        <f>(K116*AU)/(C116*pc)/Photometry!$AB$19</f>
        <v>1.0254648178270203</v>
      </c>
      <c r="Q116" s="522" t="s">
        <v>86</v>
      </c>
      <c r="R116" s="100">
        <v>999</v>
      </c>
      <c r="S116" s="103"/>
    </row>
    <row r="117" spans="1:19" x14ac:dyDescent="0.25">
      <c r="A117" s="497">
        <v>115</v>
      </c>
      <c r="B117" s="100">
        <v>6.8</v>
      </c>
      <c r="C117" s="214">
        <v>40.633899999999997</v>
      </c>
      <c r="D117" s="215">
        <v>337.75150000000002</v>
      </c>
      <c r="E117" s="215">
        <v>-49.433300000000003</v>
      </c>
      <c r="F117" s="216" t="s">
        <v>386</v>
      </c>
      <c r="G117" s="215">
        <v>4.5</v>
      </c>
      <c r="H117" s="215">
        <v>13.118</v>
      </c>
      <c r="I117" s="100">
        <v>0.4</v>
      </c>
      <c r="J117" s="100">
        <v>951</v>
      </c>
      <c r="K117" s="100">
        <v>2.0299999999999998</v>
      </c>
      <c r="L117" s="100">
        <v>0.45</v>
      </c>
      <c r="M117" s="217">
        <v>4.9958000000000002E-2</v>
      </c>
      <c r="N117" s="217">
        <v>7.2440000000000004E-2</v>
      </c>
      <c r="O117" s="100" t="s">
        <v>387</v>
      </c>
      <c r="P117" s="218">
        <f>(K117*AU)/(C117*pc)/Photometry!$AB$19</f>
        <v>1.0159733016795487</v>
      </c>
      <c r="Q117" s="522" t="s">
        <v>85</v>
      </c>
      <c r="R117" s="100">
        <v>999</v>
      </c>
      <c r="S117" s="103"/>
    </row>
    <row r="118" spans="1:19" x14ac:dyDescent="0.25">
      <c r="A118" s="497">
        <v>116</v>
      </c>
      <c r="B118" s="100">
        <v>4.8860000000000001</v>
      </c>
      <c r="C118" s="214">
        <v>9.2208000000000006</v>
      </c>
      <c r="D118" s="215">
        <v>176.62950000000001</v>
      </c>
      <c r="E118" s="215">
        <v>-40.500399999999999</v>
      </c>
      <c r="F118" s="216" t="s">
        <v>388</v>
      </c>
      <c r="G118" s="215">
        <v>0.05</v>
      </c>
      <c r="H118" s="215">
        <v>7.7930000000000001</v>
      </c>
      <c r="I118" s="100">
        <v>0.4</v>
      </c>
      <c r="J118" s="100">
        <v>122.1</v>
      </c>
      <c r="K118" s="100">
        <v>0.46</v>
      </c>
      <c r="L118" s="100">
        <v>0.34</v>
      </c>
      <c r="M118" s="217">
        <v>4.9887000000000001E-2</v>
      </c>
      <c r="N118" s="217">
        <v>6.6849000000000006E-2</v>
      </c>
      <c r="O118" s="100" t="s">
        <v>367</v>
      </c>
      <c r="P118" s="218">
        <f>(K118*AU)/(C118*pc)/Photometry!$AB$19</f>
        <v>1.0145278991123112</v>
      </c>
      <c r="Q118" s="522" t="s">
        <v>85</v>
      </c>
      <c r="R118" s="100">
        <v>999</v>
      </c>
      <c r="S118" s="103"/>
    </row>
    <row r="119" spans="1:19" x14ac:dyDescent="0.25">
      <c r="A119" s="497">
        <v>117</v>
      </c>
      <c r="B119" s="100">
        <v>7.49</v>
      </c>
      <c r="C119" s="214">
        <v>49.975000000000001</v>
      </c>
      <c r="D119" s="215">
        <v>309.46550000000002</v>
      </c>
      <c r="E119" s="215">
        <v>-60.634500000000003</v>
      </c>
      <c r="F119" s="216" t="s">
        <v>389</v>
      </c>
      <c r="G119" s="215">
        <v>2.83</v>
      </c>
      <c r="H119" s="215">
        <v>13.021000000000001</v>
      </c>
      <c r="I119" s="100">
        <v>0.4</v>
      </c>
      <c r="J119" s="100">
        <v>1316.2</v>
      </c>
      <c r="K119" s="100">
        <v>2.4700000000000002</v>
      </c>
      <c r="L119" s="100">
        <v>0.21</v>
      </c>
      <c r="M119" s="217">
        <v>4.9424999999999997E-2</v>
      </c>
      <c r="N119" s="217">
        <v>5.9804000000000003E-2</v>
      </c>
      <c r="O119" s="100" t="s">
        <v>256</v>
      </c>
      <c r="P119" s="218">
        <f>(K119*AU)/(C119*pc)/Photometry!$AB$19</f>
        <v>1.0051223161482026</v>
      </c>
      <c r="Q119" s="522" t="s">
        <v>86</v>
      </c>
      <c r="R119" s="100">
        <v>999</v>
      </c>
      <c r="S119" s="103"/>
    </row>
    <row r="120" spans="1:19" x14ac:dyDescent="0.25">
      <c r="A120" s="497">
        <v>118</v>
      </c>
      <c r="B120" s="100">
        <v>8.3699999999999992</v>
      </c>
      <c r="C120" s="214">
        <v>52.8262</v>
      </c>
      <c r="D120" s="215">
        <v>70.476600000000005</v>
      </c>
      <c r="E120" s="215">
        <v>-58.020800000000001</v>
      </c>
      <c r="F120" s="216" t="s">
        <v>390</v>
      </c>
      <c r="G120" s="215">
        <v>7.7</v>
      </c>
      <c r="H120" s="215">
        <v>12.955</v>
      </c>
      <c r="I120" s="100">
        <v>0.4</v>
      </c>
      <c r="J120" s="100">
        <v>1620</v>
      </c>
      <c r="K120" s="100">
        <v>2.6</v>
      </c>
      <c r="L120" s="100">
        <v>0.22</v>
      </c>
      <c r="M120" s="217">
        <v>4.9217999999999998E-2</v>
      </c>
      <c r="N120" s="217">
        <v>6.0046000000000002E-2</v>
      </c>
      <c r="O120" s="100" t="s">
        <v>237</v>
      </c>
      <c r="P120" s="218">
        <f>(K120*AU)/(C120*pc)/Photometry!$AB$19</f>
        <v>1.0009185583450801</v>
      </c>
      <c r="Q120" s="522" t="s">
        <v>86</v>
      </c>
      <c r="R120" s="100">
        <v>999</v>
      </c>
      <c r="S120" s="103"/>
    </row>
    <row r="121" spans="1:19" x14ac:dyDescent="0.25">
      <c r="A121" s="497">
        <v>119</v>
      </c>
      <c r="B121" s="100">
        <v>7.85</v>
      </c>
      <c r="C121" s="214">
        <v>38.1098</v>
      </c>
      <c r="D121" s="215">
        <v>216.88740000000001</v>
      </c>
      <c r="E121" s="215">
        <v>-51.933100000000003</v>
      </c>
      <c r="F121" s="216" t="s">
        <v>391</v>
      </c>
      <c r="G121" s="215">
        <v>0.224</v>
      </c>
      <c r="H121" s="215">
        <v>11.84</v>
      </c>
      <c r="I121" s="100">
        <v>0.4</v>
      </c>
      <c r="J121" s="100">
        <v>948.1</v>
      </c>
      <c r="K121" s="100">
        <v>1.81</v>
      </c>
      <c r="L121" s="100">
        <v>0.13</v>
      </c>
      <c r="M121" s="217">
        <v>4.7494000000000001E-2</v>
      </c>
      <c r="N121" s="217">
        <v>5.3669000000000001E-2</v>
      </c>
      <c r="O121" s="100" t="s">
        <v>312</v>
      </c>
      <c r="P121" s="218">
        <f>(K121*AU)/(C121*pc)/Photometry!$AB$19</f>
        <v>0.96586553694644717</v>
      </c>
      <c r="Q121" s="522" t="s">
        <v>86</v>
      </c>
      <c r="R121" s="100">
        <v>999</v>
      </c>
      <c r="S121" s="103"/>
    </row>
    <row r="122" spans="1:19" x14ac:dyDescent="0.25">
      <c r="A122" s="497">
        <v>120</v>
      </c>
      <c r="B122" s="100">
        <v>7.69</v>
      </c>
      <c r="C122" s="214">
        <v>51.599600000000002</v>
      </c>
      <c r="D122" s="215">
        <v>247.072</v>
      </c>
      <c r="E122" s="215">
        <v>-46.317599999999999</v>
      </c>
      <c r="F122" s="216" t="s">
        <v>392</v>
      </c>
      <c r="G122" s="215">
        <v>0.85</v>
      </c>
      <c r="H122" s="215">
        <v>12.815</v>
      </c>
      <c r="I122" s="100">
        <v>0.4</v>
      </c>
      <c r="J122" s="100">
        <v>1010</v>
      </c>
      <c r="K122" s="100">
        <v>2.4500000000000002</v>
      </c>
      <c r="L122" s="100">
        <v>0.52</v>
      </c>
      <c r="M122" s="217">
        <v>4.7481000000000002E-2</v>
      </c>
      <c r="N122" s="217">
        <v>7.2170999999999999E-2</v>
      </c>
      <c r="O122" s="100" t="s">
        <v>233</v>
      </c>
      <c r="P122" s="218">
        <f>(K122*AU)/(C122*pc)/Photometry!$AB$19</f>
        <v>0.96559390196360884</v>
      </c>
      <c r="Q122" s="522" t="s">
        <v>85</v>
      </c>
      <c r="R122" s="100">
        <v>999</v>
      </c>
      <c r="S122" s="103"/>
    </row>
    <row r="123" spans="1:19" x14ac:dyDescent="0.25">
      <c r="A123" s="497">
        <v>121</v>
      </c>
      <c r="B123" s="100">
        <v>7.25</v>
      </c>
      <c r="C123" s="214">
        <v>32.299700000000001</v>
      </c>
      <c r="D123" s="215">
        <v>238.07310000000001</v>
      </c>
      <c r="E123" s="215">
        <v>-18.4361</v>
      </c>
      <c r="F123" s="216" t="s">
        <v>393</v>
      </c>
      <c r="G123" s="215">
        <v>9.6999999999999993</v>
      </c>
      <c r="H123" s="215">
        <v>12.795999999999999</v>
      </c>
      <c r="I123" s="100">
        <v>0.4</v>
      </c>
      <c r="J123" s="100">
        <v>653.20000000000005</v>
      </c>
      <c r="K123" s="100">
        <v>1.52</v>
      </c>
      <c r="L123" s="100">
        <v>0.41</v>
      </c>
      <c r="M123" s="217">
        <v>4.7058999999999997E-2</v>
      </c>
      <c r="N123" s="217">
        <v>6.6352999999999995E-2</v>
      </c>
      <c r="O123" s="100" t="s">
        <v>233</v>
      </c>
      <c r="P123" s="218">
        <f>(K123*AU)/(C123*pc)/Photometry!$AB$19</f>
        <v>0.95701746693063217</v>
      </c>
      <c r="Q123" s="522" t="s">
        <v>85</v>
      </c>
      <c r="R123" s="100">
        <v>999</v>
      </c>
      <c r="S123" s="103"/>
    </row>
    <row r="124" spans="1:19" x14ac:dyDescent="0.25">
      <c r="A124" s="497">
        <v>122</v>
      </c>
      <c r="B124" s="100">
        <v>7.51</v>
      </c>
      <c r="C124" s="214">
        <v>51.706299999999999</v>
      </c>
      <c r="D124" s="215">
        <v>28.210599999999999</v>
      </c>
      <c r="E124" s="215">
        <v>-19.507000000000001</v>
      </c>
      <c r="F124" s="216" t="s">
        <v>394</v>
      </c>
      <c r="G124" s="215">
        <v>3.44</v>
      </c>
      <c r="H124" s="215">
        <v>13.087</v>
      </c>
      <c r="I124" s="100">
        <v>0.4</v>
      </c>
      <c r="J124" s="100">
        <v>1270</v>
      </c>
      <c r="K124" s="100">
        <v>2.4300000000000002</v>
      </c>
      <c r="L124" s="100">
        <v>0.22</v>
      </c>
      <c r="M124" s="217">
        <v>4.6996000000000003E-2</v>
      </c>
      <c r="N124" s="217">
        <v>5.7334999999999997E-2</v>
      </c>
      <c r="O124" s="100" t="s">
        <v>266</v>
      </c>
      <c r="P124" s="218">
        <f>(K124*AU)/(C124*pc)/Photometry!$AB$19</f>
        <v>0.95573519006419805</v>
      </c>
      <c r="Q124" s="522" t="s">
        <v>85</v>
      </c>
      <c r="R124" s="100">
        <v>999</v>
      </c>
      <c r="S124" s="103"/>
    </row>
    <row r="125" spans="1:19" x14ac:dyDescent="0.25">
      <c r="A125" s="497">
        <v>123</v>
      </c>
      <c r="B125" s="100">
        <v>8.5500000000000007</v>
      </c>
      <c r="C125" s="214">
        <v>32.372900000000001</v>
      </c>
      <c r="D125" s="215">
        <v>147.5104</v>
      </c>
      <c r="E125" s="215">
        <v>-49.790300000000002</v>
      </c>
      <c r="F125" s="216" t="s">
        <v>395</v>
      </c>
      <c r="G125" s="215">
        <v>0.13200000000000001</v>
      </c>
      <c r="H125" s="215">
        <v>11.119</v>
      </c>
      <c r="I125" s="100">
        <v>0.4</v>
      </c>
      <c r="J125" s="100">
        <v>788</v>
      </c>
      <c r="K125" s="100">
        <v>1.52</v>
      </c>
      <c r="L125" s="100">
        <v>0.41</v>
      </c>
      <c r="M125" s="217">
        <v>4.6953000000000002E-2</v>
      </c>
      <c r="N125" s="217">
        <v>6.6202999999999998E-2</v>
      </c>
      <c r="O125" s="100" t="s">
        <v>396</v>
      </c>
      <c r="P125" s="218">
        <f>(K125*AU)/(C125*pc)/Photometry!$AB$19</f>
        <v>0.95485350637784505</v>
      </c>
      <c r="Q125" s="522" t="s">
        <v>87</v>
      </c>
      <c r="R125" s="100">
        <v>999</v>
      </c>
      <c r="S125" s="103"/>
    </row>
    <row r="126" spans="1:19" x14ac:dyDescent="0.25">
      <c r="A126" s="497">
        <v>124</v>
      </c>
      <c r="B126" s="100">
        <v>6.41</v>
      </c>
      <c r="C126" s="214">
        <v>26.680900000000001</v>
      </c>
      <c r="D126" s="215">
        <v>49.416899999999998</v>
      </c>
      <c r="E126" s="215">
        <v>31.126999999999999</v>
      </c>
      <c r="F126" s="216" t="s">
        <v>397</v>
      </c>
      <c r="G126" s="215">
        <v>1.07</v>
      </c>
      <c r="H126" s="215">
        <v>12.851000000000001</v>
      </c>
      <c r="I126" s="100">
        <v>0.4</v>
      </c>
      <c r="J126" s="100">
        <v>500</v>
      </c>
      <c r="K126" s="100">
        <v>1.25</v>
      </c>
      <c r="L126" s="100">
        <v>0.23</v>
      </c>
      <c r="M126" s="217">
        <v>4.6850000000000003E-2</v>
      </c>
      <c r="N126" s="217">
        <v>5.7625000000000003E-2</v>
      </c>
      <c r="O126" s="100" t="s">
        <v>287</v>
      </c>
      <c r="P126" s="218">
        <f>(K126*AU)/(C126*pc)/Photometry!$AB$19</f>
        <v>0.95276172689309413</v>
      </c>
      <c r="Q126" s="522" t="s">
        <v>85</v>
      </c>
      <c r="R126" s="100">
        <v>999</v>
      </c>
      <c r="S126" s="103"/>
    </row>
    <row r="127" spans="1:19" x14ac:dyDescent="0.25">
      <c r="A127" s="497">
        <v>125</v>
      </c>
      <c r="B127" s="100">
        <v>7.69</v>
      </c>
      <c r="C127" s="214">
        <v>52.5486</v>
      </c>
      <c r="D127" s="215">
        <v>20.905200000000001</v>
      </c>
      <c r="E127" s="215">
        <v>-41.269799999999996</v>
      </c>
      <c r="F127" s="216" t="s">
        <v>398</v>
      </c>
      <c r="G127" s="215">
        <v>0.68</v>
      </c>
      <c r="H127" s="215">
        <v>12.784000000000001</v>
      </c>
      <c r="I127" s="100">
        <v>0.4</v>
      </c>
      <c r="J127" s="100">
        <v>1313</v>
      </c>
      <c r="K127" s="100">
        <v>2.4500000000000002</v>
      </c>
      <c r="L127" s="100">
        <v>0.15</v>
      </c>
      <c r="M127" s="217">
        <v>4.6623999999999999E-2</v>
      </c>
      <c r="N127" s="217">
        <v>5.3616999999999998E-2</v>
      </c>
      <c r="O127" s="100" t="s">
        <v>266</v>
      </c>
      <c r="P127" s="218">
        <f>(K127*AU)/(C127*pc)/Photometry!$AB$19</f>
        <v>0.94815578538270162</v>
      </c>
      <c r="Q127" s="522" t="s">
        <v>85</v>
      </c>
      <c r="R127" s="100">
        <v>999</v>
      </c>
      <c r="S127" s="103"/>
    </row>
    <row r="128" spans="1:19" x14ac:dyDescent="0.25">
      <c r="A128" s="497">
        <v>126</v>
      </c>
      <c r="B128" s="100">
        <v>7.21</v>
      </c>
      <c r="C128" s="214">
        <v>44.033499999999997</v>
      </c>
      <c r="D128" s="215">
        <v>297.39150000000001</v>
      </c>
      <c r="E128" s="215">
        <v>-37.780500000000004</v>
      </c>
      <c r="F128" s="216" t="s">
        <v>399</v>
      </c>
      <c r="G128" s="215">
        <v>0.75</v>
      </c>
      <c r="H128" s="215">
        <v>12.797000000000001</v>
      </c>
      <c r="I128" s="100">
        <v>0.4</v>
      </c>
      <c r="J128" s="100">
        <v>986</v>
      </c>
      <c r="K128" s="100">
        <v>2.0499999999999998</v>
      </c>
      <c r="L128" s="100">
        <v>0.47</v>
      </c>
      <c r="M128" s="217">
        <v>4.6554999999999999E-2</v>
      </c>
      <c r="N128" s="217">
        <v>6.8436999999999998E-2</v>
      </c>
      <c r="O128" s="100" t="s">
        <v>266</v>
      </c>
      <c r="P128" s="218">
        <f>(K128*AU)/(C128*pc)/Photometry!$AB$19</f>
        <v>0.94677203013300348</v>
      </c>
      <c r="Q128" s="522" t="s">
        <v>85</v>
      </c>
      <c r="R128" s="100">
        <v>999</v>
      </c>
      <c r="S128" s="103"/>
    </row>
    <row r="129" spans="1:19" x14ac:dyDescent="0.25">
      <c r="A129" s="497">
        <v>127</v>
      </c>
      <c r="B129" s="100">
        <v>9.0570000000000004</v>
      </c>
      <c r="C129" s="214">
        <v>15.865500000000001</v>
      </c>
      <c r="D129" s="215">
        <v>196.23949999999999</v>
      </c>
      <c r="E129" s="215">
        <v>-52.442900000000002</v>
      </c>
      <c r="F129" s="216" t="s">
        <v>270</v>
      </c>
      <c r="G129" s="215">
        <v>0.27</v>
      </c>
      <c r="H129" s="215">
        <v>12.044</v>
      </c>
      <c r="I129" s="100">
        <v>0.4</v>
      </c>
      <c r="J129" s="100">
        <v>263.3</v>
      </c>
      <c r="K129" s="100">
        <v>0.71</v>
      </c>
      <c r="L129" s="100">
        <v>0.61</v>
      </c>
      <c r="M129" s="217">
        <v>4.4750999999999999E-2</v>
      </c>
      <c r="N129" s="217">
        <v>7.2050000000000003E-2</v>
      </c>
      <c r="O129" s="100" t="s">
        <v>271</v>
      </c>
      <c r="P129" s="218">
        <f>(K129*AU)/(C129*pc)/Photometry!$AB$19</f>
        <v>0.91007953887032811</v>
      </c>
      <c r="Q129" s="522" t="s">
        <v>88</v>
      </c>
      <c r="R129" s="100">
        <v>999</v>
      </c>
      <c r="S129" s="103"/>
    </row>
    <row r="130" spans="1:19" x14ac:dyDescent="0.25">
      <c r="A130" s="497">
        <v>128</v>
      </c>
      <c r="B130" s="100">
        <v>8.3000000000000007</v>
      </c>
      <c r="C130" s="214">
        <v>42.955300000000001</v>
      </c>
      <c r="D130" s="215">
        <v>245.75059999999999</v>
      </c>
      <c r="E130" s="215">
        <v>-61.688800000000001</v>
      </c>
      <c r="F130" s="216" t="s">
        <v>400</v>
      </c>
      <c r="G130" s="215">
        <v>6.56</v>
      </c>
      <c r="H130" s="215">
        <v>13.045</v>
      </c>
      <c r="I130" s="100">
        <v>0.4</v>
      </c>
      <c r="J130" s="100">
        <v>1008</v>
      </c>
      <c r="K130" s="100">
        <v>1.92</v>
      </c>
      <c r="L130" s="100">
        <v>0.13</v>
      </c>
      <c r="M130" s="217">
        <v>4.4698000000000002E-2</v>
      </c>
      <c r="N130" s="217">
        <v>5.0507999999999997E-2</v>
      </c>
      <c r="O130" s="100" t="s">
        <v>401</v>
      </c>
      <c r="P130" s="218">
        <f>(K130*AU)/(C130*pc)/Photometry!$AB$19</f>
        <v>0.908990275740576</v>
      </c>
      <c r="Q130" s="522" t="s">
        <v>86</v>
      </c>
      <c r="R130" s="100">
        <v>999</v>
      </c>
      <c r="S130" s="103"/>
    </row>
    <row r="131" spans="1:19" x14ac:dyDescent="0.25">
      <c r="A131" s="497">
        <v>129</v>
      </c>
      <c r="B131" s="100">
        <v>7.33</v>
      </c>
      <c r="C131" s="214">
        <v>46.468400000000003</v>
      </c>
      <c r="D131" s="215">
        <v>79.4208</v>
      </c>
      <c r="E131" s="215">
        <v>7.3532999999999999</v>
      </c>
      <c r="F131" s="216" t="s">
        <v>402</v>
      </c>
      <c r="G131" s="215">
        <v>0.79</v>
      </c>
      <c r="H131" s="215">
        <v>12.804</v>
      </c>
      <c r="I131" s="100">
        <v>0.4</v>
      </c>
      <c r="J131" s="100">
        <v>1049</v>
      </c>
      <c r="K131" s="100">
        <v>2.0699999999999998</v>
      </c>
      <c r="L131" s="100">
        <v>0.27</v>
      </c>
      <c r="M131" s="217">
        <v>4.4546000000000002E-2</v>
      </c>
      <c r="N131" s="217">
        <v>5.6573999999999999E-2</v>
      </c>
      <c r="O131" s="100" t="s">
        <v>287</v>
      </c>
      <c r="P131" s="218">
        <f>(K131*AU)/(C131*pc)/Photometry!$AB$19</f>
        <v>0.90591487623000999</v>
      </c>
      <c r="Q131" s="522" t="s">
        <v>85</v>
      </c>
      <c r="R131" s="100">
        <v>999</v>
      </c>
      <c r="S131" s="103"/>
    </row>
    <row r="132" spans="1:19" x14ac:dyDescent="0.25">
      <c r="A132" s="497">
        <v>130</v>
      </c>
      <c r="B132" s="100">
        <v>7.11</v>
      </c>
      <c r="C132" s="214">
        <v>33.886800000000001</v>
      </c>
      <c r="D132" s="215">
        <v>54.929600000000001</v>
      </c>
      <c r="E132" s="215">
        <v>-52.915799999999997</v>
      </c>
      <c r="F132" s="216" t="s">
        <v>403</v>
      </c>
      <c r="G132" s="215">
        <v>2.5</v>
      </c>
      <c r="H132" s="215">
        <v>12.986000000000001</v>
      </c>
      <c r="I132" s="100">
        <v>0.4</v>
      </c>
      <c r="J132" s="100">
        <v>626</v>
      </c>
      <c r="K132" s="100">
        <v>1.5</v>
      </c>
      <c r="L132" s="100">
        <v>0.02</v>
      </c>
      <c r="M132" s="217">
        <v>4.4264999999999999E-2</v>
      </c>
      <c r="N132" s="217">
        <v>4.5150000000000003E-2</v>
      </c>
      <c r="O132" s="100" t="s">
        <v>279</v>
      </c>
      <c r="P132" s="218">
        <f>(K132*AU)/(C132*pc)/Photometry!$AB$19</f>
        <v>0.90019265409759386</v>
      </c>
      <c r="Q132" s="522" t="s">
        <v>84</v>
      </c>
      <c r="R132" s="100">
        <v>999</v>
      </c>
      <c r="S132" s="103"/>
    </row>
    <row r="133" spans="1:19" x14ac:dyDescent="0.25">
      <c r="A133" s="497">
        <v>131</v>
      </c>
      <c r="B133" s="100">
        <v>8.7899999999999991</v>
      </c>
      <c r="C133" s="214">
        <v>65.530799999999999</v>
      </c>
      <c r="D133" s="215">
        <v>221.5128</v>
      </c>
      <c r="E133" s="215">
        <v>-68.762699999999995</v>
      </c>
      <c r="F133" s="216" t="s">
        <v>404</v>
      </c>
      <c r="G133" s="215">
        <v>1.6</v>
      </c>
      <c r="H133" s="215">
        <v>12.916</v>
      </c>
      <c r="I133" s="100">
        <v>0.4</v>
      </c>
      <c r="J133" s="100">
        <v>1840</v>
      </c>
      <c r="K133" s="100">
        <v>2.9</v>
      </c>
      <c r="L133" s="100">
        <v>0.7</v>
      </c>
      <c r="M133" s="217">
        <v>4.4254000000000002E-2</v>
      </c>
      <c r="N133" s="217">
        <v>7.5231999999999993E-2</v>
      </c>
      <c r="O133" s="100" t="s">
        <v>341</v>
      </c>
      <c r="P133" s="218">
        <f>(K133*AU)/(C133*pc)/Photometry!$AB$19</f>
        <v>0.89996846724019453</v>
      </c>
      <c r="Q133" s="522" t="s">
        <v>86</v>
      </c>
      <c r="R133" s="100">
        <v>999</v>
      </c>
      <c r="S133" s="103"/>
    </row>
    <row r="134" spans="1:19" x14ac:dyDescent="0.25">
      <c r="A134" s="497">
        <v>132</v>
      </c>
      <c r="B134" s="100">
        <v>6.8540000000000001</v>
      </c>
      <c r="C134" s="214">
        <v>26.4971</v>
      </c>
      <c r="D134" s="215">
        <v>228.81270000000001</v>
      </c>
      <c r="E134" s="215">
        <v>-70.519599999999997</v>
      </c>
      <c r="F134" s="216" t="s">
        <v>405</v>
      </c>
      <c r="G134" s="215">
        <v>0.121</v>
      </c>
      <c r="H134" s="215">
        <v>10.930999999999999</v>
      </c>
      <c r="I134" s="100">
        <v>0.4</v>
      </c>
      <c r="J134" s="100">
        <v>459.3</v>
      </c>
      <c r="K134" s="100">
        <v>1.1599999999999999</v>
      </c>
      <c r="L134" s="100">
        <v>0.46</v>
      </c>
      <c r="M134" s="217">
        <v>4.3777999999999997E-2</v>
      </c>
      <c r="N134" s="217">
        <v>6.3916000000000001E-2</v>
      </c>
      <c r="O134" s="100" t="s">
        <v>406</v>
      </c>
      <c r="P134" s="218">
        <f>(K134*AU)/(C134*pc)/Photometry!$AB$19</f>
        <v>0.89029597402015681</v>
      </c>
      <c r="Q134" s="522" t="s">
        <v>86</v>
      </c>
      <c r="R134" s="100">
        <v>999</v>
      </c>
      <c r="S134" s="103"/>
    </row>
    <row r="135" spans="1:19" x14ac:dyDescent="0.25">
      <c r="A135" s="497">
        <v>133</v>
      </c>
      <c r="B135" s="100">
        <v>7.7789999999999999</v>
      </c>
      <c r="C135" s="214">
        <v>54.854599999999998</v>
      </c>
      <c r="D135" s="215">
        <v>345.7842</v>
      </c>
      <c r="E135" s="215">
        <v>-0.42963000000000001</v>
      </c>
      <c r="F135" s="216" t="s">
        <v>407</v>
      </c>
      <c r="G135" s="215">
        <v>13</v>
      </c>
      <c r="H135" s="215">
        <v>12.532999999999999</v>
      </c>
      <c r="I135" s="100">
        <v>0.4</v>
      </c>
      <c r="J135" s="100">
        <v>1319</v>
      </c>
      <c r="K135" s="100">
        <v>2.38</v>
      </c>
      <c r="L135" s="100">
        <v>0.4</v>
      </c>
      <c r="M135" s="217">
        <v>4.3387000000000002E-2</v>
      </c>
      <c r="N135" s="217">
        <v>6.0741999999999997E-2</v>
      </c>
      <c r="O135" s="100" t="s">
        <v>321</v>
      </c>
      <c r="P135" s="218">
        <f>(K135*AU)/(C135*pc)/Photometry!$AB$19</f>
        <v>0.88234548868561558</v>
      </c>
      <c r="Q135" s="522" t="s">
        <v>84</v>
      </c>
      <c r="R135" s="100">
        <v>999</v>
      </c>
      <c r="S135" s="103"/>
    </row>
    <row r="136" spans="1:19" x14ac:dyDescent="0.25">
      <c r="A136" s="497">
        <v>134</v>
      </c>
      <c r="B136" s="100">
        <v>6.53</v>
      </c>
      <c r="C136" s="214">
        <v>27.4725</v>
      </c>
      <c r="D136" s="215">
        <v>143.7114</v>
      </c>
      <c r="E136" s="215">
        <v>-12.1295</v>
      </c>
      <c r="F136" s="216" t="s">
        <v>408</v>
      </c>
      <c r="G136" s="215">
        <v>1.75</v>
      </c>
      <c r="H136" s="215">
        <v>12.927</v>
      </c>
      <c r="I136" s="100">
        <v>0.4</v>
      </c>
      <c r="J136" s="100">
        <v>441.2</v>
      </c>
      <c r="K136" s="100">
        <v>1.19</v>
      </c>
      <c r="L136" s="100">
        <v>0.22</v>
      </c>
      <c r="M136" s="217">
        <v>4.3316E-2</v>
      </c>
      <c r="N136" s="217">
        <v>5.2845999999999997E-2</v>
      </c>
      <c r="O136" s="100" t="s">
        <v>409</v>
      </c>
      <c r="P136" s="218">
        <f>(K136*AU)/(C136*pc)/Photometry!$AB$19</f>
        <v>0.88089378184828393</v>
      </c>
      <c r="Q136" s="522" t="s">
        <v>84</v>
      </c>
      <c r="R136" s="100">
        <v>999</v>
      </c>
      <c r="S136" s="103"/>
    </row>
    <row r="137" spans="1:19" x14ac:dyDescent="0.25">
      <c r="A137" s="497">
        <v>135</v>
      </c>
      <c r="B137" s="100">
        <v>3.53</v>
      </c>
      <c r="C137" s="214">
        <v>44.963999999999999</v>
      </c>
      <c r="D137" s="215">
        <v>67.154200000000003</v>
      </c>
      <c r="E137" s="215">
        <v>19.180399999999999</v>
      </c>
      <c r="F137" s="216" t="s">
        <v>410</v>
      </c>
      <c r="G137" s="215">
        <v>7.6</v>
      </c>
      <c r="H137" s="215">
        <v>12.962999999999999</v>
      </c>
      <c r="I137" s="100">
        <v>0.4</v>
      </c>
      <c r="J137" s="100">
        <v>594.9</v>
      </c>
      <c r="K137" s="100">
        <v>1.93</v>
      </c>
      <c r="L137" s="100">
        <v>0.15</v>
      </c>
      <c r="M137" s="217">
        <v>4.2923000000000003E-2</v>
      </c>
      <c r="N137" s="217">
        <v>4.9362000000000003E-2</v>
      </c>
      <c r="O137" s="100" t="s">
        <v>411</v>
      </c>
      <c r="P137" s="218">
        <f>(K137*AU)/(C137*pc)/Photometry!$AB$19</f>
        <v>0.87290530901146834</v>
      </c>
      <c r="Q137" s="522" t="s">
        <v>87</v>
      </c>
      <c r="R137" s="100">
        <v>999</v>
      </c>
      <c r="S137" s="103"/>
    </row>
    <row r="138" spans="1:19" x14ac:dyDescent="0.25">
      <c r="A138" s="497">
        <v>136</v>
      </c>
      <c r="B138" s="100">
        <v>8.76</v>
      </c>
      <c r="C138" s="214">
        <v>62.617400000000004</v>
      </c>
      <c r="D138" s="215">
        <v>187.61199999999999</v>
      </c>
      <c r="E138" s="215">
        <v>22.879799999999999</v>
      </c>
      <c r="F138" s="216" t="s">
        <v>412</v>
      </c>
      <c r="G138" s="215">
        <v>1.018</v>
      </c>
      <c r="H138" s="215">
        <v>12.843</v>
      </c>
      <c r="I138" s="100">
        <v>0.4</v>
      </c>
      <c r="J138" s="100">
        <v>1605.8</v>
      </c>
      <c r="K138" s="100">
        <v>2.68</v>
      </c>
      <c r="L138" s="100">
        <v>0.25</v>
      </c>
      <c r="M138" s="217">
        <v>4.2799999999999998E-2</v>
      </c>
      <c r="N138" s="217">
        <v>5.3499999999999999E-2</v>
      </c>
      <c r="O138" s="100" t="s">
        <v>401</v>
      </c>
      <c r="P138" s="218">
        <f>(K138*AU)/(C138*pc)/Photometry!$AB$19</f>
        <v>0.87039127350910184</v>
      </c>
      <c r="Q138" s="522" t="s">
        <v>86</v>
      </c>
      <c r="R138" s="100">
        <v>999</v>
      </c>
      <c r="S138" s="103"/>
    </row>
    <row r="139" spans="1:19" x14ac:dyDescent="0.25">
      <c r="A139" s="497">
        <v>137</v>
      </c>
      <c r="B139" s="100">
        <v>7.41</v>
      </c>
      <c r="C139" s="214">
        <v>68.775800000000004</v>
      </c>
      <c r="D139" s="215">
        <v>149.24100000000001</v>
      </c>
      <c r="E139" s="215">
        <v>-15.895099999999999</v>
      </c>
      <c r="F139" s="216" t="s">
        <v>413</v>
      </c>
      <c r="G139" s="215">
        <v>7</v>
      </c>
      <c r="H139" s="215">
        <v>13.01</v>
      </c>
      <c r="I139" s="100">
        <v>0.4</v>
      </c>
      <c r="J139" s="100">
        <v>1475</v>
      </c>
      <c r="K139" s="100">
        <v>2.86</v>
      </c>
      <c r="L139" s="100">
        <v>0.7</v>
      </c>
      <c r="M139" s="217">
        <v>4.1584000000000003E-2</v>
      </c>
      <c r="N139" s="217">
        <v>7.0693000000000006E-2</v>
      </c>
      <c r="O139" s="100" t="s">
        <v>250</v>
      </c>
      <c r="P139" s="218">
        <f>(K139*AU)/(C139*pc)/Photometry!$AB$19</f>
        <v>0.84567822317637542</v>
      </c>
      <c r="Q139" s="522" t="s">
        <v>84</v>
      </c>
      <c r="R139" s="100">
        <v>999</v>
      </c>
      <c r="S139" s="103"/>
    </row>
    <row r="140" spans="1:19" x14ac:dyDescent="0.25">
      <c r="A140" s="497">
        <v>138</v>
      </c>
      <c r="B140" s="100">
        <v>3.31</v>
      </c>
      <c r="C140" s="214">
        <v>31.027000000000001</v>
      </c>
      <c r="D140" s="215">
        <v>231.23240000000001</v>
      </c>
      <c r="E140" s="215">
        <v>58.966099999999997</v>
      </c>
      <c r="F140" s="216" t="s">
        <v>414</v>
      </c>
      <c r="G140" s="215">
        <v>8.82</v>
      </c>
      <c r="H140" s="215">
        <v>12.866</v>
      </c>
      <c r="I140" s="100">
        <v>0.4</v>
      </c>
      <c r="J140" s="100">
        <v>510.7</v>
      </c>
      <c r="K140" s="100">
        <v>1.28</v>
      </c>
      <c r="L140" s="100">
        <v>0.71</v>
      </c>
      <c r="M140" s="217">
        <v>4.1253999999999999E-2</v>
      </c>
      <c r="N140" s="217">
        <v>7.0544999999999997E-2</v>
      </c>
      <c r="O140" s="100" t="s">
        <v>354</v>
      </c>
      <c r="P140" s="218">
        <f>(K140*AU)/(C140*pc)/Photometry!$AB$19</f>
        <v>0.83896713596800987</v>
      </c>
      <c r="Q140" s="522" t="s">
        <v>87</v>
      </c>
      <c r="R140" s="100">
        <v>999</v>
      </c>
      <c r="S140" s="103"/>
    </row>
    <row r="141" spans="1:19" x14ac:dyDescent="0.25">
      <c r="A141" s="497">
        <v>139</v>
      </c>
      <c r="B141" s="100">
        <v>3.3090000000000002</v>
      </c>
      <c r="C141" s="214">
        <v>46.210700000000003</v>
      </c>
      <c r="D141" s="215">
        <v>269.75659999999999</v>
      </c>
      <c r="E141" s="215">
        <v>-9.7736000000000001</v>
      </c>
      <c r="F141" s="216" t="s">
        <v>276</v>
      </c>
      <c r="G141" s="215">
        <v>24</v>
      </c>
      <c r="H141" s="215">
        <v>11.657999999999999</v>
      </c>
      <c r="I141" s="100">
        <v>0.4</v>
      </c>
      <c r="J141" s="100">
        <v>530.29999999999995</v>
      </c>
      <c r="K141" s="100">
        <v>1.9</v>
      </c>
      <c r="L141" s="100">
        <v>0.13</v>
      </c>
      <c r="M141" s="217">
        <v>4.1116E-2</v>
      </c>
      <c r="N141" s="217">
        <v>4.6461000000000002E-2</v>
      </c>
      <c r="O141" s="100" t="s">
        <v>277</v>
      </c>
      <c r="P141" s="218">
        <f>(K141*AU)/(C141*pc)/Photometry!$AB$19</f>
        <v>0.83615312786376683</v>
      </c>
      <c r="Q141" s="522" t="s">
        <v>86</v>
      </c>
      <c r="R141" s="100">
        <v>999</v>
      </c>
      <c r="S141" s="103"/>
    </row>
    <row r="142" spans="1:19" x14ac:dyDescent="0.25">
      <c r="A142" s="497">
        <v>140</v>
      </c>
      <c r="B142" s="100">
        <v>8.8699999999999992</v>
      </c>
      <c r="C142" s="214">
        <v>54.200499999999998</v>
      </c>
      <c r="D142" s="215">
        <v>129.07409999999999</v>
      </c>
      <c r="E142" s="215">
        <v>-34.46</v>
      </c>
      <c r="F142" s="216" t="s">
        <v>415</v>
      </c>
      <c r="G142" s="215">
        <v>3.06</v>
      </c>
      <c r="H142" s="215">
        <v>13.045999999999999</v>
      </c>
      <c r="I142" s="100">
        <v>0.4</v>
      </c>
      <c r="J142" s="100">
        <v>1260</v>
      </c>
      <c r="K142" s="100">
        <v>2.2000000000000002</v>
      </c>
      <c r="L142" s="100">
        <v>0.26</v>
      </c>
      <c r="M142" s="217">
        <v>4.0590000000000001E-2</v>
      </c>
      <c r="N142" s="217">
        <v>5.1143000000000001E-2</v>
      </c>
      <c r="O142" s="100" t="s">
        <v>261</v>
      </c>
      <c r="P142" s="218">
        <f>(K142*AU)/(C142*pc)/Photometry!$AB$19</f>
        <v>0.82545642626819027</v>
      </c>
      <c r="Q142" s="522" t="s">
        <v>87</v>
      </c>
      <c r="R142" s="100">
        <v>999</v>
      </c>
      <c r="S142" s="103"/>
    </row>
    <row r="143" spans="1:19" x14ac:dyDescent="0.25">
      <c r="A143" s="497">
        <v>141</v>
      </c>
      <c r="B143" s="100">
        <v>5.7</v>
      </c>
      <c r="C143" s="214">
        <v>25.7136</v>
      </c>
      <c r="D143" s="215">
        <v>1.5799000000000001</v>
      </c>
      <c r="E143" s="215">
        <v>-49.075200000000002</v>
      </c>
      <c r="F143" s="216" t="s">
        <v>249</v>
      </c>
      <c r="G143" s="215">
        <v>1.25</v>
      </c>
      <c r="H143" s="215">
        <v>12.879</v>
      </c>
      <c r="I143" s="100">
        <v>0.4</v>
      </c>
      <c r="J143" s="100">
        <v>349.7</v>
      </c>
      <c r="K143" s="100">
        <v>1.02</v>
      </c>
      <c r="L143" s="100">
        <v>0.17</v>
      </c>
      <c r="M143" s="217">
        <v>3.9668000000000002E-2</v>
      </c>
      <c r="N143" s="217">
        <v>4.6411000000000001E-2</v>
      </c>
      <c r="O143" s="100" t="s">
        <v>250</v>
      </c>
      <c r="P143" s="218">
        <f>(K143*AU)/(C143*pc)/Photometry!$AB$19</f>
        <v>0.80669999272737225</v>
      </c>
      <c r="Q143" s="522" t="s">
        <v>84</v>
      </c>
      <c r="R143" s="100">
        <v>999</v>
      </c>
      <c r="S143" s="103"/>
    </row>
    <row r="144" spans="1:19" x14ac:dyDescent="0.25">
      <c r="A144" s="497">
        <v>142</v>
      </c>
      <c r="B144" s="100">
        <v>5.88</v>
      </c>
      <c r="C144" s="214">
        <v>55.803600000000003</v>
      </c>
      <c r="D144" s="215">
        <v>97.696299999999994</v>
      </c>
      <c r="E144" s="215">
        <v>58.162599999999998</v>
      </c>
      <c r="F144" s="216" t="s">
        <v>416</v>
      </c>
      <c r="G144" s="215">
        <v>2.4</v>
      </c>
      <c r="H144" s="215">
        <v>12.975</v>
      </c>
      <c r="I144" s="100">
        <v>0.4</v>
      </c>
      <c r="J144" s="100">
        <v>899</v>
      </c>
      <c r="K144" s="100">
        <v>2.2000000000000002</v>
      </c>
      <c r="L144" s="100">
        <v>0.13</v>
      </c>
      <c r="M144" s="217">
        <v>3.9424000000000001E-2</v>
      </c>
      <c r="N144" s="217">
        <v>4.4548999999999998E-2</v>
      </c>
      <c r="O144" s="100" t="s">
        <v>417</v>
      </c>
      <c r="P144" s="218">
        <f>(K144*AU)/(C144*pc)/Photometry!$AB$19</f>
        <v>0.80174309600006177</v>
      </c>
      <c r="Q144" s="522" t="s">
        <v>87</v>
      </c>
      <c r="R144" s="100">
        <v>999</v>
      </c>
      <c r="S144" s="103"/>
    </row>
    <row r="145" spans="1:19" x14ac:dyDescent="0.25">
      <c r="A145" s="497">
        <v>143</v>
      </c>
      <c r="B145" s="100">
        <v>7.68</v>
      </c>
      <c r="C145" s="214">
        <v>54.674700000000001</v>
      </c>
      <c r="D145" s="215">
        <v>66.211299999999994</v>
      </c>
      <c r="E145" s="215">
        <v>-50.622199999999999</v>
      </c>
      <c r="F145" s="216" t="s">
        <v>418</v>
      </c>
      <c r="G145" s="215">
        <v>1.1599999999999999</v>
      </c>
      <c r="H145" s="215">
        <v>12.865</v>
      </c>
      <c r="I145" s="100">
        <v>0.4</v>
      </c>
      <c r="J145" s="100">
        <v>1116</v>
      </c>
      <c r="K145" s="100">
        <v>2.15</v>
      </c>
      <c r="L145" s="100">
        <v>0.81</v>
      </c>
      <c r="M145" s="217">
        <v>3.9322999999999997E-2</v>
      </c>
      <c r="N145" s="217">
        <v>7.1176000000000003E-2</v>
      </c>
      <c r="O145" s="100" t="s">
        <v>299</v>
      </c>
      <c r="P145" s="218">
        <f>(K145*AU)/(C145*pc)/Photometry!$AB$19</f>
        <v>0.79969948472669383</v>
      </c>
      <c r="Q145" s="522" t="s">
        <v>86</v>
      </c>
      <c r="R145" s="100">
        <v>999</v>
      </c>
      <c r="S145" s="103"/>
    </row>
    <row r="146" spans="1:19" x14ac:dyDescent="0.25">
      <c r="A146" s="497">
        <v>144</v>
      </c>
      <c r="B146" s="100">
        <v>7.88</v>
      </c>
      <c r="C146" s="214">
        <v>48.875900000000001</v>
      </c>
      <c r="D146" s="215">
        <v>97.1905</v>
      </c>
      <c r="E146" s="215">
        <v>38.963000000000001</v>
      </c>
      <c r="F146" s="216" t="s">
        <v>419</v>
      </c>
      <c r="G146" s="215">
        <v>1.79</v>
      </c>
      <c r="H146" s="215">
        <v>12.93</v>
      </c>
      <c r="I146" s="100">
        <v>0.4</v>
      </c>
      <c r="J146" s="100">
        <v>890.8</v>
      </c>
      <c r="K146" s="100">
        <v>1.92</v>
      </c>
      <c r="L146" s="100">
        <v>0.78</v>
      </c>
      <c r="M146" s="217">
        <v>3.9282999999999998E-2</v>
      </c>
      <c r="N146" s="217">
        <v>6.9924E-2</v>
      </c>
      <c r="O146" s="100" t="s">
        <v>281</v>
      </c>
      <c r="P146" s="218">
        <f>(K146*AU)/(C146*pc)/Photometry!$AB$19</f>
        <v>0.79887940665070445</v>
      </c>
      <c r="Q146" s="522" t="s">
        <v>86</v>
      </c>
      <c r="R146" s="100">
        <v>999</v>
      </c>
      <c r="S146" s="103"/>
    </row>
    <row r="147" spans="1:19" x14ac:dyDescent="0.25">
      <c r="A147" s="497">
        <v>145</v>
      </c>
      <c r="B147" s="100">
        <v>8.9600000000000009</v>
      </c>
      <c r="C147" s="214">
        <v>25.920200000000001</v>
      </c>
      <c r="D147" s="215">
        <v>176.17070000000001</v>
      </c>
      <c r="E147" s="215">
        <v>30.959299999999999</v>
      </c>
      <c r="F147" s="216" t="s">
        <v>420</v>
      </c>
      <c r="G147" s="215">
        <v>0.52700000000000002</v>
      </c>
      <c r="H147" s="215">
        <v>12.645</v>
      </c>
      <c r="I147" s="100">
        <v>0.4</v>
      </c>
      <c r="J147" s="100">
        <v>431.7</v>
      </c>
      <c r="K147" s="100">
        <v>1.01</v>
      </c>
      <c r="L147" s="100">
        <v>0.27</v>
      </c>
      <c r="M147" s="217">
        <v>3.8966000000000001E-2</v>
      </c>
      <c r="N147" s="217">
        <v>4.9487000000000003E-2</v>
      </c>
      <c r="O147" s="100" t="s">
        <v>421</v>
      </c>
      <c r="P147" s="218">
        <f>(K147*AU)/(C147*pc)/Photometry!$AB$19</f>
        <v>0.79242431038811656</v>
      </c>
      <c r="Q147" s="522" t="s">
        <v>88</v>
      </c>
      <c r="R147" s="100">
        <v>999</v>
      </c>
      <c r="S147" s="103"/>
    </row>
    <row r="148" spans="1:19" x14ac:dyDescent="0.25">
      <c r="A148" s="497">
        <v>146</v>
      </c>
      <c r="B148" s="100">
        <v>8.24</v>
      </c>
      <c r="C148" s="214">
        <v>81.037300000000002</v>
      </c>
      <c r="D148" s="215">
        <v>129.8158</v>
      </c>
      <c r="E148" s="215">
        <v>12.9604</v>
      </c>
      <c r="F148" s="216" t="s">
        <v>422</v>
      </c>
      <c r="G148" s="215">
        <v>1.1499999999999999</v>
      </c>
      <c r="H148" s="215">
        <v>12.864000000000001</v>
      </c>
      <c r="I148" s="100">
        <v>0.4</v>
      </c>
      <c r="J148" s="100">
        <v>1800</v>
      </c>
      <c r="K148" s="100">
        <v>3.15</v>
      </c>
      <c r="L148" s="100">
        <v>0.05</v>
      </c>
      <c r="M148" s="217">
        <v>3.8871000000000003E-2</v>
      </c>
      <c r="N148" s="217">
        <v>4.0814999999999997E-2</v>
      </c>
      <c r="O148" s="100" t="s">
        <v>281</v>
      </c>
      <c r="P148" s="218">
        <f>(K148*AU)/(C148*pc)/Photometry!$AB$19</f>
        <v>0.79049723651745718</v>
      </c>
      <c r="Q148" s="522" t="s">
        <v>86</v>
      </c>
      <c r="R148" s="100">
        <v>999</v>
      </c>
      <c r="S148" s="103"/>
    </row>
    <row r="149" spans="1:19" x14ac:dyDescent="0.25">
      <c r="A149" s="497">
        <v>147</v>
      </c>
      <c r="B149" s="100">
        <v>7.38</v>
      </c>
      <c r="C149" s="214">
        <v>35.524000000000001</v>
      </c>
      <c r="D149" s="215">
        <v>50.014899999999997</v>
      </c>
      <c r="E149" s="215">
        <v>-28.854099999999999</v>
      </c>
      <c r="F149" s="216" t="s">
        <v>423</v>
      </c>
      <c r="G149" s="215">
        <v>1.9</v>
      </c>
      <c r="H149" s="215">
        <v>12.938000000000001</v>
      </c>
      <c r="I149" s="100">
        <v>0.4</v>
      </c>
      <c r="J149" s="100">
        <v>591.9</v>
      </c>
      <c r="K149" s="100">
        <v>1.38</v>
      </c>
      <c r="L149" s="100">
        <v>0.97</v>
      </c>
      <c r="M149" s="217">
        <v>3.8847E-2</v>
      </c>
      <c r="N149" s="217">
        <v>7.6529E-2</v>
      </c>
      <c r="O149" s="100" t="s">
        <v>424</v>
      </c>
      <c r="P149" s="218">
        <f>(K149*AU)/(C149*pc)/Photometry!$AB$19</f>
        <v>0.79000891105743709</v>
      </c>
      <c r="Q149" s="522" t="s">
        <v>85</v>
      </c>
      <c r="R149" s="100">
        <v>999</v>
      </c>
      <c r="S149" s="103"/>
    </row>
    <row r="150" spans="1:19" x14ac:dyDescent="0.25">
      <c r="A150" s="497">
        <v>148</v>
      </c>
      <c r="B150" s="100">
        <v>8.0299999999999994</v>
      </c>
      <c r="C150" s="214">
        <v>35.298299999999998</v>
      </c>
      <c r="D150" s="215">
        <v>17.6968</v>
      </c>
      <c r="E150" s="215">
        <v>-66.188199999999995</v>
      </c>
      <c r="F150" s="216" t="s">
        <v>425</v>
      </c>
      <c r="G150" s="215">
        <v>0.28999999999999998</v>
      </c>
      <c r="H150" s="215">
        <v>12.119</v>
      </c>
      <c r="I150" s="100">
        <v>0.4</v>
      </c>
      <c r="J150" s="100">
        <v>615</v>
      </c>
      <c r="K150" s="100">
        <v>1.36</v>
      </c>
      <c r="L150" s="100">
        <v>0.19</v>
      </c>
      <c r="M150" s="217">
        <v>3.8529000000000001E-2</v>
      </c>
      <c r="N150" s="217">
        <v>4.5849000000000001E-2</v>
      </c>
      <c r="O150" s="100" t="s">
        <v>273</v>
      </c>
      <c r="P150" s="218">
        <f>(K150*AU)/(C150*pc)/Photometry!$AB$19</f>
        <v>0.78353767492087179</v>
      </c>
      <c r="Q150" s="522" t="s">
        <v>87</v>
      </c>
      <c r="R150" s="100">
        <v>999</v>
      </c>
      <c r="S150" s="103"/>
    </row>
    <row r="151" spans="1:19" x14ac:dyDescent="0.25">
      <c r="A151" s="497">
        <v>149</v>
      </c>
      <c r="B151" s="100">
        <v>7.96</v>
      </c>
      <c r="C151" s="214">
        <v>35.5745</v>
      </c>
      <c r="D151" s="215">
        <v>118.4222</v>
      </c>
      <c r="E151" s="215">
        <v>-63.647300000000001</v>
      </c>
      <c r="F151" s="216" t="s">
        <v>426</v>
      </c>
      <c r="G151" s="215">
        <v>1.21</v>
      </c>
      <c r="H151" s="215">
        <v>12.872999999999999</v>
      </c>
      <c r="I151" s="100">
        <v>0.4</v>
      </c>
      <c r="J151" s="100">
        <v>613.1</v>
      </c>
      <c r="K151" s="100">
        <v>1.37</v>
      </c>
      <c r="L151" s="100">
        <v>0.41</v>
      </c>
      <c r="M151" s="217">
        <v>3.8510999999999997E-2</v>
      </c>
      <c r="N151" s="217">
        <v>5.4300000000000001E-2</v>
      </c>
      <c r="O151" s="100" t="s">
        <v>427</v>
      </c>
      <c r="P151" s="218">
        <f>(K151*AU)/(C151*pc)/Photometry!$AB$19</f>
        <v>0.78317087333713498</v>
      </c>
      <c r="Q151" s="522" t="s">
        <v>86</v>
      </c>
      <c r="R151" s="100">
        <v>999</v>
      </c>
      <c r="S151" s="103"/>
    </row>
    <row r="152" spans="1:19" x14ac:dyDescent="0.25">
      <c r="A152" s="497">
        <v>150</v>
      </c>
      <c r="B152" s="100">
        <v>9.16</v>
      </c>
      <c r="C152" s="214">
        <v>83.333299999999994</v>
      </c>
      <c r="D152" s="215">
        <v>253.37389999999999</v>
      </c>
      <c r="E152" s="215">
        <v>-46.332999999999998</v>
      </c>
      <c r="F152" s="216" t="s">
        <v>428</v>
      </c>
      <c r="G152" s="215">
        <v>3</v>
      </c>
      <c r="H152" s="215">
        <v>13.04</v>
      </c>
      <c r="I152" s="100">
        <v>0.4</v>
      </c>
      <c r="J152" s="100">
        <v>2097</v>
      </c>
      <c r="K152" s="100">
        <v>3.2</v>
      </c>
      <c r="L152" s="100">
        <v>0.6</v>
      </c>
      <c r="M152" s="217">
        <v>3.8399999999999997E-2</v>
      </c>
      <c r="N152" s="217">
        <v>6.1440000000000002E-2</v>
      </c>
      <c r="O152" s="100" t="s">
        <v>341</v>
      </c>
      <c r="P152" s="218">
        <f>(K152*AU)/(C152*pc)/Photometry!$AB$19</f>
        <v>0.78091931219810828</v>
      </c>
      <c r="Q152" s="522" t="s">
        <v>86</v>
      </c>
      <c r="R152" s="100">
        <v>999</v>
      </c>
      <c r="S152" s="103"/>
    </row>
    <row r="153" spans="1:19" x14ac:dyDescent="0.25">
      <c r="A153" s="497">
        <v>151</v>
      </c>
      <c r="B153" s="100">
        <v>7.24</v>
      </c>
      <c r="C153" s="214">
        <v>58.685400000000001</v>
      </c>
      <c r="D153" s="215">
        <v>264.74799999999999</v>
      </c>
      <c r="E153" s="215">
        <v>-43.145499999999998</v>
      </c>
      <c r="F153" s="216" t="s">
        <v>429</v>
      </c>
      <c r="G153" s="215">
        <v>2.1</v>
      </c>
      <c r="H153" s="215">
        <v>12.952</v>
      </c>
      <c r="I153" s="100">
        <v>0.4</v>
      </c>
      <c r="J153" s="100">
        <v>1178.4000000000001</v>
      </c>
      <c r="K153" s="100">
        <v>2.25</v>
      </c>
      <c r="L153" s="100">
        <v>0.01</v>
      </c>
      <c r="M153" s="217">
        <v>3.8339999999999999E-2</v>
      </c>
      <c r="N153" s="217">
        <v>3.8723E-2</v>
      </c>
      <c r="O153" s="100" t="s">
        <v>299</v>
      </c>
      <c r="P153" s="218">
        <f>(K153*AU)/(C153*pc)/Photometry!$AB$19</f>
        <v>0.77969942517749757</v>
      </c>
      <c r="Q153" s="522" t="s">
        <v>86</v>
      </c>
      <c r="R153" s="100">
        <v>999</v>
      </c>
      <c r="S153" s="103"/>
    </row>
    <row r="154" spans="1:19" x14ac:dyDescent="0.25">
      <c r="A154" s="497">
        <v>152</v>
      </c>
      <c r="B154" s="100">
        <v>9.6300000000000008</v>
      </c>
      <c r="C154" s="214">
        <v>35.701500000000003</v>
      </c>
      <c r="D154" s="215">
        <v>7.1429</v>
      </c>
      <c r="E154" s="215">
        <v>-16.226299999999998</v>
      </c>
      <c r="F154" s="216" t="s">
        <v>430</v>
      </c>
      <c r="G154" s="215">
        <v>5.0999999999999996</v>
      </c>
      <c r="H154" s="215">
        <v>13.097</v>
      </c>
      <c r="I154" s="100">
        <v>0.4</v>
      </c>
      <c r="J154" s="100">
        <v>655.6</v>
      </c>
      <c r="K154" s="100">
        <v>1.34</v>
      </c>
      <c r="L154" s="100">
        <v>0.54</v>
      </c>
      <c r="M154" s="217">
        <v>3.7532999999999997E-2</v>
      </c>
      <c r="N154" s="217">
        <v>5.7800999999999998E-2</v>
      </c>
      <c r="O154" s="100" t="s">
        <v>431</v>
      </c>
      <c r="P154" s="218">
        <f>(K154*AU)/(C154*pc)/Photometry!$AB$19</f>
        <v>0.76329619945700922</v>
      </c>
      <c r="Q154" s="522" t="s">
        <v>88</v>
      </c>
      <c r="R154" s="100">
        <v>999</v>
      </c>
      <c r="S154" s="103"/>
    </row>
    <row r="155" spans="1:19" x14ac:dyDescent="0.25">
      <c r="A155" s="497">
        <v>153</v>
      </c>
      <c r="B155" s="100">
        <v>7.28</v>
      </c>
      <c r="C155" s="214">
        <v>57.870399999999997</v>
      </c>
      <c r="D155" s="215">
        <v>39.258000000000003</v>
      </c>
      <c r="E155" s="215">
        <v>42.062600000000003</v>
      </c>
      <c r="F155" s="216" t="s">
        <v>432</v>
      </c>
      <c r="G155" s="215">
        <v>4.4000000000000004</v>
      </c>
      <c r="H155" s="215">
        <v>13.121</v>
      </c>
      <c r="I155" s="100">
        <v>0.4</v>
      </c>
      <c r="J155" s="100">
        <v>990</v>
      </c>
      <c r="K155" s="100">
        <v>2.1</v>
      </c>
      <c r="L155" s="100">
        <v>0.59</v>
      </c>
      <c r="M155" s="217">
        <v>3.6288000000000001E-2</v>
      </c>
      <c r="N155" s="217">
        <v>5.7697999999999999E-2</v>
      </c>
      <c r="O155" s="100" t="s">
        <v>287</v>
      </c>
      <c r="P155" s="218">
        <f>(K155*AU)/(C155*pc)/Photometry!$AB$19</f>
        <v>0.73796807700005684</v>
      </c>
      <c r="Q155" s="522" t="s">
        <v>85</v>
      </c>
      <c r="R155" s="100">
        <v>999</v>
      </c>
      <c r="S155" s="103"/>
    </row>
    <row r="156" spans="1:19" x14ac:dyDescent="0.25">
      <c r="A156" s="497">
        <v>154</v>
      </c>
      <c r="B156" s="100">
        <v>7.78</v>
      </c>
      <c r="C156" s="214">
        <v>57.273800000000001</v>
      </c>
      <c r="D156" s="215">
        <v>301.83199999999999</v>
      </c>
      <c r="E156" s="215">
        <v>-35.538600000000002</v>
      </c>
      <c r="F156" s="216" t="s">
        <v>433</v>
      </c>
      <c r="G156" s="215">
        <v>1.9</v>
      </c>
      <c r="H156" s="215">
        <v>12.938000000000001</v>
      </c>
      <c r="I156" s="100">
        <v>0.4</v>
      </c>
      <c r="J156" s="100">
        <v>1038.0999999999999</v>
      </c>
      <c r="K156" s="100">
        <v>2.0699999999999998</v>
      </c>
      <c r="L156" s="100">
        <v>0.18</v>
      </c>
      <c r="M156" s="217">
        <v>3.6142000000000001E-2</v>
      </c>
      <c r="N156" s="217">
        <v>4.2647999999999998E-2</v>
      </c>
      <c r="O156" s="100" t="s">
        <v>299</v>
      </c>
      <c r="P156" s="218">
        <f>(K156*AU)/(C156*pc)/Photometry!$AB$19</f>
        <v>0.73500300023058718</v>
      </c>
      <c r="Q156" s="522" t="s">
        <v>86</v>
      </c>
      <c r="R156" s="100">
        <v>999</v>
      </c>
      <c r="S156" s="103"/>
    </row>
    <row r="157" spans="1:19" x14ac:dyDescent="0.25">
      <c r="A157" s="497">
        <v>155</v>
      </c>
      <c r="B157" s="100">
        <v>5.7229999999999999</v>
      </c>
      <c r="C157" s="214">
        <v>8.9110999999999994</v>
      </c>
      <c r="D157" s="215">
        <v>303.82249999999999</v>
      </c>
      <c r="E157" s="215">
        <v>-27.033000000000001</v>
      </c>
      <c r="F157" s="216" t="s">
        <v>434</v>
      </c>
      <c r="G157" s="215">
        <v>5.2999999999999999E-2</v>
      </c>
      <c r="H157" s="215">
        <v>8.2390000000000008</v>
      </c>
      <c r="I157" s="100">
        <v>0.4</v>
      </c>
      <c r="J157" s="100">
        <v>74.7</v>
      </c>
      <c r="K157" s="100">
        <v>0.32</v>
      </c>
      <c r="L157" s="100">
        <v>0.13</v>
      </c>
      <c r="M157" s="217">
        <v>3.5909999999999997E-2</v>
      </c>
      <c r="N157" s="217">
        <v>4.0578999999999997E-2</v>
      </c>
      <c r="O157" s="100" t="s">
        <v>275</v>
      </c>
      <c r="P157" s="218">
        <f>(K157*AU)/(C157*pc)/Photometry!$AB$19</f>
        <v>0.73028675830367307</v>
      </c>
      <c r="Q157" s="522" t="s">
        <v>87</v>
      </c>
      <c r="R157" s="100">
        <v>999</v>
      </c>
      <c r="S157" s="103"/>
    </row>
    <row r="158" spans="1:19" x14ac:dyDescent="0.25">
      <c r="A158" s="497">
        <v>156</v>
      </c>
      <c r="B158" s="100">
        <v>8.18</v>
      </c>
      <c r="C158" s="214">
        <v>62.735300000000002</v>
      </c>
      <c r="D158" s="215">
        <v>277.29579999999999</v>
      </c>
      <c r="E158" s="215">
        <v>11.695499999999999</v>
      </c>
      <c r="F158" s="216" t="s">
        <v>435</v>
      </c>
      <c r="G158" s="215">
        <v>0.67</v>
      </c>
      <c r="H158" s="215">
        <v>12.782999999999999</v>
      </c>
      <c r="I158" s="100">
        <v>0.4</v>
      </c>
      <c r="J158" s="100">
        <v>1145</v>
      </c>
      <c r="K158" s="100">
        <v>2.2400000000000002</v>
      </c>
      <c r="L158" s="100">
        <v>0.11</v>
      </c>
      <c r="M158" s="217">
        <v>3.5706000000000002E-2</v>
      </c>
      <c r="N158" s="217">
        <v>3.9633000000000002E-2</v>
      </c>
      <c r="O158" s="100" t="s">
        <v>281</v>
      </c>
      <c r="P158" s="218">
        <f>(K158*AU)/(C158*pc)/Photometry!$AB$19</f>
        <v>0.72612402145903554</v>
      </c>
      <c r="Q158" s="522" t="s">
        <v>86</v>
      </c>
      <c r="R158" s="100">
        <v>999</v>
      </c>
      <c r="S158" s="103"/>
    </row>
    <row r="159" spans="1:19" x14ac:dyDescent="0.25">
      <c r="A159" s="497">
        <v>157</v>
      </c>
      <c r="B159" s="100">
        <v>8.766</v>
      </c>
      <c r="C159" s="214">
        <v>32.7761</v>
      </c>
      <c r="D159" s="215">
        <v>55.206400000000002</v>
      </c>
      <c r="E159" s="215">
        <v>31.8263</v>
      </c>
      <c r="F159" s="216" t="s">
        <v>436</v>
      </c>
      <c r="G159" s="215">
        <v>13.65</v>
      </c>
      <c r="H159" s="215">
        <v>12.481</v>
      </c>
      <c r="I159" s="100">
        <v>0.4</v>
      </c>
      <c r="J159" s="100">
        <v>528.1</v>
      </c>
      <c r="K159" s="100">
        <v>1.17</v>
      </c>
      <c r="L159" s="100">
        <v>0.82</v>
      </c>
      <c r="M159" s="217">
        <v>3.5697E-2</v>
      </c>
      <c r="N159" s="217">
        <v>6.4967999999999998E-2</v>
      </c>
      <c r="O159" s="100" t="s">
        <v>323</v>
      </c>
      <c r="P159" s="218">
        <f>(K159*AU)/(C159*pc)/Photometry!$AB$19</f>
        <v>0.72594438557613594</v>
      </c>
      <c r="Q159" s="522" t="s">
        <v>87</v>
      </c>
      <c r="R159" s="100">
        <v>999</v>
      </c>
      <c r="S159" s="103"/>
    </row>
    <row r="160" spans="1:19" x14ac:dyDescent="0.25">
      <c r="A160" s="497">
        <v>158</v>
      </c>
      <c r="B160" s="100">
        <v>8</v>
      </c>
      <c r="C160" s="214">
        <v>67.294799999999995</v>
      </c>
      <c r="D160" s="215">
        <v>285.00349999999997</v>
      </c>
      <c r="E160" s="215">
        <v>-69.944199999999995</v>
      </c>
      <c r="F160" s="216" t="s">
        <v>437</v>
      </c>
      <c r="G160" s="215">
        <v>7.8</v>
      </c>
      <c r="H160" s="215">
        <v>12.946999999999999</v>
      </c>
      <c r="I160" s="100">
        <v>0.4</v>
      </c>
      <c r="J160" s="100">
        <v>1290</v>
      </c>
      <c r="K160" s="100">
        <v>2.4</v>
      </c>
      <c r="L160" s="100">
        <v>0.54</v>
      </c>
      <c r="M160" s="217">
        <v>3.5664000000000001E-2</v>
      </c>
      <c r="N160" s="217">
        <v>5.4923E-2</v>
      </c>
      <c r="O160" s="100" t="s">
        <v>438</v>
      </c>
      <c r="P160" s="218">
        <f>(K160*AU)/(C160*pc)/Photometry!$AB$19</f>
        <v>0.72527799309008956</v>
      </c>
      <c r="Q160" s="522" t="s">
        <v>86</v>
      </c>
      <c r="R160" s="100">
        <v>999</v>
      </c>
      <c r="S160" s="103"/>
    </row>
    <row r="161" spans="1:19" x14ac:dyDescent="0.25">
      <c r="A161" s="497">
        <v>159</v>
      </c>
      <c r="B161" s="100">
        <v>8.5</v>
      </c>
      <c r="C161" s="214">
        <v>53.447400000000002</v>
      </c>
      <c r="D161" s="215">
        <v>47.8093</v>
      </c>
      <c r="E161" s="215">
        <v>21.0974</v>
      </c>
      <c r="F161" s="216" t="s">
        <v>439</v>
      </c>
      <c r="G161" s="215">
        <v>0.56999999999999995</v>
      </c>
      <c r="H161" s="215">
        <v>12.692</v>
      </c>
      <c r="I161" s="100">
        <v>0.4</v>
      </c>
      <c r="J161" s="100">
        <v>962</v>
      </c>
      <c r="K161" s="100">
        <v>1.89</v>
      </c>
      <c r="L161" s="100">
        <v>0.17</v>
      </c>
      <c r="M161" s="217">
        <v>3.5361999999999998E-2</v>
      </c>
      <c r="N161" s="217">
        <v>4.1373E-2</v>
      </c>
      <c r="O161" s="100" t="s">
        <v>281</v>
      </c>
      <c r="P161" s="218">
        <f>(K161*AU)/(C161*pc)/Photometry!$AB$19</f>
        <v>0.7191342707578231</v>
      </c>
      <c r="Q161" s="522" t="s">
        <v>86</v>
      </c>
      <c r="R161" s="100">
        <v>999</v>
      </c>
      <c r="S161" s="103"/>
    </row>
    <row r="162" spans="1:19" x14ac:dyDescent="0.25">
      <c r="A162" s="497">
        <v>160</v>
      </c>
      <c r="B162" s="100">
        <v>8.7100000000000009</v>
      </c>
      <c r="C162" s="214">
        <v>28.8934</v>
      </c>
      <c r="D162" s="215">
        <v>197.66589999999999</v>
      </c>
      <c r="E162" s="215">
        <v>-35.0548</v>
      </c>
      <c r="F162" s="216" t="s">
        <v>440</v>
      </c>
      <c r="G162" s="215">
        <v>1.24</v>
      </c>
      <c r="H162" s="215">
        <v>12.877000000000001</v>
      </c>
      <c r="I162" s="100">
        <v>0.4</v>
      </c>
      <c r="J162" s="100">
        <v>937</v>
      </c>
      <c r="K162" s="100">
        <v>1.02</v>
      </c>
      <c r="L162" s="100">
        <v>0.23</v>
      </c>
      <c r="M162" s="217">
        <v>3.5302E-2</v>
      </c>
      <c r="N162" s="217">
        <v>4.3422000000000002E-2</v>
      </c>
      <c r="O162" s="100" t="s">
        <v>295</v>
      </c>
      <c r="P162" s="218">
        <f>(K162*AU)/(C162*pc)/Photometry!$AB$19</f>
        <v>0.71792038780463907</v>
      </c>
      <c r="Q162" s="522" t="s">
        <v>87</v>
      </c>
      <c r="R162" s="100">
        <v>999</v>
      </c>
      <c r="S162" s="103"/>
    </row>
    <row r="163" spans="1:19" x14ac:dyDescent="0.25">
      <c r="A163" s="497">
        <v>161</v>
      </c>
      <c r="B163" s="100">
        <v>7.9790000000000001</v>
      </c>
      <c r="C163" s="214">
        <v>68.823099999999997</v>
      </c>
      <c r="D163" s="215">
        <v>268.4187</v>
      </c>
      <c r="E163" s="215">
        <v>56.392000000000003</v>
      </c>
      <c r="F163" s="216" t="s">
        <v>441</v>
      </c>
      <c r="G163" s="215">
        <v>2.29</v>
      </c>
      <c r="H163" s="215">
        <v>12.965999999999999</v>
      </c>
      <c r="I163" s="100">
        <v>0.4</v>
      </c>
      <c r="J163" s="100">
        <v>1314</v>
      </c>
      <c r="K163" s="100">
        <v>2.42</v>
      </c>
      <c r="L163" s="100">
        <v>0.12</v>
      </c>
      <c r="M163" s="217">
        <v>3.5163E-2</v>
      </c>
      <c r="N163" s="217">
        <v>3.9382E-2</v>
      </c>
      <c r="O163" s="100" t="s">
        <v>349</v>
      </c>
      <c r="P163" s="218">
        <f>(K163*AU)/(C163*pc)/Photometry!$AB$19</f>
        <v>0.71508208922794747</v>
      </c>
      <c r="Q163" s="522" t="s">
        <v>86</v>
      </c>
      <c r="R163" s="100">
        <v>999</v>
      </c>
      <c r="S163" s="103"/>
    </row>
    <row r="164" spans="1:19" x14ac:dyDescent="0.25">
      <c r="A164" s="497">
        <v>162</v>
      </c>
      <c r="B164" s="100">
        <v>5.5220000000000002</v>
      </c>
      <c r="C164" s="214">
        <v>75.301199999999994</v>
      </c>
      <c r="D164" s="215">
        <v>314.60809999999998</v>
      </c>
      <c r="E164" s="215">
        <v>10.8393</v>
      </c>
      <c r="F164" s="216" t="s">
        <v>442</v>
      </c>
      <c r="G164" s="215">
        <v>10.3</v>
      </c>
      <c r="H164" s="215">
        <v>12.747999999999999</v>
      </c>
      <c r="I164" s="100">
        <v>0.4</v>
      </c>
      <c r="J164" s="100">
        <v>993.3</v>
      </c>
      <c r="K164" s="100">
        <v>2.6</v>
      </c>
      <c r="L164" s="100">
        <v>0.08</v>
      </c>
      <c r="M164" s="217">
        <v>3.4528000000000003E-2</v>
      </c>
      <c r="N164" s="217">
        <v>3.7289999999999997E-2</v>
      </c>
      <c r="O164" s="100" t="s">
        <v>443</v>
      </c>
      <c r="P164" s="218">
        <f>(K164*AU)/(C164*pc)/Photometry!$AB$19</f>
        <v>0.7021763789534412</v>
      </c>
      <c r="Q164" s="522" t="s">
        <v>86</v>
      </c>
      <c r="R164" s="100">
        <v>999</v>
      </c>
      <c r="S164" s="103"/>
    </row>
    <row r="165" spans="1:19" x14ac:dyDescent="0.25">
      <c r="A165" s="497">
        <v>163</v>
      </c>
      <c r="B165" s="100">
        <v>6.67</v>
      </c>
      <c r="C165" s="214">
        <v>54.794499999999999</v>
      </c>
      <c r="D165" s="215">
        <v>259.96420000000001</v>
      </c>
      <c r="E165" s="215">
        <v>-48.549300000000002</v>
      </c>
      <c r="F165" s="216" t="s">
        <v>444</v>
      </c>
      <c r="G165" s="215">
        <v>0.74</v>
      </c>
      <c r="H165" s="215">
        <v>12.795</v>
      </c>
      <c r="I165" s="100">
        <v>0.4</v>
      </c>
      <c r="J165" s="100">
        <v>842.2</v>
      </c>
      <c r="K165" s="100">
        <v>1.88</v>
      </c>
      <c r="L165" s="100">
        <v>0.22</v>
      </c>
      <c r="M165" s="217">
        <v>3.431E-2</v>
      </c>
      <c r="N165" s="217">
        <v>4.1857999999999999E-2</v>
      </c>
      <c r="O165" s="100" t="s">
        <v>445</v>
      </c>
      <c r="P165" s="218">
        <f>(K165*AU)/(C165*pc)/Photometry!$AB$19</f>
        <v>0.69774325342925259</v>
      </c>
      <c r="Q165" s="522" t="s">
        <v>85</v>
      </c>
      <c r="R165" s="100">
        <v>999</v>
      </c>
      <c r="S165" s="103"/>
    </row>
    <row r="166" spans="1:19" x14ac:dyDescent="0.25">
      <c r="A166" s="497">
        <v>164</v>
      </c>
      <c r="B166" s="100">
        <v>4.2549999999999999</v>
      </c>
      <c r="C166" s="214">
        <v>6.0434000000000001</v>
      </c>
      <c r="D166" s="215">
        <v>49.981900000000003</v>
      </c>
      <c r="E166" s="215">
        <v>-43.069800000000001</v>
      </c>
      <c r="F166" s="216" t="s">
        <v>364</v>
      </c>
      <c r="G166" s="215">
        <v>8.0000000000000002E-3</v>
      </c>
      <c r="H166" s="215">
        <v>1.2829999999999999</v>
      </c>
      <c r="I166" s="100">
        <v>0.4</v>
      </c>
      <c r="J166" s="100">
        <v>40.1</v>
      </c>
      <c r="K166" s="100">
        <v>0.2</v>
      </c>
      <c r="L166" s="100">
        <v>0</v>
      </c>
      <c r="M166" s="217">
        <v>3.3093999999999998E-2</v>
      </c>
      <c r="N166" s="217">
        <v>3.3093999999999998E-2</v>
      </c>
      <c r="O166" s="100" t="s">
        <v>237</v>
      </c>
      <c r="P166" s="218">
        <f>(K166*AU)/(C166*pc)/Photometry!$AB$19</f>
        <v>0.67301294924213417</v>
      </c>
      <c r="Q166" s="522" t="s">
        <v>85</v>
      </c>
      <c r="R166" s="100">
        <v>999</v>
      </c>
      <c r="S166" s="103"/>
    </row>
    <row r="167" spans="1:19" x14ac:dyDescent="0.25">
      <c r="A167" s="497">
        <v>165</v>
      </c>
      <c r="B167" s="100">
        <v>8.7870000000000008</v>
      </c>
      <c r="C167" s="214">
        <v>72.621600000000001</v>
      </c>
      <c r="D167" s="215">
        <v>216.7012</v>
      </c>
      <c r="E167" s="215">
        <v>-5.1778000000000004</v>
      </c>
      <c r="F167" s="216" t="s">
        <v>446</v>
      </c>
      <c r="G167" s="215">
        <v>0.38</v>
      </c>
      <c r="H167" s="215">
        <v>12.458</v>
      </c>
      <c r="I167" s="100">
        <v>0.4</v>
      </c>
      <c r="J167" s="100">
        <v>1244</v>
      </c>
      <c r="K167" s="100">
        <v>2.35</v>
      </c>
      <c r="L167" s="100">
        <v>0.41</v>
      </c>
      <c r="M167" s="217">
        <v>3.2358999999999999E-2</v>
      </c>
      <c r="N167" s="217">
        <v>4.5627000000000001E-2</v>
      </c>
      <c r="O167" s="100" t="s">
        <v>447</v>
      </c>
      <c r="P167" s="218">
        <f>(K167*AU)/(C167*pc)/Photometry!$AB$19</f>
        <v>0.65807715438707604</v>
      </c>
      <c r="Q167" s="522" t="s">
        <v>87</v>
      </c>
      <c r="R167" s="100">
        <v>999</v>
      </c>
      <c r="S167" s="103"/>
    </row>
    <row r="168" spans="1:19" x14ac:dyDescent="0.25">
      <c r="A168" s="497">
        <v>166</v>
      </c>
      <c r="B168" s="100">
        <v>7.69</v>
      </c>
      <c r="C168" s="214">
        <v>41.771099999999997</v>
      </c>
      <c r="D168" s="215">
        <v>355.46469999999999</v>
      </c>
      <c r="E168" s="215">
        <v>-5.9858000000000002</v>
      </c>
      <c r="F168" s="216" t="s">
        <v>448</v>
      </c>
      <c r="G168" s="215">
        <v>7.75</v>
      </c>
      <c r="H168" s="215">
        <v>12.951000000000001</v>
      </c>
      <c r="I168" s="100">
        <v>0.4</v>
      </c>
      <c r="J168" s="100">
        <v>572.4</v>
      </c>
      <c r="K168" s="100">
        <v>1.35</v>
      </c>
      <c r="L168" s="100">
        <v>0.73</v>
      </c>
      <c r="M168" s="217">
        <v>3.2319000000000001E-2</v>
      </c>
      <c r="N168" s="217">
        <v>5.5912000000000003E-2</v>
      </c>
      <c r="O168" s="100" t="s">
        <v>281</v>
      </c>
      <c r="P168" s="218">
        <f>(K168*AU)/(C168*pc)/Photometry!$AB$19</f>
        <v>0.65725306701970787</v>
      </c>
      <c r="Q168" s="522" t="s">
        <v>86</v>
      </c>
      <c r="R168" s="100">
        <v>999</v>
      </c>
      <c r="S168" s="103"/>
    </row>
    <row r="169" spans="1:19" x14ac:dyDescent="0.25">
      <c r="A169" s="497">
        <v>167</v>
      </c>
      <c r="B169" s="100">
        <v>10.042</v>
      </c>
      <c r="C169" s="214">
        <v>10.4145</v>
      </c>
      <c r="D169" s="215">
        <v>33.087499999999999</v>
      </c>
      <c r="E169" s="215">
        <v>3.5756000000000001</v>
      </c>
      <c r="F169" s="216" t="s">
        <v>449</v>
      </c>
      <c r="G169" s="215">
        <v>4.5999999999999999E-2</v>
      </c>
      <c r="H169" s="215">
        <v>6.87</v>
      </c>
      <c r="I169" s="100">
        <v>0.4</v>
      </c>
      <c r="J169" s="100">
        <v>124.3</v>
      </c>
      <c r="K169" s="100">
        <v>0.33</v>
      </c>
      <c r="L169" s="100">
        <v>0.06</v>
      </c>
      <c r="M169" s="217">
        <v>3.1687E-2</v>
      </c>
      <c r="N169" s="217">
        <v>3.3588E-2</v>
      </c>
      <c r="O169" s="100" t="s">
        <v>450</v>
      </c>
      <c r="P169" s="218">
        <f>(K169*AU)/(C169*pc)/Photometry!$AB$19</f>
        <v>0.64439220843942158</v>
      </c>
      <c r="Q169" s="522" t="s">
        <v>90</v>
      </c>
      <c r="R169" s="100">
        <v>999</v>
      </c>
      <c r="S169" s="103"/>
    </row>
    <row r="170" spans="1:19" x14ac:dyDescent="0.25">
      <c r="A170" s="497">
        <v>168</v>
      </c>
      <c r="B170" s="100">
        <v>6.46</v>
      </c>
      <c r="C170" s="214">
        <v>26.205500000000001</v>
      </c>
      <c r="D170" s="215">
        <v>228.36940000000001</v>
      </c>
      <c r="E170" s="215">
        <v>-25.3093</v>
      </c>
      <c r="F170" s="216" t="s">
        <v>258</v>
      </c>
      <c r="G170" s="215">
        <v>1.59</v>
      </c>
      <c r="H170" s="215">
        <v>12.916</v>
      </c>
      <c r="I170" s="100">
        <v>0.4</v>
      </c>
      <c r="J170" s="100">
        <v>258.2</v>
      </c>
      <c r="K170" s="100">
        <v>0.81</v>
      </c>
      <c r="L170" s="100">
        <v>0.23</v>
      </c>
      <c r="M170" s="217">
        <v>3.091E-2</v>
      </c>
      <c r="N170" s="217">
        <v>3.8018999999999997E-2</v>
      </c>
      <c r="O170" s="100" t="s">
        <v>259</v>
      </c>
      <c r="P170" s="218">
        <f>(K170*AU)/(C170*pc)/Photometry!$AB$19</f>
        <v>0.62858980567713441</v>
      </c>
      <c r="Q170" s="522" t="s">
        <v>86</v>
      </c>
      <c r="R170" s="100">
        <v>999</v>
      </c>
      <c r="S170" s="103"/>
    </row>
    <row r="171" spans="1:19" x14ac:dyDescent="0.25">
      <c r="A171" s="497">
        <v>169</v>
      </c>
      <c r="B171" s="100">
        <v>2.12</v>
      </c>
      <c r="C171" s="214">
        <v>38.520800000000001</v>
      </c>
      <c r="D171" s="215">
        <v>154.99340000000001</v>
      </c>
      <c r="E171" s="215">
        <v>19.8413</v>
      </c>
      <c r="F171" s="216" t="s">
        <v>451</v>
      </c>
      <c r="G171" s="215">
        <v>8.7799999999999994</v>
      </c>
      <c r="H171" s="215">
        <v>12.869</v>
      </c>
      <c r="I171" s="100">
        <v>0.4</v>
      </c>
      <c r="J171" s="100">
        <v>428.5</v>
      </c>
      <c r="K171" s="100">
        <v>1.19</v>
      </c>
      <c r="L171" s="100">
        <v>0.14000000000000001</v>
      </c>
      <c r="M171" s="217">
        <v>3.0891999999999999E-2</v>
      </c>
      <c r="N171" s="217">
        <v>3.5216999999999998E-2</v>
      </c>
      <c r="O171" s="100" t="s">
        <v>452</v>
      </c>
      <c r="P171" s="218">
        <f>(K171*AU)/(C171*pc)/Photometry!$AB$19</f>
        <v>0.62824122089434753</v>
      </c>
      <c r="Q171" s="522" t="s">
        <v>87</v>
      </c>
      <c r="R171" s="100">
        <v>999</v>
      </c>
      <c r="S171" s="103"/>
    </row>
    <row r="172" spans="1:19" x14ac:dyDescent="0.25">
      <c r="A172" s="497">
        <v>170</v>
      </c>
      <c r="B172" s="100">
        <v>7.34</v>
      </c>
      <c r="C172" s="214">
        <v>34.234900000000003</v>
      </c>
      <c r="D172" s="215">
        <v>239.42</v>
      </c>
      <c r="E172" s="215">
        <v>-60.200299999999999</v>
      </c>
      <c r="F172" s="216" t="s">
        <v>453</v>
      </c>
      <c r="G172" s="215">
        <v>1.62</v>
      </c>
      <c r="H172" s="215">
        <v>12.917999999999999</v>
      </c>
      <c r="I172" s="100">
        <v>0.4</v>
      </c>
      <c r="J172" s="100">
        <v>386.3</v>
      </c>
      <c r="K172" s="100">
        <v>1.05</v>
      </c>
      <c r="L172" s="100">
        <v>0.5</v>
      </c>
      <c r="M172" s="217">
        <v>3.0669999999999999E-2</v>
      </c>
      <c r="N172" s="217">
        <v>4.6005999999999998E-2</v>
      </c>
      <c r="O172" s="100" t="s">
        <v>233</v>
      </c>
      <c r="P172" s="218">
        <f>(K172*AU)/(C172*pc)/Photometry!$AB$19</f>
        <v>0.62372765515926853</v>
      </c>
      <c r="Q172" s="522" t="s">
        <v>85</v>
      </c>
      <c r="R172" s="100">
        <v>999</v>
      </c>
      <c r="S172" s="103"/>
    </row>
    <row r="173" spans="1:19" x14ac:dyDescent="0.25">
      <c r="A173" s="497">
        <v>171</v>
      </c>
      <c r="B173" s="100">
        <v>7.86</v>
      </c>
      <c r="C173" s="214">
        <v>58.072000000000003</v>
      </c>
      <c r="D173" s="215">
        <v>290.7208</v>
      </c>
      <c r="E173" s="215">
        <v>-32.9191</v>
      </c>
      <c r="F173" s="216" t="s">
        <v>454</v>
      </c>
      <c r="G173" s="215">
        <v>0.37</v>
      </c>
      <c r="H173" s="215">
        <v>12.42</v>
      </c>
      <c r="I173" s="100">
        <v>0.4</v>
      </c>
      <c r="J173" s="100">
        <v>956</v>
      </c>
      <c r="K173" s="100">
        <v>1.78</v>
      </c>
      <c r="L173" s="100">
        <v>0.26</v>
      </c>
      <c r="M173" s="217">
        <v>3.0651999999999999E-2</v>
      </c>
      <c r="N173" s="217">
        <v>3.8621000000000003E-2</v>
      </c>
      <c r="O173" s="100" t="s">
        <v>233</v>
      </c>
      <c r="P173" s="218">
        <f>(K173*AU)/(C173*pc)/Photometry!$AB$19</f>
        <v>0.62334428763094474</v>
      </c>
      <c r="Q173" s="522" t="s">
        <v>85</v>
      </c>
      <c r="R173" s="100">
        <v>999</v>
      </c>
      <c r="S173" s="103"/>
    </row>
    <row r="174" spans="1:19" x14ac:dyDescent="0.25">
      <c r="A174" s="497">
        <v>172</v>
      </c>
      <c r="B174" s="100">
        <v>9.16</v>
      </c>
      <c r="C174" s="214">
        <v>65.659899999999993</v>
      </c>
      <c r="D174" s="215">
        <v>240.4598</v>
      </c>
      <c r="E174" s="215">
        <v>-44.4345</v>
      </c>
      <c r="F174" s="216" t="s">
        <v>455</v>
      </c>
      <c r="G174" s="215">
        <v>3.12</v>
      </c>
      <c r="H174" s="215">
        <v>13.052</v>
      </c>
      <c r="I174" s="100">
        <v>0.4</v>
      </c>
      <c r="J174" s="100">
        <v>1057</v>
      </c>
      <c r="K174" s="100">
        <v>2</v>
      </c>
      <c r="L174" s="100">
        <v>0.15</v>
      </c>
      <c r="M174" s="217">
        <v>3.0460000000000001E-2</v>
      </c>
      <c r="N174" s="217">
        <v>3.5028999999999998E-2</v>
      </c>
      <c r="O174" s="100" t="s">
        <v>341</v>
      </c>
      <c r="P174" s="218">
        <f>(K174*AU)/(C174*pc)/Photometry!$AB$19</f>
        <v>0.61944755588264877</v>
      </c>
      <c r="Q174" s="522" t="s">
        <v>86</v>
      </c>
      <c r="R174" s="100">
        <v>999</v>
      </c>
      <c r="S174" s="103"/>
    </row>
    <row r="175" spans="1:19" x14ac:dyDescent="0.25">
      <c r="A175" s="497">
        <v>173</v>
      </c>
      <c r="B175" s="100">
        <v>4.3899999999999997</v>
      </c>
      <c r="C175" s="214">
        <v>25.2972</v>
      </c>
      <c r="D175" s="215">
        <v>113.5133</v>
      </c>
      <c r="E175" s="215">
        <v>-22.296099999999999</v>
      </c>
      <c r="F175" s="216" t="s">
        <v>356</v>
      </c>
      <c r="G175" s="215">
        <v>3.15</v>
      </c>
      <c r="H175" s="215">
        <v>13.055999999999999</v>
      </c>
      <c r="I175" s="100">
        <v>0.4</v>
      </c>
      <c r="J175" s="100">
        <v>201.8</v>
      </c>
      <c r="K175" s="100">
        <v>0.77</v>
      </c>
      <c r="L175" s="100">
        <v>0.28000000000000003</v>
      </c>
      <c r="M175" s="217">
        <v>3.0438E-2</v>
      </c>
      <c r="N175" s="217">
        <v>3.8961000000000003E-2</v>
      </c>
      <c r="O175" s="100" t="s">
        <v>357</v>
      </c>
      <c r="P175" s="218">
        <f>(K175*AU)/(C175*pc)/Photometry!$AB$19</f>
        <v>0.61900340200425996</v>
      </c>
      <c r="Q175" s="522" t="s">
        <v>84</v>
      </c>
      <c r="R175" s="100">
        <v>999</v>
      </c>
      <c r="S175" s="103"/>
    </row>
    <row r="176" spans="1:19" x14ac:dyDescent="0.25">
      <c r="A176" s="497">
        <v>174</v>
      </c>
      <c r="B176" s="100">
        <v>8.73</v>
      </c>
      <c r="C176" s="214">
        <v>183.15020000000001</v>
      </c>
      <c r="D176" s="215">
        <v>302.87799999999999</v>
      </c>
      <c r="E176" s="215">
        <v>-64.620500000000007</v>
      </c>
      <c r="F176" s="216" t="s">
        <v>456</v>
      </c>
      <c r="G176" s="215">
        <v>3.1</v>
      </c>
      <c r="H176" s="215">
        <v>13.05</v>
      </c>
      <c r="I176" s="100">
        <v>0.4</v>
      </c>
      <c r="J176" s="100">
        <v>4885</v>
      </c>
      <c r="K176" s="100">
        <v>5.5</v>
      </c>
      <c r="L176" s="100">
        <v>0.56999999999999995</v>
      </c>
      <c r="M176" s="217">
        <v>3.0030000000000001E-2</v>
      </c>
      <c r="N176" s="217">
        <v>4.7147000000000001E-2</v>
      </c>
      <c r="O176" s="100" t="s">
        <v>321</v>
      </c>
      <c r="P176" s="218">
        <f>(K176*AU)/(C176*pc)/Photometry!$AB$19</f>
        <v>0.61070300540142797</v>
      </c>
      <c r="Q176" s="522" t="s">
        <v>84</v>
      </c>
      <c r="R176" s="100">
        <v>999</v>
      </c>
      <c r="S176" s="103"/>
    </row>
    <row r="177" spans="1:19" x14ac:dyDescent="0.25">
      <c r="A177" s="497">
        <v>175</v>
      </c>
      <c r="B177" s="100">
        <v>8.9499999999999993</v>
      </c>
      <c r="C177" s="214">
        <v>43.591999999999999</v>
      </c>
      <c r="D177" s="215">
        <v>341.65309999999999</v>
      </c>
      <c r="E177" s="215">
        <v>-56.599499999999999</v>
      </c>
      <c r="F177" s="216" t="s">
        <v>457</v>
      </c>
      <c r="G177" s="215">
        <v>0.33</v>
      </c>
      <c r="H177" s="215">
        <v>12.27</v>
      </c>
      <c r="I177" s="100">
        <v>0.4</v>
      </c>
      <c r="J177" s="100">
        <v>567.9</v>
      </c>
      <c r="K177" s="100">
        <v>1.28</v>
      </c>
      <c r="L177" s="100">
        <v>0.49</v>
      </c>
      <c r="M177" s="217">
        <v>2.9363E-2</v>
      </c>
      <c r="N177" s="217">
        <v>4.3750999999999998E-2</v>
      </c>
      <c r="O177" s="100" t="s">
        <v>295</v>
      </c>
      <c r="P177" s="218">
        <f>(K177*AU)/(C177*pc)/Photometry!$AB$19</f>
        <v>0.59714244190859433</v>
      </c>
      <c r="Q177" s="522" t="s">
        <v>87</v>
      </c>
      <c r="R177" s="100">
        <v>999</v>
      </c>
      <c r="S177" s="103"/>
    </row>
    <row r="178" spans="1:19" x14ac:dyDescent="0.25">
      <c r="A178" s="497">
        <v>176</v>
      </c>
      <c r="B178" s="100">
        <v>8.4499999999999993</v>
      </c>
      <c r="C178" s="214">
        <v>67.8887</v>
      </c>
      <c r="D178" s="215">
        <v>224.2277</v>
      </c>
      <c r="E178" s="215">
        <v>53.382199999999997</v>
      </c>
      <c r="F178" s="216" t="s">
        <v>458</v>
      </c>
      <c r="G178" s="215">
        <v>5.61</v>
      </c>
      <c r="H178" s="215">
        <v>13.079000000000001</v>
      </c>
      <c r="I178" s="100">
        <v>0.4</v>
      </c>
      <c r="J178" s="100">
        <v>974</v>
      </c>
      <c r="K178" s="100">
        <v>1.98</v>
      </c>
      <c r="L178" s="100">
        <v>0.34</v>
      </c>
      <c r="M178" s="217">
        <v>2.9165E-2</v>
      </c>
      <c r="N178" s="217">
        <v>3.9081999999999999E-2</v>
      </c>
      <c r="O178" s="100" t="s">
        <v>287</v>
      </c>
      <c r="P178" s="218">
        <f>(K178*AU)/(C178*pc)/Photometry!$AB$19</f>
        <v>0.59311985542150814</v>
      </c>
      <c r="Q178" s="522" t="s">
        <v>85</v>
      </c>
      <c r="R178" s="100">
        <v>999</v>
      </c>
      <c r="S178" s="103"/>
    </row>
    <row r="179" spans="1:19" x14ac:dyDescent="0.25">
      <c r="A179" s="497">
        <v>177</v>
      </c>
      <c r="B179" s="100">
        <v>7.88</v>
      </c>
      <c r="C179" s="214">
        <v>44.052900000000001</v>
      </c>
      <c r="D179" s="215">
        <v>10.8025</v>
      </c>
      <c r="E179" s="215">
        <v>-37.982599999999998</v>
      </c>
      <c r="F179" s="216" t="s">
        <v>459</v>
      </c>
      <c r="G179" s="215">
        <v>1.56</v>
      </c>
      <c r="H179" s="215">
        <v>12.913</v>
      </c>
      <c r="I179" s="100">
        <v>0.4</v>
      </c>
      <c r="J179" s="100">
        <v>526.6</v>
      </c>
      <c r="K179" s="100">
        <v>1.28</v>
      </c>
      <c r="L179" s="100">
        <v>0.9</v>
      </c>
      <c r="M179" s="217">
        <v>2.9055999999999998E-2</v>
      </c>
      <c r="N179" s="217">
        <v>5.5205999999999998E-2</v>
      </c>
      <c r="O179" s="100" t="s">
        <v>299</v>
      </c>
      <c r="P179" s="218">
        <f>(K179*AU)/(C179*pc)/Photometry!$AB$19</f>
        <v>0.59089488609556795</v>
      </c>
      <c r="Q179" s="522" t="s">
        <v>86</v>
      </c>
      <c r="R179" s="100">
        <v>999</v>
      </c>
      <c r="S179" s="103"/>
    </row>
    <row r="180" spans="1:19" x14ac:dyDescent="0.25">
      <c r="A180" s="497">
        <v>178</v>
      </c>
      <c r="B180" s="100">
        <v>4.6950000000000003</v>
      </c>
      <c r="C180" s="214">
        <v>67.069100000000006</v>
      </c>
      <c r="D180" s="215">
        <v>28.733899999999998</v>
      </c>
      <c r="E180" s="215">
        <v>-67.647300000000001</v>
      </c>
      <c r="F180" s="216" t="s">
        <v>460</v>
      </c>
      <c r="G180" s="215">
        <v>6.54</v>
      </c>
      <c r="H180" s="215">
        <v>13.047000000000001</v>
      </c>
      <c r="I180" s="100">
        <v>0.4</v>
      </c>
      <c r="J180" s="100">
        <v>711</v>
      </c>
      <c r="K180" s="100">
        <v>1.93</v>
      </c>
      <c r="L180" s="100">
        <v>0.4</v>
      </c>
      <c r="M180" s="217">
        <v>2.8775999999999999E-2</v>
      </c>
      <c r="N180" s="217">
        <v>4.0287000000000003E-2</v>
      </c>
      <c r="O180" s="100" t="s">
        <v>461</v>
      </c>
      <c r="P180" s="218">
        <f>(K180*AU)/(C180*pc)/Photometry!$AB$19</f>
        <v>0.58520711198438102</v>
      </c>
      <c r="Q180" s="522" t="s">
        <v>86</v>
      </c>
      <c r="R180" s="100">
        <v>999</v>
      </c>
      <c r="S180" s="103"/>
    </row>
    <row r="181" spans="1:19" x14ac:dyDescent="0.25">
      <c r="A181" s="497">
        <v>179</v>
      </c>
      <c r="B181" s="100">
        <v>8.1</v>
      </c>
      <c r="C181" s="214">
        <v>33.255699999999997</v>
      </c>
      <c r="D181" s="215">
        <v>116.9572</v>
      </c>
      <c r="E181" s="215">
        <v>-54.264099999999999</v>
      </c>
      <c r="F181" s="216" t="s">
        <v>462</v>
      </c>
      <c r="G181" s="215">
        <v>0.64</v>
      </c>
      <c r="H181" s="215">
        <v>12.766999999999999</v>
      </c>
      <c r="I181" s="100">
        <v>0.4</v>
      </c>
      <c r="J181" s="100">
        <v>358</v>
      </c>
      <c r="K181" s="100">
        <v>0.95</v>
      </c>
      <c r="L181" s="100">
        <v>0.24</v>
      </c>
      <c r="M181" s="217">
        <v>2.8566999999999999E-2</v>
      </c>
      <c r="N181" s="217">
        <v>3.5422000000000002E-2</v>
      </c>
      <c r="O181" s="100" t="s">
        <v>401</v>
      </c>
      <c r="P181" s="218">
        <f>(K181*AU)/(C181*pc)/Photometry!$AB$19</f>
        <v>0.58094133255012192</v>
      </c>
      <c r="Q181" s="522" t="s">
        <v>86</v>
      </c>
      <c r="R181" s="100">
        <v>999</v>
      </c>
      <c r="S181" s="103"/>
    </row>
    <row r="182" spans="1:19" x14ac:dyDescent="0.25">
      <c r="A182" s="497">
        <v>180</v>
      </c>
      <c r="B182" s="100">
        <v>6.5780000000000003</v>
      </c>
      <c r="C182" s="214">
        <v>17.497800000000002</v>
      </c>
      <c r="D182" s="215">
        <v>4.0528000000000004</v>
      </c>
      <c r="E182" s="215">
        <v>-79.851200000000006</v>
      </c>
      <c r="F182" s="216" t="s">
        <v>463</v>
      </c>
      <c r="G182" s="215">
        <v>3.37</v>
      </c>
      <c r="H182" s="215">
        <v>13.079000000000001</v>
      </c>
      <c r="I182" s="100">
        <v>0.4</v>
      </c>
      <c r="J182" s="100">
        <v>133.69999999999999</v>
      </c>
      <c r="K182" s="100">
        <v>0.49</v>
      </c>
      <c r="L182" s="100">
        <v>0.51</v>
      </c>
      <c r="M182" s="217">
        <v>2.8003E-2</v>
      </c>
      <c r="N182" s="217">
        <v>4.2285000000000003E-2</v>
      </c>
      <c r="O182" s="100" t="s">
        <v>237</v>
      </c>
      <c r="P182" s="218">
        <f>(K182*AU)/(C182*pc)/Photometry!$AB$19</f>
        <v>0.5694916972849321</v>
      </c>
      <c r="Q182" s="522" t="s">
        <v>86</v>
      </c>
      <c r="R182" s="100">
        <v>999</v>
      </c>
      <c r="S182" s="103"/>
    </row>
    <row r="183" spans="1:19" x14ac:dyDescent="0.25">
      <c r="A183" s="497">
        <v>181</v>
      </c>
      <c r="B183" s="100">
        <v>5.649</v>
      </c>
      <c r="C183" s="214">
        <v>14.8126</v>
      </c>
      <c r="D183" s="215">
        <v>230.45060000000001</v>
      </c>
      <c r="E183" s="215">
        <v>-48.317599999999999</v>
      </c>
      <c r="F183" s="216" t="s">
        <v>464</v>
      </c>
      <c r="G183" s="215">
        <v>0.03</v>
      </c>
      <c r="H183" s="215">
        <v>1.7849999999999999</v>
      </c>
      <c r="I183" s="100">
        <v>0.4</v>
      </c>
      <c r="J183" s="100">
        <v>106.7</v>
      </c>
      <c r="K183" s="100">
        <v>0.41</v>
      </c>
      <c r="L183" s="100">
        <v>0.43</v>
      </c>
      <c r="M183" s="217">
        <v>2.7678999999999999E-2</v>
      </c>
      <c r="N183" s="217">
        <v>3.9580999999999998E-2</v>
      </c>
      <c r="O183" s="100" t="s">
        <v>312</v>
      </c>
      <c r="P183" s="218">
        <f>(K183*AU)/(C183*pc)/Photometry!$AB$19</f>
        <v>0.56289491633962452</v>
      </c>
      <c r="Q183" s="522" t="s">
        <v>86</v>
      </c>
      <c r="R183" s="100">
        <v>999</v>
      </c>
      <c r="S183" s="103"/>
    </row>
    <row r="184" spans="1:19" x14ac:dyDescent="0.25">
      <c r="A184" s="497">
        <v>182</v>
      </c>
      <c r="B184" s="100">
        <v>8.06</v>
      </c>
      <c r="C184" s="214">
        <v>32.690399999999997</v>
      </c>
      <c r="D184" s="215">
        <v>96.410300000000007</v>
      </c>
      <c r="E184" s="215">
        <v>-31.481000000000002</v>
      </c>
      <c r="F184" s="216" t="s">
        <v>465</v>
      </c>
      <c r="G184" s="215">
        <v>0.65800000000000003</v>
      </c>
      <c r="H184" s="215">
        <v>12.78</v>
      </c>
      <c r="I184" s="100">
        <v>0.4</v>
      </c>
      <c r="J184" s="100">
        <v>342.9</v>
      </c>
      <c r="K184" s="100">
        <v>0.9</v>
      </c>
      <c r="L184" s="100">
        <v>0.1</v>
      </c>
      <c r="M184" s="217">
        <v>2.7531E-2</v>
      </c>
      <c r="N184" s="217">
        <v>3.0283999999999998E-2</v>
      </c>
      <c r="O184" s="100" t="s">
        <v>237</v>
      </c>
      <c r="P184" s="218">
        <f>(K184*AU)/(C184*pc)/Photometry!$AB$19</f>
        <v>0.55988268906237326</v>
      </c>
      <c r="Q184" s="522" t="s">
        <v>86</v>
      </c>
      <c r="R184" s="100">
        <v>999</v>
      </c>
      <c r="S184" s="103"/>
    </row>
    <row r="185" spans="1:19" x14ac:dyDescent="0.25">
      <c r="A185" s="497">
        <v>183</v>
      </c>
      <c r="B185" s="100">
        <v>9.83</v>
      </c>
      <c r="C185" s="214">
        <v>41.067799999999998</v>
      </c>
      <c r="D185" s="215">
        <v>270.77890000000002</v>
      </c>
      <c r="E185" s="215">
        <v>-28.560600000000001</v>
      </c>
      <c r="F185" s="216" t="s">
        <v>466</v>
      </c>
      <c r="G185" s="215">
        <v>2.7</v>
      </c>
      <c r="H185" s="215">
        <v>13.007999999999999</v>
      </c>
      <c r="I185" s="100">
        <v>0.4</v>
      </c>
      <c r="J185" s="100">
        <v>606.4</v>
      </c>
      <c r="K185" s="100">
        <v>1.1299999999999999</v>
      </c>
      <c r="L185" s="100">
        <v>0.24</v>
      </c>
      <c r="M185" s="217">
        <v>2.7515999999999999E-2</v>
      </c>
      <c r="N185" s="217">
        <v>3.4118999999999997E-2</v>
      </c>
      <c r="O185" s="100" t="s">
        <v>467</v>
      </c>
      <c r="P185" s="218">
        <f>(K185*AU)/(C185*pc)/Photometry!$AB$19</f>
        <v>0.5595665822028939</v>
      </c>
      <c r="Q185" s="522" t="s">
        <v>88</v>
      </c>
      <c r="R185" s="100">
        <v>999</v>
      </c>
      <c r="S185" s="103"/>
    </row>
    <row r="186" spans="1:19" x14ac:dyDescent="0.25">
      <c r="A186" s="497">
        <v>184</v>
      </c>
      <c r="B186" s="100">
        <v>7.86</v>
      </c>
      <c r="C186" s="214">
        <v>55.096400000000003</v>
      </c>
      <c r="D186" s="215">
        <v>292.10239999999999</v>
      </c>
      <c r="E186" s="215">
        <v>8.3581000000000003</v>
      </c>
      <c r="F186" s="216" t="s">
        <v>338</v>
      </c>
      <c r="G186" s="215">
        <v>3.67</v>
      </c>
      <c r="H186" s="215">
        <v>13.111000000000001</v>
      </c>
      <c r="I186" s="100">
        <v>0.4</v>
      </c>
      <c r="J186" s="100">
        <v>626.5</v>
      </c>
      <c r="K186" s="100">
        <v>1.51</v>
      </c>
      <c r="L186" s="100">
        <v>0.36</v>
      </c>
      <c r="M186" s="217">
        <v>2.7406E-2</v>
      </c>
      <c r="N186" s="217">
        <v>3.7273000000000001E-2</v>
      </c>
      <c r="O186" s="100" t="s">
        <v>339</v>
      </c>
      <c r="P186" s="218">
        <f>(K186*AU)/(C186*pc)/Photometry!$AB$19</f>
        <v>0.55735062097971622</v>
      </c>
      <c r="Q186" s="522" t="s">
        <v>85</v>
      </c>
      <c r="R186" s="100">
        <v>999</v>
      </c>
      <c r="S186" s="103"/>
    </row>
    <row r="187" spans="1:19" x14ac:dyDescent="0.25">
      <c r="A187" s="497">
        <v>185</v>
      </c>
      <c r="B187" s="100">
        <v>7.3</v>
      </c>
      <c r="C187" s="214">
        <v>35.460999999999999</v>
      </c>
      <c r="D187" s="215">
        <v>160.7022</v>
      </c>
      <c r="E187" s="215">
        <v>-2.1838000000000002</v>
      </c>
      <c r="F187" s="216" t="s">
        <v>468</v>
      </c>
      <c r="G187" s="215">
        <v>3.86</v>
      </c>
      <c r="H187" s="215">
        <v>13.132</v>
      </c>
      <c r="I187" s="100">
        <v>0.4</v>
      </c>
      <c r="J187" s="100">
        <v>325.8</v>
      </c>
      <c r="K187" s="100">
        <v>0.97</v>
      </c>
      <c r="L187" s="100">
        <v>0.33</v>
      </c>
      <c r="M187" s="217">
        <v>2.7354E-2</v>
      </c>
      <c r="N187" s="217">
        <v>3.6380999999999997E-2</v>
      </c>
      <c r="O187" s="100" t="s">
        <v>341</v>
      </c>
      <c r="P187" s="218">
        <f>(K187*AU)/(C187*pc)/Photometry!$AB$19</f>
        <v>0.55628265752889317</v>
      </c>
      <c r="Q187" s="522" t="s">
        <v>86</v>
      </c>
      <c r="R187" s="100">
        <v>999</v>
      </c>
      <c r="S187" s="103"/>
    </row>
    <row r="188" spans="1:19" x14ac:dyDescent="0.25">
      <c r="A188" s="497">
        <v>186</v>
      </c>
      <c r="B188" s="100">
        <v>6.53</v>
      </c>
      <c r="C188" s="214">
        <v>27.4725</v>
      </c>
      <c r="D188" s="215">
        <v>143.7114</v>
      </c>
      <c r="E188" s="215">
        <v>-12.1295</v>
      </c>
      <c r="F188" s="216" t="s">
        <v>408</v>
      </c>
      <c r="G188" s="215">
        <v>2.0099999999999998</v>
      </c>
      <c r="H188" s="215">
        <v>12.946</v>
      </c>
      <c r="I188" s="100">
        <v>0.4</v>
      </c>
      <c r="J188" s="100">
        <v>219</v>
      </c>
      <c r="K188" s="100">
        <v>0.75</v>
      </c>
      <c r="L188" s="100">
        <v>0.36</v>
      </c>
      <c r="M188" s="217">
        <v>2.7300000000000001E-2</v>
      </c>
      <c r="N188" s="217">
        <v>3.7128000000000001E-2</v>
      </c>
      <c r="O188" s="100" t="s">
        <v>409</v>
      </c>
      <c r="P188" s="218">
        <f>(K188*AU)/(C188*pc)/Photometry!$AB$19</f>
        <v>0.55518515662706969</v>
      </c>
      <c r="Q188" s="522" t="s">
        <v>84</v>
      </c>
      <c r="R188" s="100">
        <v>999</v>
      </c>
      <c r="S188" s="103"/>
    </row>
    <row r="189" spans="1:19" x14ac:dyDescent="0.25">
      <c r="A189" s="497">
        <v>187</v>
      </c>
      <c r="B189" s="100">
        <v>8.4</v>
      </c>
      <c r="C189" s="214">
        <v>96.061499999999995</v>
      </c>
      <c r="D189" s="215">
        <v>224.58969999999999</v>
      </c>
      <c r="E189" s="215">
        <v>44.043100000000003</v>
      </c>
      <c r="F189" s="216" t="s">
        <v>469</v>
      </c>
      <c r="G189" s="215">
        <v>1.49</v>
      </c>
      <c r="H189" s="215">
        <v>12.907999999999999</v>
      </c>
      <c r="I189" s="100">
        <v>0.4</v>
      </c>
      <c r="J189" s="100">
        <v>1544</v>
      </c>
      <c r="K189" s="100">
        <v>2.62</v>
      </c>
      <c r="L189" s="100">
        <v>0.22</v>
      </c>
      <c r="M189" s="217">
        <v>2.7274E-2</v>
      </c>
      <c r="N189" s="217">
        <v>3.3274999999999999E-2</v>
      </c>
      <c r="O189" s="100" t="s">
        <v>470</v>
      </c>
      <c r="P189" s="218">
        <f>(K189*AU)/(C189*pc)/Photometry!$AB$19</f>
        <v>0.55465980223704459</v>
      </c>
      <c r="Q189" s="522" t="s">
        <v>84</v>
      </c>
      <c r="R189" s="100">
        <v>999</v>
      </c>
      <c r="S189" s="103"/>
    </row>
    <row r="190" spans="1:19" x14ac:dyDescent="0.25">
      <c r="A190" s="497">
        <v>188</v>
      </c>
      <c r="B190" s="100">
        <v>5.6559999999999997</v>
      </c>
      <c r="C190" s="214">
        <v>92.506900000000002</v>
      </c>
      <c r="D190" s="215">
        <v>39.424199999999999</v>
      </c>
      <c r="E190" s="215">
        <v>-3.3961999999999999</v>
      </c>
      <c r="F190" s="216" t="s">
        <v>471</v>
      </c>
      <c r="G190" s="215">
        <v>5.3</v>
      </c>
      <c r="H190" s="215">
        <v>13.09</v>
      </c>
      <c r="I190" s="100">
        <v>0.4</v>
      </c>
      <c r="J190" s="100">
        <v>952.7</v>
      </c>
      <c r="K190" s="100">
        <v>2.5</v>
      </c>
      <c r="L190" s="100">
        <v>0.21</v>
      </c>
      <c r="M190" s="217">
        <v>2.7025E-2</v>
      </c>
      <c r="N190" s="217">
        <v>3.27E-2</v>
      </c>
      <c r="O190" s="100" t="s">
        <v>472</v>
      </c>
      <c r="P190" s="218">
        <f>(K190*AU)/(C190*pc)/Photometry!$AB$19</f>
        <v>0.54959230844535822</v>
      </c>
      <c r="Q190" s="522" t="s">
        <v>86</v>
      </c>
      <c r="R190" s="100">
        <v>999</v>
      </c>
      <c r="S190" s="103"/>
    </row>
    <row r="191" spans="1:19" x14ac:dyDescent="0.25">
      <c r="A191" s="497">
        <v>189</v>
      </c>
      <c r="B191" s="100">
        <v>6.4870000000000001</v>
      </c>
      <c r="C191" s="214">
        <v>72.202200000000005</v>
      </c>
      <c r="D191" s="215">
        <v>316.666</v>
      </c>
      <c r="E191" s="215">
        <v>3.8031000000000001</v>
      </c>
      <c r="F191" s="216" t="s">
        <v>473</v>
      </c>
      <c r="G191" s="215">
        <v>0.9</v>
      </c>
      <c r="H191" s="215">
        <v>12.824</v>
      </c>
      <c r="I191" s="100">
        <v>0.4</v>
      </c>
      <c r="J191" s="100">
        <v>825</v>
      </c>
      <c r="K191" s="100">
        <v>1.95</v>
      </c>
      <c r="L191" s="100">
        <v>0.18</v>
      </c>
      <c r="M191" s="217">
        <v>2.7007E-2</v>
      </c>
      <c r="N191" s="217">
        <v>3.1869000000000001E-2</v>
      </c>
      <c r="O191" s="100" t="s">
        <v>323</v>
      </c>
      <c r="P191" s="218">
        <f>(K191*AU)/(C191*pc)/Photometry!$AB$19</f>
        <v>0.54923593685700223</v>
      </c>
      <c r="Q191" s="522" t="s">
        <v>87</v>
      </c>
      <c r="R191" s="100">
        <v>999</v>
      </c>
      <c r="S191" s="103"/>
    </row>
    <row r="192" spans="1:19" x14ac:dyDescent="0.25">
      <c r="A192" s="497">
        <v>190</v>
      </c>
      <c r="B192" s="100">
        <v>6.4409999999999998</v>
      </c>
      <c r="C192" s="214">
        <v>77.459299999999999</v>
      </c>
      <c r="D192" s="215">
        <v>155.8682</v>
      </c>
      <c r="E192" s="215">
        <v>-0.90225</v>
      </c>
      <c r="F192" s="216" t="s">
        <v>474</v>
      </c>
      <c r="G192" s="215">
        <v>0.86</v>
      </c>
      <c r="H192" s="215">
        <v>12.817</v>
      </c>
      <c r="I192" s="100">
        <v>0.4</v>
      </c>
      <c r="J192" s="100">
        <v>883</v>
      </c>
      <c r="K192" s="100">
        <v>2.08</v>
      </c>
      <c r="L192" s="100">
        <v>0.28999999999999998</v>
      </c>
      <c r="M192" s="217">
        <v>2.6852999999999998E-2</v>
      </c>
      <c r="N192" s="217">
        <v>3.4639999999999997E-2</v>
      </c>
      <c r="O192" s="100" t="s">
        <v>281</v>
      </c>
      <c r="P192" s="218">
        <f>(K192*AU)/(C192*pc)/Photometry!$AB$19</f>
        <v>0.54609038756455441</v>
      </c>
      <c r="Q192" s="522" t="s">
        <v>86</v>
      </c>
      <c r="R192" s="100">
        <v>999</v>
      </c>
      <c r="S192" s="103"/>
    </row>
    <row r="193" spans="1:19" x14ac:dyDescent="0.25">
      <c r="A193" s="497">
        <v>191</v>
      </c>
      <c r="B193" s="100">
        <v>4.97</v>
      </c>
      <c r="C193" s="214">
        <v>17.985600000000002</v>
      </c>
      <c r="D193" s="215">
        <v>202.10749999999999</v>
      </c>
      <c r="E193" s="215">
        <v>13.7788</v>
      </c>
      <c r="F193" s="216" t="s">
        <v>475</v>
      </c>
      <c r="G193" s="215">
        <v>6.6</v>
      </c>
      <c r="H193" s="215">
        <v>13.042</v>
      </c>
      <c r="I193" s="100">
        <v>0.4</v>
      </c>
      <c r="J193" s="100">
        <v>116.7</v>
      </c>
      <c r="K193" s="100">
        <v>0.48</v>
      </c>
      <c r="L193" s="100">
        <v>0.43</v>
      </c>
      <c r="M193" s="217">
        <v>2.6688E-2</v>
      </c>
      <c r="N193" s="217">
        <v>3.8163999999999997E-2</v>
      </c>
      <c r="O193" s="100" t="s">
        <v>312</v>
      </c>
      <c r="P193" s="218">
        <f>(K193*AU)/(C193*pc)/Photometry!$AB$19</f>
        <v>0.54273905223510976</v>
      </c>
      <c r="Q193" s="522" t="s">
        <v>86</v>
      </c>
      <c r="R193" s="100">
        <v>999</v>
      </c>
      <c r="S193" s="103"/>
    </row>
    <row r="194" spans="1:19" x14ac:dyDescent="0.25">
      <c r="A194" s="497">
        <v>192</v>
      </c>
      <c r="B194" s="100">
        <v>6.6959999999999997</v>
      </c>
      <c r="C194" s="214">
        <v>38.3142</v>
      </c>
      <c r="D194" s="215">
        <v>84.258399999999995</v>
      </c>
      <c r="E194" s="215">
        <v>-73.699299999999994</v>
      </c>
      <c r="F194" s="216" t="s">
        <v>476</v>
      </c>
      <c r="G194" s="215">
        <v>0.34</v>
      </c>
      <c r="H194" s="215">
        <v>12.307</v>
      </c>
      <c r="I194" s="100">
        <v>0.4</v>
      </c>
      <c r="J194" s="100">
        <v>363.2</v>
      </c>
      <c r="K194" s="100">
        <v>1.02</v>
      </c>
      <c r="L194" s="100">
        <v>0.41</v>
      </c>
      <c r="M194" s="217">
        <v>2.6622E-2</v>
      </c>
      <c r="N194" s="217">
        <v>3.7537000000000001E-2</v>
      </c>
      <c r="O194" s="100" t="s">
        <v>279</v>
      </c>
      <c r="P194" s="218">
        <f>(K194*AU)/(C194*pc)/Photometry!$AB$19</f>
        <v>0.54139616468553575</v>
      </c>
      <c r="Q194" s="522" t="s">
        <v>84</v>
      </c>
      <c r="R194" s="100">
        <v>999</v>
      </c>
      <c r="S194" s="103"/>
    </row>
    <row r="195" spans="1:19" x14ac:dyDescent="0.25">
      <c r="A195" s="497">
        <v>193</v>
      </c>
      <c r="B195" s="100">
        <v>5.95</v>
      </c>
      <c r="C195" s="214">
        <v>50.225999999999999</v>
      </c>
      <c r="D195" s="215">
        <v>272.6318</v>
      </c>
      <c r="E195" s="215">
        <v>54.2866</v>
      </c>
      <c r="F195" s="216" t="s">
        <v>477</v>
      </c>
      <c r="G195" s="215">
        <v>1.6</v>
      </c>
      <c r="H195" s="215">
        <v>12.916</v>
      </c>
      <c r="I195" s="100">
        <v>0.4</v>
      </c>
      <c r="J195" s="100">
        <v>416.1</v>
      </c>
      <c r="K195" s="100">
        <v>1.3</v>
      </c>
      <c r="L195" s="100">
        <v>0.03</v>
      </c>
      <c r="M195" s="217">
        <v>2.5883E-2</v>
      </c>
      <c r="N195" s="217">
        <v>2.6658999999999999E-2</v>
      </c>
      <c r="O195" s="100" t="s">
        <v>305</v>
      </c>
      <c r="P195" s="218">
        <f>(K195*AU)/(C195*pc)/Photometry!$AB$19</f>
        <v>0.52636805585601942</v>
      </c>
      <c r="Q195" s="522" t="s">
        <v>87</v>
      </c>
      <c r="R195" s="100">
        <v>999</v>
      </c>
      <c r="S195" s="103"/>
    </row>
    <row r="196" spans="1:19" x14ac:dyDescent="0.25">
      <c r="A196" s="497">
        <v>194</v>
      </c>
      <c r="B196" s="100">
        <v>7.38</v>
      </c>
      <c r="C196" s="214">
        <v>49.529499999999999</v>
      </c>
      <c r="D196" s="215">
        <v>256.12860000000001</v>
      </c>
      <c r="E196" s="215">
        <v>-43.309800000000003</v>
      </c>
      <c r="F196" s="216" t="s">
        <v>478</v>
      </c>
      <c r="G196" s="215">
        <v>2.73</v>
      </c>
      <c r="H196" s="215">
        <v>13.010999999999999</v>
      </c>
      <c r="I196" s="100">
        <v>0.4</v>
      </c>
      <c r="J196" s="100">
        <v>499.4</v>
      </c>
      <c r="K196" s="100">
        <v>1.28</v>
      </c>
      <c r="L196" s="100">
        <v>0.34</v>
      </c>
      <c r="M196" s="217">
        <v>2.5843000000000001E-2</v>
      </c>
      <c r="N196" s="217">
        <v>3.4630000000000001E-2</v>
      </c>
      <c r="O196" s="100" t="s">
        <v>321</v>
      </c>
      <c r="P196" s="218">
        <f>(K196*AU)/(C196*pc)/Photometry!$AB$19</f>
        <v>0.52555816892315577</v>
      </c>
      <c r="Q196" s="522" t="s">
        <v>84</v>
      </c>
      <c r="R196" s="100">
        <v>999</v>
      </c>
      <c r="S196" s="103"/>
    </row>
    <row r="197" spans="1:19" x14ac:dyDescent="0.25">
      <c r="A197" s="497">
        <v>195</v>
      </c>
      <c r="B197" s="100">
        <v>4.74</v>
      </c>
      <c r="C197" s="214">
        <v>8.5550999999999995</v>
      </c>
      <c r="D197" s="215">
        <v>199.60130000000001</v>
      </c>
      <c r="E197" s="215">
        <v>-18.311199999999999</v>
      </c>
      <c r="F197" s="216" t="s">
        <v>372</v>
      </c>
      <c r="G197" s="215">
        <v>5.7000000000000002E-2</v>
      </c>
      <c r="H197" s="215">
        <v>8.5190000000000001</v>
      </c>
      <c r="I197" s="100">
        <v>0.4</v>
      </c>
      <c r="J197" s="100">
        <v>38</v>
      </c>
      <c r="K197" s="100">
        <v>0.22</v>
      </c>
      <c r="L197" s="100">
        <v>0.14000000000000001</v>
      </c>
      <c r="M197" s="217">
        <v>2.5715999999999999E-2</v>
      </c>
      <c r="N197" s="217">
        <v>2.9315999999999998E-2</v>
      </c>
      <c r="O197" s="100" t="s">
        <v>373</v>
      </c>
      <c r="P197" s="218">
        <f>(K197*AU)/(C197*pc)/Photometry!$AB$19</f>
        <v>0.52296467641464206</v>
      </c>
      <c r="Q197" s="522" t="s">
        <v>86</v>
      </c>
      <c r="R197" s="100">
        <v>999</v>
      </c>
      <c r="S197" s="103"/>
    </row>
    <row r="198" spans="1:19" x14ac:dyDescent="0.25">
      <c r="A198" s="497">
        <v>196</v>
      </c>
      <c r="B198" s="100">
        <v>5.88</v>
      </c>
      <c r="C198" s="214">
        <v>11.0595</v>
      </c>
      <c r="D198" s="215">
        <v>9.8408999999999995</v>
      </c>
      <c r="E198" s="215">
        <v>21.250499999999999</v>
      </c>
      <c r="F198" s="216" t="s">
        <v>479</v>
      </c>
      <c r="G198" s="215">
        <v>0.2</v>
      </c>
      <c r="H198" s="215">
        <v>11.670999999999999</v>
      </c>
      <c r="I198" s="100">
        <v>0.4</v>
      </c>
      <c r="J198" s="100">
        <v>62.2</v>
      </c>
      <c r="K198" s="100">
        <v>0.28000000000000003</v>
      </c>
      <c r="L198" s="100">
        <v>0.63</v>
      </c>
      <c r="M198" s="217">
        <v>2.5318E-2</v>
      </c>
      <c r="N198" s="217">
        <v>4.1267999999999999E-2</v>
      </c>
      <c r="O198" s="100" t="s">
        <v>261</v>
      </c>
      <c r="P198" s="218">
        <f>(K198*AU)/(C198*pc)/Photometry!$AB$19</f>
        <v>0.51486966322436634</v>
      </c>
      <c r="Q198" s="522" t="s">
        <v>87</v>
      </c>
      <c r="R198" s="100">
        <v>999</v>
      </c>
      <c r="S198" s="103"/>
    </row>
    <row r="199" spans="1:19" x14ac:dyDescent="0.25">
      <c r="A199" s="497">
        <v>197</v>
      </c>
      <c r="B199" s="100">
        <v>7.45</v>
      </c>
      <c r="C199" s="214">
        <v>109.529</v>
      </c>
      <c r="D199" s="215">
        <v>238.2345</v>
      </c>
      <c r="E199" s="215">
        <v>15.4307</v>
      </c>
      <c r="F199" s="216" t="s">
        <v>480</v>
      </c>
      <c r="G199" s="215">
        <v>1.9</v>
      </c>
      <c r="H199" s="215">
        <v>12.938000000000001</v>
      </c>
      <c r="I199" s="100">
        <v>0.4</v>
      </c>
      <c r="J199" s="100">
        <v>1299</v>
      </c>
      <c r="K199" s="100">
        <v>2.77</v>
      </c>
      <c r="L199" s="100">
        <v>0.32</v>
      </c>
      <c r="M199" s="217">
        <v>2.529E-2</v>
      </c>
      <c r="N199" s="217">
        <v>3.3383000000000003E-2</v>
      </c>
      <c r="O199" s="100" t="s">
        <v>323</v>
      </c>
      <c r="P199" s="218">
        <f>(K199*AU)/(C199*pc)/Photometry!$AB$19</f>
        <v>0.5143105244791909</v>
      </c>
      <c r="Q199" s="522" t="s">
        <v>87</v>
      </c>
      <c r="R199" s="100">
        <v>999</v>
      </c>
      <c r="S199" s="103"/>
    </row>
    <row r="200" spans="1:19" x14ac:dyDescent="0.25">
      <c r="A200" s="497">
        <v>198</v>
      </c>
      <c r="B200" s="100">
        <v>8.32</v>
      </c>
      <c r="C200" s="214">
        <v>54.200499999999998</v>
      </c>
      <c r="D200" s="215">
        <v>215.22300000000001</v>
      </c>
      <c r="E200" s="215">
        <v>-17.4815</v>
      </c>
      <c r="F200" s="216" t="s">
        <v>337</v>
      </c>
      <c r="G200" s="215">
        <v>3</v>
      </c>
      <c r="H200" s="215">
        <v>13.04</v>
      </c>
      <c r="I200" s="100">
        <v>0.4</v>
      </c>
      <c r="J200" s="100">
        <v>502</v>
      </c>
      <c r="K200" s="100">
        <v>1.37</v>
      </c>
      <c r="L200" s="100">
        <v>0.46</v>
      </c>
      <c r="M200" s="217">
        <v>2.5277000000000001E-2</v>
      </c>
      <c r="N200" s="217">
        <v>3.6903999999999999E-2</v>
      </c>
      <c r="O200" s="100" t="s">
        <v>256</v>
      </c>
      <c r="P200" s="218">
        <f>(K200*AU)/(C200*pc)/Photometry!$AB$19</f>
        <v>0.51403422908519125</v>
      </c>
      <c r="Q200" s="522" t="s">
        <v>86</v>
      </c>
      <c r="R200" s="100">
        <v>999</v>
      </c>
      <c r="S200" s="103"/>
    </row>
    <row r="201" spans="1:19" x14ac:dyDescent="0.25">
      <c r="A201" s="497">
        <v>199</v>
      </c>
      <c r="B201" s="100">
        <v>6.734</v>
      </c>
      <c r="C201" s="214">
        <v>33.1126</v>
      </c>
      <c r="D201" s="215">
        <v>91.124799999999993</v>
      </c>
      <c r="E201" s="215">
        <v>44.260399999999997</v>
      </c>
      <c r="F201" s="216" t="s">
        <v>481</v>
      </c>
      <c r="G201" s="215">
        <v>3.28</v>
      </c>
      <c r="H201" s="215">
        <v>13.07</v>
      </c>
      <c r="I201" s="100">
        <v>0.4</v>
      </c>
      <c r="J201" s="100">
        <v>263.10000000000002</v>
      </c>
      <c r="K201" s="100">
        <v>0.83</v>
      </c>
      <c r="L201" s="100">
        <v>0.25</v>
      </c>
      <c r="M201" s="217">
        <v>2.5066000000000001E-2</v>
      </c>
      <c r="N201" s="217">
        <v>3.1331999999999999E-2</v>
      </c>
      <c r="O201" s="100" t="s">
        <v>370</v>
      </c>
      <c r="P201" s="218">
        <f>(K201*AU)/(C201*pc)/Photometry!$AB$19</f>
        <v>0.50975274664076942</v>
      </c>
      <c r="Q201" s="522" t="s">
        <v>84</v>
      </c>
      <c r="R201" s="100">
        <v>999</v>
      </c>
      <c r="S201" s="103"/>
    </row>
    <row r="202" spans="1:19" x14ac:dyDescent="0.25">
      <c r="A202" s="497">
        <v>200</v>
      </c>
      <c r="B202" s="100">
        <v>7.13</v>
      </c>
      <c r="C202" s="214">
        <v>50.3018</v>
      </c>
      <c r="D202" s="215">
        <v>73.681899999999999</v>
      </c>
      <c r="E202" s="215">
        <v>12.3522</v>
      </c>
      <c r="F202" s="216" t="s">
        <v>482</v>
      </c>
      <c r="G202" s="215">
        <v>0.5</v>
      </c>
      <c r="H202" s="215">
        <v>12.616</v>
      </c>
      <c r="I202" s="100">
        <v>0.4</v>
      </c>
      <c r="J202" s="100">
        <v>466</v>
      </c>
      <c r="K202" s="100">
        <v>1.26</v>
      </c>
      <c r="L202" s="100">
        <v>0.3</v>
      </c>
      <c r="M202" s="217">
        <v>2.5048999999999998E-2</v>
      </c>
      <c r="N202" s="217">
        <v>3.2563000000000002E-2</v>
      </c>
      <c r="O202" s="100" t="s">
        <v>370</v>
      </c>
      <c r="P202" s="218">
        <f>(K202*AU)/(C202*pc)/Photometry!$AB$19</f>
        <v>0.50940333510797731</v>
      </c>
      <c r="Q202" s="522" t="s">
        <v>84</v>
      </c>
      <c r="R202" s="100">
        <v>999</v>
      </c>
      <c r="S202" s="103"/>
    </row>
    <row r="203" spans="1:19" x14ac:dyDescent="0.25">
      <c r="A203" s="497">
        <v>201</v>
      </c>
      <c r="B203" s="100">
        <v>11.372</v>
      </c>
      <c r="C203" s="214">
        <v>14.396800000000001</v>
      </c>
      <c r="D203" s="215">
        <v>243.17410000000001</v>
      </c>
      <c r="E203" s="215">
        <v>-18.875499999999999</v>
      </c>
      <c r="F203" s="216" t="s">
        <v>483</v>
      </c>
      <c r="G203" s="215">
        <v>2.1</v>
      </c>
      <c r="H203" s="215">
        <v>12.952</v>
      </c>
      <c r="I203" s="100">
        <v>0.4</v>
      </c>
      <c r="J203" s="100">
        <v>111.7</v>
      </c>
      <c r="K203" s="100">
        <v>0.36</v>
      </c>
      <c r="L203" s="100">
        <v>0.28999999999999998</v>
      </c>
      <c r="M203" s="217">
        <v>2.5006E-2</v>
      </c>
      <c r="N203" s="217">
        <v>3.2257000000000001E-2</v>
      </c>
      <c r="O203" s="100" t="s">
        <v>484</v>
      </c>
      <c r="P203" s="218">
        <f>(K203*AU)/(C203*pc)/Photometry!$AB$19</f>
        <v>0.50852381247289979</v>
      </c>
      <c r="Q203" s="522" t="s">
        <v>90</v>
      </c>
      <c r="R203" s="100">
        <v>999</v>
      </c>
      <c r="S203" s="103"/>
    </row>
    <row r="204" spans="1:19" x14ac:dyDescent="0.25">
      <c r="A204" s="497">
        <v>202</v>
      </c>
      <c r="B204" s="100">
        <v>7.81</v>
      </c>
      <c r="C204" s="214">
        <v>42.337000000000003</v>
      </c>
      <c r="D204" s="215">
        <v>66.609700000000004</v>
      </c>
      <c r="E204" s="215">
        <v>-10.550800000000001</v>
      </c>
      <c r="F204" s="216" t="s">
        <v>485</v>
      </c>
      <c r="G204" s="215">
        <v>5.7</v>
      </c>
      <c r="H204" s="215">
        <v>13.076000000000001</v>
      </c>
      <c r="I204" s="100">
        <v>0.4</v>
      </c>
      <c r="J204" s="100">
        <v>383</v>
      </c>
      <c r="K204" s="100">
        <v>1.03</v>
      </c>
      <c r="L204" s="100">
        <v>7.0000000000000007E-2</v>
      </c>
      <c r="M204" s="217">
        <v>2.4329E-2</v>
      </c>
      <c r="N204" s="217">
        <v>2.6032E-2</v>
      </c>
      <c r="O204" s="100" t="s">
        <v>486</v>
      </c>
      <c r="P204" s="218">
        <f>(K204*AU)/(C204*pc)/Photometry!$AB$19</f>
        <v>0.49475695622899712</v>
      </c>
      <c r="Q204" s="522" t="s">
        <v>86</v>
      </c>
      <c r="R204" s="100">
        <v>999</v>
      </c>
      <c r="S204" s="103"/>
    </row>
    <row r="205" spans="1:19" x14ac:dyDescent="0.25">
      <c r="A205" s="497">
        <v>203</v>
      </c>
      <c r="B205" s="100">
        <v>8.5500000000000007</v>
      </c>
      <c r="C205" s="214">
        <v>98.716700000000003</v>
      </c>
      <c r="D205" s="215">
        <v>54.848500000000001</v>
      </c>
      <c r="E205" s="215">
        <v>-60.077800000000003</v>
      </c>
      <c r="F205" s="216" t="s">
        <v>487</v>
      </c>
      <c r="G205" s="215">
        <v>1.5</v>
      </c>
      <c r="H205" s="215">
        <v>12.909000000000001</v>
      </c>
      <c r="I205" s="100">
        <v>0.4</v>
      </c>
      <c r="J205" s="100">
        <v>1214</v>
      </c>
      <c r="K205" s="100">
        <v>2.4</v>
      </c>
      <c r="L205" s="100">
        <v>0.44</v>
      </c>
      <c r="M205" s="217">
        <v>2.4312E-2</v>
      </c>
      <c r="N205" s="217">
        <v>3.5008999999999998E-2</v>
      </c>
      <c r="O205" s="100" t="s">
        <v>367</v>
      </c>
      <c r="P205" s="218">
        <f>(K205*AU)/(C205*pc)/Photometry!$AB$19</f>
        <v>0.49441925722191843</v>
      </c>
      <c r="Q205" s="522" t="s">
        <v>85</v>
      </c>
      <c r="R205" s="100">
        <v>999</v>
      </c>
      <c r="S205" s="103"/>
    </row>
    <row r="206" spans="1:19" x14ac:dyDescent="0.25">
      <c r="A206" s="497">
        <v>204</v>
      </c>
      <c r="B206" s="100">
        <v>8.6280000000000001</v>
      </c>
      <c r="C206" s="214">
        <v>28.555099999999999</v>
      </c>
      <c r="D206" s="215">
        <v>347.29469999999998</v>
      </c>
      <c r="E206" s="215">
        <v>-2.2606999999999999</v>
      </c>
      <c r="F206" s="216" t="s">
        <v>488</v>
      </c>
      <c r="G206" s="215">
        <v>0.21</v>
      </c>
      <c r="H206" s="215">
        <v>11.741</v>
      </c>
      <c r="I206" s="100">
        <v>0.4</v>
      </c>
      <c r="J206" s="100">
        <v>225.7</v>
      </c>
      <c r="K206" s="100">
        <v>0.69</v>
      </c>
      <c r="L206" s="100">
        <v>0.3</v>
      </c>
      <c r="M206" s="217">
        <v>2.4164000000000001E-2</v>
      </c>
      <c r="N206" s="217">
        <v>3.1413000000000003E-2</v>
      </c>
      <c r="O206" s="100" t="s">
        <v>295</v>
      </c>
      <c r="P206" s="218">
        <f>(K206*AU)/(C206*pc)/Photometry!$AB$19</f>
        <v>0.49140567808210084</v>
      </c>
      <c r="Q206" s="522" t="s">
        <v>88</v>
      </c>
      <c r="R206" s="100">
        <v>999</v>
      </c>
      <c r="S206" s="103"/>
    </row>
    <row r="207" spans="1:19" x14ac:dyDescent="0.25">
      <c r="A207" s="497">
        <v>205</v>
      </c>
      <c r="B207" s="100">
        <v>4.657</v>
      </c>
      <c r="C207" s="214">
        <v>90.009</v>
      </c>
      <c r="D207" s="215">
        <v>189.8115</v>
      </c>
      <c r="E207" s="215">
        <v>-7.9955999999999996</v>
      </c>
      <c r="F207" s="216" t="s">
        <v>489</v>
      </c>
      <c r="G207" s="215">
        <v>11.09</v>
      </c>
      <c r="H207" s="215">
        <v>12.685</v>
      </c>
      <c r="I207" s="100">
        <v>0.4</v>
      </c>
      <c r="J207" s="100">
        <v>835.5</v>
      </c>
      <c r="K207" s="100">
        <v>2.14</v>
      </c>
      <c r="L207" s="100">
        <v>0.46</v>
      </c>
      <c r="M207" s="217">
        <v>2.3775000000000001E-2</v>
      </c>
      <c r="N207" s="217">
        <v>3.4712E-2</v>
      </c>
      <c r="O207" s="100" t="s">
        <v>354</v>
      </c>
      <c r="P207" s="218">
        <f>(K207*AU)/(C207*pc)/Photometry!$AB$19</f>
        <v>0.4835068170373415</v>
      </c>
      <c r="Q207" s="522" t="s">
        <v>87</v>
      </c>
      <c r="R207" s="100">
        <v>999</v>
      </c>
      <c r="S207" s="103"/>
    </row>
    <row r="208" spans="1:19" x14ac:dyDescent="0.25">
      <c r="A208" s="497">
        <v>206</v>
      </c>
      <c r="B208" s="100">
        <v>7.44</v>
      </c>
      <c r="C208" s="214">
        <v>34.952800000000003</v>
      </c>
      <c r="D208" s="215">
        <v>31.142900000000001</v>
      </c>
      <c r="E208" s="215">
        <v>25.414300000000001</v>
      </c>
      <c r="F208" s="216" t="s">
        <v>342</v>
      </c>
      <c r="G208" s="215">
        <v>2.2999999999999998</v>
      </c>
      <c r="H208" s="215">
        <v>12.965999999999999</v>
      </c>
      <c r="I208" s="100">
        <v>0.4</v>
      </c>
      <c r="J208" s="100">
        <v>263.60000000000002</v>
      </c>
      <c r="K208" s="100">
        <v>0.83</v>
      </c>
      <c r="L208" s="100">
        <v>0.38</v>
      </c>
      <c r="M208" s="217">
        <v>2.3746E-2</v>
      </c>
      <c r="N208" s="217">
        <v>3.2770000000000001E-2</v>
      </c>
      <c r="O208" s="100" t="s">
        <v>261</v>
      </c>
      <c r="P208" s="218">
        <f>(K208*AU)/(C208*pc)/Photometry!$AB$19</f>
        <v>0.48291521132547716</v>
      </c>
      <c r="Q208" s="522" t="s">
        <v>87</v>
      </c>
      <c r="R208" s="100">
        <v>999</v>
      </c>
      <c r="S208" s="103"/>
    </row>
    <row r="209" spans="1:19" x14ac:dyDescent="0.25">
      <c r="A209" s="497">
        <v>207</v>
      </c>
      <c r="B209" s="100">
        <v>7.7</v>
      </c>
      <c r="C209" s="214">
        <v>50.428600000000003</v>
      </c>
      <c r="D209" s="215">
        <v>95.059700000000007</v>
      </c>
      <c r="E209" s="215">
        <v>-10.725</v>
      </c>
      <c r="F209" s="216" t="s">
        <v>490</v>
      </c>
      <c r="G209" s="215">
        <v>0.57999999999999996</v>
      </c>
      <c r="H209" s="215">
        <v>12.702</v>
      </c>
      <c r="I209" s="100">
        <v>0.4</v>
      </c>
      <c r="J209" s="100">
        <v>472.3</v>
      </c>
      <c r="K209" s="100">
        <v>1.19</v>
      </c>
      <c r="L209" s="100">
        <v>0.61</v>
      </c>
      <c r="M209" s="217">
        <v>2.3598000000000001E-2</v>
      </c>
      <c r="N209" s="217">
        <v>3.7991999999999998E-2</v>
      </c>
      <c r="O209" s="100" t="s">
        <v>281</v>
      </c>
      <c r="P209" s="218">
        <f>(K209*AU)/(C209*pc)/Photometry!$AB$19</f>
        <v>0.47989344185297589</v>
      </c>
      <c r="Q209" s="522" t="s">
        <v>86</v>
      </c>
      <c r="R209" s="100">
        <v>999</v>
      </c>
      <c r="S209" s="103"/>
    </row>
    <row r="210" spans="1:19" x14ac:dyDescent="0.25">
      <c r="A210" s="497">
        <v>208</v>
      </c>
      <c r="B210" s="100">
        <v>7.6509999999999998</v>
      </c>
      <c r="C210" s="214">
        <v>11.158200000000001</v>
      </c>
      <c r="D210" s="215">
        <v>147.77940000000001</v>
      </c>
      <c r="E210" s="215">
        <v>-43.502800000000001</v>
      </c>
      <c r="F210" s="216" t="s">
        <v>491</v>
      </c>
      <c r="G210" s="215">
        <v>1.0999999999999999E-2</v>
      </c>
      <c r="H210" s="215">
        <v>1.4079999999999999</v>
      </c>
      <c r="I210" s="100">
        <v>0.4</v>
      </c>
      <c r="J210" s="100">
        <v>58.4</v>
      </c>
      <c r="K210" s="100">
        <v>0.26</v>
      </c>
      <c r="L210" s="100">
        <v>0.11</v>
      </c>
      <c r="M210" s="217">
        <v>2.3300999999999999E-2</v>
      </c>
      <c r="N210" s="217">
        <v>2.5864000000000002E-2</v>
      </c>
      <c r="O210" s="100" t="s">
        <v>492</v>
      </c>
      <c r="P210" s="218">
        <f>(K210*AU)/(C210*pc)/Photometry!$AB$19</f>
        <v>0.47386427870847331</v>
      </c>
      <c r="Q210" s="522" t="s">
        <v>88</v>
      </c>
      <c r="R210" s="100">
        <v>999</v>
      </c>
      <c r="S210" s="103"/>
    </row>
    <row r="211" spans="1:19" x14ac:dyDescent="0.25">
      <c r="A211" s="497">
        <v>209</v>
      </c>
      <c r="B211" s="100">
        <v>7.27</v>
      </c>
      <c r="C211" s="214">
        <v>44.111199999999997</v>
      </c>
      <c r="D211" s="215">
        <v>257.39420000000001</v>
      </c>
      <c r="E211" s="215">
        <v>33.355899999999998</v>
      </c>
      <c r="F211" s="216" t="s">
        <v>493</v>
      </c>
      <c r="G211" s="215">
        <v>0.82</v>
      </c>
      <c r="H211" s="215">
        <v>12.808999999999999</v>
      </c>
      <c r="I211" s="100">
        <v>0.4</v>
      </c>
      <c r="J211" s="100">
        <v>391.9</v>
      </c>
      <c r="K211" s="100">
        <v>1.02</v>
      </c>
      <c r="L211" s="100">
        <v>0.16</v>
      </c>
      <c r="M211" s="217">
        <v>2.3123000000000001E-2</v>
      </c>
      <c r="N211" s="217">
        <v>2.6823E-2</v>
      </c>
      <c r="O211" s="100" t="s">
        <v>287</v>
      </c>
      <c r="P211" s="218">
        <f>(K211*AU)/(C211*pc)/Photometry!$AB$19</f>
        <v>0.47024703324766859</v>
      </c>
      <c r="Q211" s="522" t="s">
        <v>85</v>
      </c>
      <c r="R211" s="100">
        <v>999</v>
      </c>
      <c r="S211" s="103"/>
    </row>
    <row r="212" spans="1:19" x14ac:dyDescent="0.25">
      <c r="A212" s="497">
        <v>210</v>
      </c>
      <c r="B212" s="100">
        <v>8.6999999999999993</v>
      </c>
      <c r="C212" s="214">
        <v>39.231099999999998</v>
      </c>
      <c r="D212" s="215">
        <v>233.91640000000001</v>
      </c>
      <c r="E212" s="215">
        <v>-80.204599999999999</v>
      </c>
      <c r="F212" s="216" t="s">
        <v>494</v>
      </c>
      <c r="G212" s="215">
        <v>0.223</v>
      </c>
      <c r="H212" s="215">
        <v>11.833</v>
      </c>
      <c r="I212" s="100">
        <v>0.4</v>
      </c>
      <c r="J212" s="100">
        <v>330</v>
      </c>
      <c r="K212" s="100">
        <v>0.89</v>
      </c>
      <c r="L212" s="100">
        <v>0.36</v>
      </c>
      <c r="M212" s="217">
        <v>2.2686000000000001E-2</v>
      </c>
      <c r="N212" s="217">
        <v>3.0852999999999998E-2</v>
      </c>
      <c r="O212" s="100" t="s">
        <v>495</v>
      </c>
      <c r="P212" s="218">
        <f>(K212*AU)/(C212*pc)/Photometry!$AB$19</f>
        <v>0.46135399557116968</v>
      </c>
      <c r="Q212" s="522" t="s">
        <v>87</v>
      </c>
      <c r="R212" s="100">
        <v>999</v>
      </c>
      <c r="S212" s="103"/>
    </row>
    <row r="213" spans="1:19" x14ac:dyDescent="0.25">
      <c r="A213" s="497">
        <v>211</v>
      </c>
      <c r="B213" s="100">
        <v>7.81</v>
      </c>
      <c r="C213" s="214">
        <v>55.279200000000003</v>
      </c>
      <c r="D213" s="215">
        <v>352.8347</v>
      </c>
      <c r="E213" s="215">
        <v>-58.209699999999998</v>
      </c>
      <c r="F213" s="216" t="s">
        <v>496</v>
      </c>
      <c r="G213" s="215">
        <v>3.09</v>
      </c>
      <c r="H213" s="215">
        <v>13.048999999999999</v>
      </c>
      <c r="I213" s="100">
        <v>0.4</v>
      </c>
      <c r="J213" s="100">
        <v>456.1</v>
      </c>
      <c r="K213" s="100">
        <v>1.25</v>
      </c>
      <c r="L213" s="100">
        <v>0.08</v>
      </c>
      <c r="M213" s="217">
        <v>2.2613000000000001E-2</v>
      </c>
      <c r="N213" s="217">
        <v>2.4421999999999999E-2</v>
      </c>
      <c r="O213" s="100" t="s">
        <v>250</v>
      </c>
      <c r="P213" s="218">
        <f>(K213*AU)/(C213*pc)/Photometry!$AB$19</f>
        <v>0.45985724031935982</v>
      </c>
      <c r="Q213" s="522" t="s">
        <v>84</v>
      </c>
      <c r="R213" s="100">
        <v>999</v>
      </c>
      <c r="S213" s="103"/>
    </row>
    <row r="214" spans="1:19" x14ac:dyDescent="0.25">
      <c r="A214" s="497">
        <v>212</v>
      </c>
      <c r="B214" s="100">
        <v>5.7409999999999997</v>
      </c>
      <c r="C214" s="214">
        <v>39.432200000000002</v>
      </c>
      <c r="D214" s="215">
        <v>155.54400000000001</v>
      </c>
      <c r="E214" s="215">
        <v>41.229500000000002</v>
      </c>
      <c r="F214" s="216" t="s">
        <v>497</v>
      </c>
      <c r="G214" s="215">
        <v>7.2</v>
      </c>
      <c r="H214" s="215">
        <v>12.994</v>
      </c>
      <c r="I214" s="100">
        <v>0.4</v>
      </c>
      <c r="J214" s="100">
        <v>256</v>
      </c>
      <c r="K214" s="100">
        <v>0.88</v>
      </c>
      <c r="L214" s="100">
        <v>0.7</v>
      </c>
      <c r="M214" s="217">
        <v>2.2317E-2</v>
      </c>
      <c r="N214" s="217">
        <v>3.7939000000000001E-2</v>
      </c>
      <c r="O214" s="100" t="s">
        <v>250</v>
      </c>
      <c r="P214" s="218">
        <f>(K214*AU)/(C214*pc)/Photometry!$AB$19</f>
        <v>0.45384382339254764</v>
      </c>
      <c r="Q214" s="522" t="s">
        <v>84</v>
      </c>
      <c r="R214" s="100">
        <v>999</v>
      </c>
      <c r="S214" s="103"/>
    </row>
    <row r="215" spans="1:19" x14ac:dyDescent="0.25">
      <c r="A215" s="497">
        <v>213</v>
      </c>
      <c r="B215" s="100">
        <v>9.06</v>
      </c>
      <c r="C215" s="214">
        <v>49.9251</v>
      </c>
      <c r="D215" s="215">
        <v>171.07230000000001</v>
      </c>
      <c r="E215" s="215">
        <v>-1.5290999999999999</v>
      </c>
      <c r="F215" s="216" t="s">
        <v>498</v>
      </c>
      <c r="G215" s="215">
        <v>0.502</v>
      </c>
      <c r="H215" s="215">
        <v>12.619</v>
      </c>
      <c r="I215" s="100">
        <v>0.4</v>
      </c>
      <c r="J215" s="100">
        <v>439.3</v>
      </c>
      <c r="K215" s="100">
        <v>1.1100000000000001</v>
      </c>
      <c r="L215" s="100">
        <v>0.09</v>
      </c>
      <c r="M215" s="217">
        <v>2.2232999999999999E-2</v>
      </c>
      <c r="N215" s="217">
        <v>2.4233999999999999E-2</v>
      </c>
      <c r="O215" s="100" t="s">
        <v>323</v>
      </c>
      <c r="P215" s="218">
        <f>(K215*AU)/(C215*pc)/Photometry!$AB$19</f>
        <v>0.45214611165219531</v>
      </c>
      <c r="Q215" s="522" t="s">
        <v>87</v>
      </c>
      <c r="R215" s="100">
        <v>999</v>
      </c>
      <c r="S215" s="103"/>
    </row>
    <row r="216" spans="1:19" x14ac:dyDescent="0.25">
      <c r="A216" s="497">
        <v>214</v>
      </c>
      <c r="B216" s="100">
        <v>6.4870000000000001</v>
      </c>
      <c r="C216" s="214">
        <v>72.202200000000005</v>
      </c>
      <c r="D216" s="215">
        <v>316.666</v>
      </c>
      <c r="E216" s="215">
        <v>3.8031000000000001</v>
      </c>
      <c r="F216" s="216" t="s">
        <v>473</v>
      </c>
      <c r="G216" s="215">
        <v>1.85</v>
      </c>
      <c r="H216" s="215">
        <v>12.933999999999999</v>
      </c>
      <c r="I216" s="100">
        <v>0.4</v>
      </c>
      <c r="J216" s="100">
        <v>613.79999999999995</v>
      </c>
      <c r="K216" s="100">
        <v>1.6</v>
      </c>
      <c r="L216" s="100">
        <v>0.04</v>
      </c>
      <c r="M216" s="217">
        <v>2.2159999999999999E-2</v>
      </c>
      <c r="N216" s="217">
        <v>2.3046000000000001E-2</v>
      </c>
      <c r="O216" s="100" t="s">
        <v>323</v>
      </c>
      <c r="P216" s="218">
        <f>(K216*AU)/(C216*pc)/Photometry!$AB$19</f>
        <v>0.45065512767754035</v>
      </c>
      <c r="Q216" s="522" t="s">
        <v>87</v>
      </c>
      <c r="R216" s="100">
        <v>999</v>
      </c>
      <c r="S216" s="103"/>
    </row>
    <row r="217" spans="1:19" x14ac:dyDescent="0.25">
      <c r="A217" s="497">
        <v>215</v>
      </c>
      <c r="B217" s="100">
        <v>5.9109999999999996</v>
      </c>
      <c r="C217" s="214">
        <v>36.603200000000001</v>
      </c>
      <c r="D217" s="215">
        <v>276.95620000000002</v>
      </c>
      <c r="E217" s="215">
        <v>-29.8169</v>
      </c>
      <c r="F217" s="216" t="s">
        <v>302</v>
      </c>
      <c r="G217" s="215">
        <v>2.88</v>
      </c>
      <c r="H217" s="215">
        <v>13.026999999999999</v>
      </c>
      <c r="I217" s="100">
        <v>0.4</v>
      </c>
      <c r="J217" s="100">
        <v>225.6</v>
      </c>
      <c r="K217" s="100">
        <v>0.81</v>
      </c>
      <c r="L217" s="100">
        <v>0.31</v>
      </c>
      <c r="M217" s="217">
        <v>2.2128999999999999E-2</v>
      </c>
      <c r="N217" s="217">
        <v>2.8989000000000001E-2</v>
      </c>
      <c r="O217" s="100" t="s">
        <v>250</v>
      </c>
      <c r="P217" s="218">
        <f>(K217*AU)/(C217*pc)/Photometry!$AB$19</f>
        <v>0.45002923658784338</v>
      </c>
      <c r="Q217" s="522" t="s">
        <v>84</v>
      </c>
      <c r="R217" s="100">
        <v>999</v>
      </c>
      <c r="S217" s="103"/>
    </row>
    <row r="218" spans="1:19" x14ac:dyDescent="0.25">
      <c r="A218" s="497">
        <v>216</v>
      </c>
      <c r="B218" s="100">
        <v>5.9390000000000001</v>
      </c>
      <c r="C218" s="214">
        <v>54.945099999999996</v>
      </c>
      <c r="D218" s="215">
        <v>332.96390000000002</v>
      </c>
      <c r="E218" s="215">
        <v>16.040600000000001</v>
      </c>
      <c r="F218" s="216" t="s">
        <v>499</v>
      </c>
      <c r="G218" s="215">
        <v>1.9</v>
      </c>
      <c r="H218" s="215">
        <v>12.938000000000001</v>
      </c>
      <c r="I218" s="100">
        <v>0.4</v>
      </c>
      <c r="J218" s="100">
        <v>354.8</v>
      </c>
      <c r="K218" s="100">
        <v>1.2</v>
      </c>
      <c r="L218" s="100">
        <v>0.15</v>
      </c>
      <c r="M218" s="217">
        <v>2.1839999999999998E-2</v>
      </c>
      <c r="N218" s="217">
        <v>2.5115999999999999E-2</v>
      </c>
      <c r="O218" s="100" t="s">
        <v>305</v>
      </c>
      <c r="P218" s="218">
        <f>(K218*AU)/(C218*pc)/Photometry!$AB$19</f>
        <v>0.44414731695273063</v>
      </c>
      <c r="Q218" s="522" t="s">
        <v>87</v>
      </c>
      <c r="R218" s="100">
        <v>999</v>
      </c>
      <c r="S218" s="103"/>
    </row>
    <row r="219" spans="1:19" x14ac:dyDescent="0.25">
      <c r="A219" s="497">
        <v>217</v>
      </c>
      <c r="B219" s="100">
        <v>10.210000000000001</v>
      </c>
      <c r="C219" s="214">
        <v>41.186199999999999</v>
      </c>
      <c r="D219" s="215">
        <v>16.508500000000002</v>
      </c>
      <c r="E219" s="215">
        <v>-22.453199999999999</v>
      </c>
      <c r="F219" s="216" t="s">
        <v>263</v>
      </c>
      <c r="G219" s="215">
        <v>1.44</v>
      </c>
      <c r="H219" s="215">
        <v>12.904999999999999</v>
      </c>
      <c r="I219" s="100">
        <v>0.4</v>
      </c>
      <c r="J219" s="100">
        <v>345.6</v>
      </c>
      <c r="K219" s="100">
        <v>0.89</v>
      </c>
      <c r="L219" s="100">
        <v>0.54</v>
      </c>
      <c r="M219" s="217">
        <v>2.1609E-2</v>
      </c>
      <c r="N219" s="217">
        <v>3.3278000000000002E-2</v>
      </c>
      <c r="O219" s="100" t="s">
        <v>264</v>
      </c>
      <c r="P219" s="218">
        <f>(K219*AU)/(C219*pc)/Photometry!$AB$19</f>
        <v>0.43945362125304377</v>
      </c>
      <c r="Q219" s="522" t="s">
        <v>88</v>
      </c>
      <c r="R219" s="100">
        <v>999</v>
      </c>
      <c r="S219" s="103"/>
    </row>
    <row r="220" spans="1:19" x14ac:dyDescent="0.25">
      <c r="A220" s="497">
        <v>218</v>
      </c>
      <c r="B220" s="100">
        <v>8.99</v>
      </c>
      <c r="C220" s="214">
        <v>102.5641</v>
      </c>
      <c r="D220" s="215">
        <v>6.0845000000000002</v>
      </c>
      <c r="E220" s="215">
        <v>-56.65</v>
      </c>
      <c r="F220" s="216" t="s">
        <v>500</v>
      </c>
      <c r="G220" s="215">
        <v>4.9000000000000004</v>
      </c>
      <c r="H220" s="215">
        <v>13.103999999999999</v>
      </c>
      <c r="I220" s="100">
        <v>0.4</v>
      </c>
      <c r="J220" s="100">
        <v>1183</v>
      </c>
      <c r="K220" s="100">
        <v>2.2000000000000002</v>
      </c>
      <c r="L220" s="100">
        <v>0.67</v>
      </c>
      <c r="M220" s="217">
        <v>2.145E-2</v>
      </c>
      <c r="N220" s="217">
        <v>3.5820999999999999E-2</v>
      </c>
      <c r="O220" s="100" t="s">
        <v>501</v>
      </c>
      <c r="P220" s="218">
        <f>(K220*AU)/(C220*pc)/Photometry!$AB$19</f>
        <v>0.43621648346691527</v>
      </c>
      <c r="Q220" s="522" t="s">
        <v>86</v>
      </c>
      <c r="R220" s="100">
        <v>999</v>
      </c>
      <c r="S220" s="103"/>
    </row>
    <row r="221" spans="1:19" x14ac:dyDescent="0.25">
      <c r="A221" s="497">
        <v>219</v>
      </c>
      <c r="B221" s="100">
        <v>7.484</v>
      </c>
      <c r="C221" s="214">
        <v>38.565399999999997</v>
      </c>
      <c r="D221" s="215">
        <v>73.909899999999993</v>
      </c>
      <c r="E221" s="215">
        <v>-23.241900000000001</v>
      </c>
      <c r="F221" s="216" t="s">
        <v>502</v>
      </c>
      <c r="G221" s="215">
        <v>5.1999999999999998E-2</v>
      </c>
      <c r="H221" s="215">
        <v>8.1669999999999998</v>
      </c>
      <c r="I221" s="100">
        <v>0.4</v>
      </c>
      <c r="J221" s="100">
        <v>274.5</v>
      </c>
      <c r="K221" s="100">
        <v>0.82</v>
      </c>
      <c r="L221" s="100">
        <v>0.38</v>
      </c>
      <c r="M221" s="217">
        <v>2.1263000000000001E-2</v>
      </c>
      <c r="N221" s="217">
        <v>2.9342E-2</v>
      </c>
      <c r="O221" s="100" t="s">
        <v>266</v>
      </c>
      <c r="P221" s="218">
        <f>(K221*AU)/(C221*pc)/Photometry!$AB$19</f>
        <v>0.4324050697139053</v>
      </c>
      <c r="Q221" s="522" t="s">
        <v>85</v>
      </c>
      <c r="R221" s="100">
        <v>999</v>
      </c>
      <c r="S221" s="103"/>
    </row>
    <row r="222" spans="1:19" x14ac:dyDescent="0.25">
      <c r="A222" s="497">
        <v>220</v>
      </c>
      <c r="B222" s="100">
        <v>8.23</v>
      </c>
      <c r="C222" s="214">
        <v>57.012500000000003</v>
      </c>
      <c r="D222" s="215">
        <v>298.01889999999997</v>
      </c>
      <c r="E222" s="215">
        <v>28.1004</v>
      </c>
      <c r="F222" s="216" t="s">
        <v>503</v>
      </c>
      <c r="G222" s="215">
        <v>1.26</v>
      </c>
      <c r="H222" s="215">
        <v>12.88</v>
      </c>
      <c r="I222" s="100">
        <v>0.4</v>
      </c>
      <c r="J222" s="100">
        <v>456.5</v>
      </c>
      <c r="K222" s="100">
        <v>1.19</v>
      </c>
      <c r="L222" s="100">
        <v>0.15</v>
      </c>
      <c r="M222" s="217">
        <v>2.0872999999999999E-2</v>
      </c>
      <c r="N222" s="217">
        <v>2.4003E-2</v>
      </c>
      <c r="O222" s="100" t="s">
        <v>349</v>
      </c>
      <c r="P222" s="218">
        <f>(K222*AU)/(C222*pc)/Photometry!$AB$19</f>
        <v>0.4244745349147464</v>
      </c>
      <c r="Q222" s="522" t="s">
        <v>86</v>
      </c>
      <c r="R222" s="100">
        <v>999</v>
      </c>
      <c r="S222" s="103"/>
    </row>
    <row r="223" spans="1:19" x14ac:dyDescent="0.25">
      <c r="A223" s="497">
        <v>221</v>
      </c>
      <c r="B223" s="100">
        <v>8.06</v>
      </c>
      <c r="C223" s="214">
        <v>32.690399999999997</v>
      </c>
      <c r="D223" s="215">
        <v>96.410300000000007</v>
      </c>
      <c r="E223" s="215">
        <v>-31.481000000000002</v>
      </c>
      <c r="F223" s="216" t="s">
        <v>465</v>
      </c>
      <c r="G223" s="215">
        <v>0.187</v>
      </c>
      <c r="H223" s="215">
        <v>11.581</v>
      </c>
      <c r="I223" s="100">
        <v>0.4</v>
      </c>
      <c r="J223" s="100">
        <v>226.9</v>
      </c>
      <c r="K223" s="100">
        <v>0.68</v>
      </c>
      <c r="L223" s="100">
        <v>0.17</v>
      </c>
      <c r="M223" s="217">
        <v>2.0801E-2</v>
      </c>
      <c r="N223" s="217">
        <v>2.4337000000000001E-2</v>
      </c>
      <c r="O223" s="100" t="s">
        <v>237</v>
      </c>
      <c r="P223" s="218">
        <f>(K223*AU)/(C223*pc)/Photometry!$AB$19</f>
        <v>0.42302247618045985</v>
      </c>
      <c r="Q223" s="522" t="s">
        <v>86</v>
      </c>
      <c r="R223" s="100">
        <v>999</v>
      </c>
      <c r="S223" s="103"/>
    </row>
    <row r="224" spans="1:19" x14ac:dyDescent="0.25">
      <c r="A224" s="497">
        <v>222</v>
      </c>
      <c r="B224" s="100">
        <v>8.42</v>
      </c>
      <c r="C224" s="214">
        <v>49.603200000000001</v>
      </c>
      <c r="D224" s="215">
        <v>173.96469999999999</v>
      </c>
      <c r="E224" s="215">
        <v>-4.7557</v>
      </c>
      <c r="F224" s="216" t="s">
        <v>504</v>
      </c>
      <c r="G224" s="215">
        <v>1.1599999999999999</v>
      </c>
      <c r="H224" s="215">
        <v>12.865</v>
      </c>
      <c r="I224" s="100">
        <v>0.4</v>
      </c>
      <c r="J224" s="100">
        <v>383.7</v>
      </c>
      <c r="K224" s="100">
        <v>1.03</v>
      </c>
      <c r="L224" s="100">
        <v>0.36</v>
      </c>
      <c r="M224" s="217">
        <v>2.0764999999999999E-2</v>
      </c>
      <c r="N224" s="217">
        <v>2.8240000000000001E-2</v>
      </c>
      <c r="O224" s="100" t="s">
        <v>323</v>
      </c>
      <c r="P224" s="218">
        <f>(K224*AU)/(C224*pc)/Photometry!$AB$19</f>
        <v>0.42228173295003246</v>
      </c>
      <c r="Q224" s="522" t="s">
        <v>87</v>
      </c>
      <c r="R224" s="100">
        <v>999</v>
      </c>
      <c r="S224" s="103"/>
    </row>
    <row r="225" spans="1:19" x14ac:dyDescent="0.25">
      <c r="A225" s="497">
        <v>223</v>
      </c>
      <c r="B225" s="100">
        <v>7.1769999999999996</v>
      </c>
      <c r="C225" s="214">
        <v>59.0319</v>
      </c>
      <c r="D225" s="215">
        <v>286.33659999999998</v>
      </c>
      <c r="E225" s="215">
        <v>25.9207</v>
      </c>
      <c r="F225" s="216" t="s">
        <v>505</v>
      </c>
      <c r="G225" s="215">
        <v>1.49</v>
      </c>
      <c r="H225" s="215">
        <v>12.907999999999999</v>
      </c>
      <c r="I225" s="100">
        <v>0.4</v>
      </c>
      <c r="J225" s="100">
        <v>406.6</v>
      </c>
      <c r="K225" s="100">
        <v>1.22</v>
      </c>
      <c r="L225" s="100">
        <v>0</v>
      </c>
      <c r="M225" s="217">
        <v>2.0667000000000001E-2</v>
      </c>
      <c r="N225" s="217">
        <v>2.0667000000000001E-2</v>
      </c>
      <c r="O225" s="100" t="s">
        <v>506</v>
      </c>
      <c r="P225" s="218">
        <f>(K225*AU)/(C225*pc)/Photometry!$AB$19</f>
        <v>0.42028881656264616</v>
      </c>
      <c r="Q225" s="522" t="s">
        <v>87</v>
      </c>
      <c r="R225" s="100">
        <v>999</v>
      </c>
      <c r="S225" s="103"/>
    </row>
    <row r="226" spans="1:19" x14ac:dyDescent="0.25">
      <c r="A226" s="497">
        <v>224</v>
      </c>
      <c r="B226" s="100">
        <v>9.93</v>
      </c>
      <c r="C226" s="214">
        <v>46.210700000000003</v>
      </c>
      <c r="D226" s="215">
        <v>50.177900000000001</v>
      </c>
      <c r="E226" s="215">
        <v>-33.7301</v>
      </c>
      <c r="F226" s="216" t="s">
        <v>507</v>
      </c>
      <c r="G226" s="215">
        <v>1.99</v>
      </c>
      <c r="H226" s="215">
        <v>12.944000000000001</v>
      </c>
      <c r="I226" s="100">
        <v>0.4</v>
      </c>
      <c r="J226" s="100">
        <v>380.9</v>
      </c>
      <c r="K226" s="100">
        <v>0.95</v>
      </c>
      <c r="L226" s="100">
        <v>0.75</v>
      </c>
      <c r="M226" s="217">
        <v>2.0558E-2</v>
      </c>
      <c r="N226" s="217">
        <v>3.5976000000000001E-2</v>
      </c>
      <c r="O226" s="100" t="s">
        <v>508</v>
      </c>
      <c r="P226" s="218">
        <f>(K226*AU)/(C226*pc)/Photometry!$AB$19</f>
        <v>0.41807656393188342</v>
      </c>
      <c r="Q226" s="522" t="s">
        <v>88</v>
      </c>
      <c r="R226" s="100">
        <v>999</v>
      </c>
      <c r="S226" s="103"/>
    </row>
    <row r="227" spans="1:19" x14ac:dyDescent="0.25">
      <c r="A227" s="497">
        <v>225</v>
      </c>
      <c r="B227" s="100">
        <v>10.042</v>
      </c>
      <c r="C227" s="214">
        <v>10.4145</v>
      </c>
      <c r="D227" s="215">
        <v>33.087499999999999</v>
      </c>
      <c r="E227" s="215">
        <v>3.5756000000000001</v>
      </c>
      <c r="F227" s="216" t="s">
        <v>449</v>
      </c>
      <c r="G227" s="215">
        <v>2.2759999999999998</v>
      </c>
      <c r="H227" s="215">
        <v>12.965</v>
      </c>
      <c r="I227" s="100">
        <v>0.4</v>
      </c>
      <c r="J227" s="100">
        <v>61.1</v>
      </c>
      <c r="K227" s="100">
        <v>0.21</v>
      </c>
      <c r="L227" s="100">
        <v>0.03</v>
      </c>
      <c r="M227" s="217">
        <v>2.0164000000000001E-2</v>
      </c>
      <c r="N227" s="217">
        <v>2.0768999999999999E-2</v>
      </c>
      <c r="O227" s="100" t="s">
        <v>450</v>
      </c>
      <c r="P227" s="218">
        <f>(K227*AU)/(C227*pc)/Photometry!$AB$19</f>
        <v>0.41006776900690467</v>
      </c>
      <c r="Q227" s="522" t="s">
        <v>90</v>
      </c>
      <c r="R227" s="100">
        <v>999</v>
      </c>
      <c r="S227" s="103"/>
    </row>
    <row r="228" spans="1:19" x14ac:dyDescent="0.25">
      <c r="A228" s="497">
        <v>226</v>
      </c>
      <c r="B228" s="100">
        <v>5.9770000000000003</v>
      </c>
      <c r="C228" s="214">
        <v>118.0638</v>
      </c>
      <c r="D228" s="215">
        <v>233.8175</v>
      </c>
      <c r="E228" s="215">
        <v>53.9221</v>
      </c>
      <c r="F228" s="216" t="s">
        <v>509</v>
      </c>
      <c r="G228" s="215">
        <v>9.76</v>
      </c>
      <c r="H228" s="215">
        <v>12.791</v>
      </c>
      <c r="I228" s="100">
        <v>0.4</v>
      </c>
      <c r="J228" s="100">
        <v>1125.7</v>
      </c>
      <c r="K228" s="100">
        <v>2.36</v>
      </c>
      <c r="L228" s="100">
        <v>0.1</v>
      </c>
      <c r="M228" s="217">
        <v>1.9989E-2</v>
      </c>
      <c r="N228" s="217">
        <v>2.1988000000000001E-2</v>
      </c>
      <c r="O228" s="100" t="s">
        <v>510</v>
      </c>
      <c r="P228" s="218">
        <f>(K228*AU)/(C228*pc)/Photometry!$AB$19</f>
        <v>0.40650885536387082</v>
      </c>
      <c r="Q228" s="522" t="s">
        <v>88</v>
      </c>
      <c r="R228" s="100">
        <v>999</v>
      </c>
      <c r="S228" s="103"/>
    </row>
    <row r="229" spans="1:19" x14ac:dyDescent="0.25">
      <c r="A229" s="497">
        <v>227</v>
      </c>
      <c r="B229" s="100">
        <v>4.2549999999999999</v>
      </c>
      <c r="C229" s="214">
        <v>6.0434000000000001</v>
      </c>
      <c r="D229" s="215">
        <v>49.981900000000003</v>
      </c>
      <c r="E229" s="215">
        <v>-43.069800000000001</v>
      </c>
      <c r="F229" s="216" t="s">
        <v>364</v>
      </c>
      <c r="G229" s="215">
        <v>8.9999999999999993E-3</v>
      </c>
      <c r="H229" s="215">
        <v>1.32</v>
      </c>
      <c r="I229" s="100">
        <v>0.4</v>
      </c>
      <c r="J229" s="100">
        <v>18.3</v>
      </c>
      <c r="K229" s="100">
        <v>0.12</v>
      </c>
      <c r="L229" s="100">
        <v>0</v>
      </c>
      <c r="M229" s="217">
        <v>1.9855999999999999E-2</v>
      </c>
      <c r="N229" s="217">
        <v>1.9855999999999999E-2</v>
      </c>
      <c r="O229" s="100" t="s">
        <v>237</v>
      </c>
      <c r="P229" s="218">
        <f>(K229*AU)/(C229*pc)/Photometry!$AB$19</f>
        <v>0.40380776954528042</v>
      </c>
      <c r="Q229" s="522" t="s">
        <v>86</v>
      </c>
      <c r="R229" s="100">
        <v>999</v>
      </c>
      <c r="S229" s="103"/>
    </row>
    <row r="230" spans="1:19" x14ac:dyDescent="0.25">
      <c r="A230" s="497">
        <v>228</v>
      </c>
      <c r="B230" s="100">
        <v>5.95</v>
      </c>
      <c r="C230" s="214">
        <v>12.341100000000001</v>
      </c>
      <c r="D230" s="215">
        <v>133.14920000000001</v>
      </c>
      <c r="E230" s="215">
        <v>28.3308</v>
      </c>
      <c r="F230" s="216" t="s">
        <v>236</v>
      </c>
      <c r="G230" s="215">
        <v>0.16900000000000001</v>
      </c>
      <c r="H230" s="215">
        <v>11.452999999999999</v>
      </c>
      <c r="I230" s="100">
        <v>0.4</v>
      </c>
      <c r="J230" s="100">
        <v>44.3</v>
      </c>
      <c r="K230" s="100">
        <v>0.24</v>
      </c>
      <c r="L230" s="100">
        <v>0.05</v>
      </c>
      <c r="M230" s="217">
        <v>1.9446999999999999E-2</v>
      </c>
      <c r="N230" s="217">
        <v>2.0420000000000001E-2</v>
      </c>
      <c r="O230" s="100" t="s">
        <v>237</v>
      </c>
      <c r="P230" s="218">
        <f>(K230*AU)/(C230*pc)/Photometry!$AB$19</f>
        <v>0.39548692976638183</v>
      </c>
      <c r="Q230" s="522" t="s">
        <v>86</v>
      </c>
      <c r="R230" s="100">
        <v>999</v>
      </c>
      <c r="S230" s="103"/>
    </row>
    <row r="231" spans="1:19" x14ac:dyDescent="0.25">
      <c r="A231" s="497">
        <v>229</v>
      </c>
      <c r="B231" s="100">
        <v>4.13</v>
      </c>
      <c r="C231" s="214">
        <v>67.8887</v>
      </c>
      <c r="D231" s="215">
        <v>239.39689999999999</v>
      </c>
      <c r="E231" s="215">
        <v>26.8779</v>
      </c>
      <c r="F231" s="216" t="s">
        <v>511</v>
      </c>
      <c r="G231" s="215">
        <v>6.7</v>
      </c>
      <c r="H231" s="215">
        <v>13.034000000000001</v>
      </c>
      <c r="I231" s="100">
        <v>0.4</v>
      </c>
      <c r="J231" s="100">
        <v>417.9</v>
      </c>
      <c r="K231" s="100">
        <v>1.3</v>
      </c>
      <c r="L231" s="100">
        <v>0.11</v>
      </c>
      <c r="M231" s="217">
        <v>1.9148999999999999E-2</v>
      </c>
      <c r="N231" s="217">
        <v>2.1255E-2</v>
      </c>
      <c r="O231" s="100" t="s">
        <v>354</v>
      </c>
      <c r="P231" s="218">
        <f>(K231*AU)/(C231*pc)/Photometry!$AB$19</f>
        <v>0.38942212729694975</v>
      </c>
      <c r="Q231" s="522" t="s">
        <v>87</v>
      </c>
      <c r="R231" s="100">
        <v>999</v>
      </c>
      <c r="S231" s="103"/>
    </row>
    <row r="232" spans="1:19" x14ac:dyDescent="0.25">
      <c r="A232" s="497">
        <v>230</v>
      </c>
      <c r="B232" s="100">
        <v>7.8</v>
      </c>
      <c r="C232" s="214">
        <v>110.011</v>
      </c>
      <c r="D232" s="215">
        <v>223.346</v>
      </c>
      <c r="E232" s="215">
        <v>18.235399999999998</v>
      </c>
      <c r="F232" s="216" t="s">
        <v>512</v>
      </c>
      <c r="G232" s="215">
        <v>2.2000000000000002</v>
      </c>
      <c r="H232" s="215">
        <v>12.959</v>
      </c>
      <c r="I232" s="100">
        <v>0.4</v>
      </c>
      <c r="J232" s="100">
        <v>883</v>
      </c>
      <c r="K232" s="100">
        <v>2.09</v>
      </c>
      <c r="L232" s="100">
        <v>0.16</v>
      </c>
      <c r="M232" s="217">
        <v>1.8998000000000001E-2</v>
      </c>
      <c r="N232" s="217">
        <v>2.2037999999999999E-2</v>
      </c>
      <c r="O232" s="100" t="s">
        <v>323</v>
      </c>
      <c r="P232" s="218">
        <f>(K232*AU)/(C232*pc)/Photometry!$AB$19</f>
        <v>0.38635357809993176</v>
      </c>
      <c r="Q232" s="522" t="s">
        <v>87</v>
      </c>
      <c r="R232" s="100">
        <v>999</v>
      </c>
      <c r="S232" s="103"/>
    </row>
    <row r="233" spans="1:19" x14ac:dyDescent="0.25">
      <c r="A233" s="497">
        <v>231</v>
      </c>
      <c r="B233" s="100">
        <v>8.27</v>
      </c>
      <c r="C233" s="214">
        <v>90.744100000000003</v>
      </c>
      <c r="D233" s="215">
        <v>86.996600000000001</v>
      </c>
      <c r="E233" s="215">
        <v>-8.3277000000000001</v>
      </c>
      <c r="F233" s="216" t="s">
        <v>513</v>
      </c>
      <c r="G233" s="215">
        <v>10.7</v>
      </c>
      <c r="H233" s="215">
        <v>12.715999999999999</v>
      </c>
      <c r="I233" s="100">
        <v>0.4</v>
      </c>
      <c r="J233" s="100">
        <v>696.3</v>
      </c>
      <c r="K233" s="100">
        <v>1.7</v>
      </c>
      <c r="L233" s="100">
        <v>0</v>
      </c>
      <c r="M233" s="217">
        <v>1.8734000000000001E-2</v>
      </c>
      <c r="N233" s="217">
        <v>1.8734000000000001E-2</v>
      </c>
      <c r="O233" s="100" t="s">
        <v>323</v>
      </c>
      <c r="P233" s="218">
        <f>(K233*AU)/(C233*pc)/Photometry!$AB$19</f>
        <v>0.38098272932702248</v>
      </c>
      <c r="Q233" s="522" t="s">
        <v>87</v>
      </c>
      <c r="R233" s="100">
        <v>999</v>
      </c>
      <c r="S233" s="103"/>
    </row>
    <row r="234" spans="1:19" x14ac:dyDescent="0.25">
      <c r="A234" s="497">
        <v>232</v>
      </c>
      <c r="B234" s="100">
        <v>7.24</v>
      </c>
      <c r="C234" s="214">
        <v>64.226100000000002</v>
      </c>
      <c r="D234" s="215">
        <v>257.81549999999999</v>
      </c>
      <c r="E234" s="215">
        <v>-56.680799999999998</v>
      </c>
      <c r="F234" s="216" t="s">
        <v>514</v>
      </c>
      <c r="G234" s="215">
        <v>1.8</v>
      </c>
      <c r="H234" s="215">
        <v>12.930999999999999</v>
      </c>
      <c r="I234" s="100">
        <v>0.4</v>
      </c>
      <c r="J234" s="100">
        <v>409</v>
      </c>
      <c r="K234" s="100">
        <v>1.2</v>
      </c>
      <c r="L234" s="100">
        <v>0.47</v>
      </c>
      <c r="M234" s="217">
        <v>1.8683999999999999E-2</v>
      </c>
      <c r="N234" s="217">
        <v>2.7465E-2</v>
      </c>
      <c r="O234" s="100" t="s">
        <v>299</v>
      </c>
      <c r="P234" s="218">
        <f>(K234*AU)/(C234*pc)/Photometry!$AB$19</f>
        <v>0.37996575760788026</v>
      </c>
      <c r="Q234" s="522" t="s">
        <v>86</v>
      </c>
      <c r="R234" s="100">
        <v>999</v>
      </c>
      <c r="S234" s="103"/>
    </row>
    <row r="235" spans="1:19" x14ac:dyDescent="0.25">
      <c r="A235" s="497">
        <v>233</v>
      </c>
      <c r="B235" s="100">
        <v>8.07</v>
      </c>
      <c r="C235" s="214">
        <v>45.3309</v>
      </c>
      <c r="D235" s="215">
        <v>318.7407</v>
      </c>
      <c r="E235" s="215">
        <v>-20.789200000000001</v>
      </c>
      <c r="F235" s="216" t="s">
        <v>371</v>
      </c>
      <c r="G235" s="215">
        <v>17.399999999999999</v>
      </c>
      <c r="H235" s="215">
        <v>12.183</v>
      </c>
      <c r="I235" s="100">
        <v>0.4</v>
      </c>
      <c r="J235" s="100">
        <v>255.9</v>
      </c>
      <c r="K235" s="100">
        <v>0.83</v>
      </c>
      <c r="L235" s="100">
        <v>0.44</v>
      </c>
      <c r="M235" s="217">
        <v>1.831E-2</v>
      </c>
      <c r="N235" s="217">
        <v>2.6366000000000001E-2</v>
      </c>
      <c r="O235" s="100" t="s">
        <v>341</v>
      </c>
      <c r="P235" s="218">
        <f>(K235*AU)/(C235*pc)/Photometry!$AB$19</f>
        <v>0.37235613672830536</v>
      </c>
      <c r="Q235" s="522" t="s">
        <v>86</v>
      </c>
      <c r="R235" s="100">
        <v>999</v>
      </c>
      <c r="S235" s="103"/>
    </row>
    <row r="236" spans="1:19" x14ac:dyDescent="0.25">
      <c r="A236" s="497">
        <v>234</v>
      </c>
      <c r="B236" s="100">
        <v>8.0299999999999994</v>
      </c>
      <c r="C236" s="214">
        <v>85.397099999999995</v>
      </c>
      <c r="D236" s="215">
        <v>100.0072</v>
      </c>
      <c r="E236" s="215">
        <v>-48.542000000000002</v>
      </c>
      <c r="F236" s="216" t="s">
        <v>515</v>
      </c>
      <c r="G236" s="215">
        <v>1.1599999999999999</v>
      </c>
      <c r="H236" s="215">
        <v>12.865</v>
      </c>
      <c r="I236" s="100">
        <v>0.4</v>
      </c>
      <c r="J236" s="100">
        <v>700</v>
      </c>
      <c r="K236" s="100">
        <v>1.51</v>
      </c>
      <c r="L236" s="100">
        <v>0.18</v>
      </c>
      <c r="M236" s="217">
        <v>1.7682E-2</v>
      </c>
      <c r="N236" s="217">
        <v>2.0865000000000002E-2</v>
      </c>
      <c r="O236" s="100" t="s">
        <v>438</v>
      </c>
      <c r="P236" s="218">
        <f>(K236*AU)/(C236*pc)/Photometry!$AB$19</f>
        <v>0.35959081460315212</v>
      </c>
      <c r="Q236" s="522" t="s">
        <v>86</v>
      </c>
      <c r="R236" s="100">
        <v>999</v>
      </c>
      <c r="S236" s="103"/>
    </row>
    <row r="237" spans="1:19" x14ac:dyDescent="0.25">
      <c r="A237" s="497">
        <v>235</v>
      </c>
      <c r="B237" s="100">
        <v>6.4489999999999998</v>
      </c>
      <c r="C237" s="214">
        <v>65.616799999999998</v>
      </c>
      <c r="D237" s="215">
        <v>304.02499999999998</v>
      </c>
      <c r="E237" s="215">
        <v>4.5808</v>
      </c>
      <c r="F237" s="216" t="s">
        <v>516</v>
      </c>
      <c r="G237" s="215">
        <v>2.5</v>
      </c>
      <c r="H237" s="215">
        <v>12.986000000000001</v>
      </c>
      <c r="I237" s="100">
        <v>0.4</v>
      </c>
      <c r="J237" s="100">
        <v>351.5</v>
      </c>
      <c r="K237" s="100">
        <v>1.1599999999999999</v>
      </c>
      <c r="L237" s="100">
        <v>0.15</v>
      </c>
      <c r="M237" s="217">
        <v>1.7677999999999999E-2</v>
      </c>
      <c r="N237" s="217">
        <v>2.0330000000000001E-2</v>
      </c>
      <c r="O237" s="100" t="s">
        <v>281</v>
      </c>
      <c r="P237" s="218">
        <f>(K237*AU)/(C237*pc)/Photometry!$AB$19</f>
        <v>0.35951557304241438</v>
      </c>
      <c r="Q237" s="522" t="s">
        <v>86</v>
      </c>
      <c r="R237" s="100">
        <v>999</v>
      </c>
      <c r="S237" s="103"/>
    </row>
    <row r="238" spans="1:19" x14ac:dyDescent="0.25">
      <c r="A238" s="497">
        <v>236</v>
      </c>
      <c r="B238" s="100">
        <v>7.11</v>
      </c>
      <c r="C238" s="214">
        <v>44.563299999999998</v>
      </c>
      <c r="D238" s="215">
        <v>21.302099999999999</v>
      </c>
      <c r="E238" s="215">
        <v>28.566700000000001</v>
      </c>
      <c r="F238" s="216" t="s">
        <v>517</v>
      </c>
      <c r="G238" s="215">
        <v>2.11</v>
      </c>
      <c r="H238" s="215">
        <v>12.952999999999999</v>
      </c>
      <c r="I238" s="100">
        <v>0.4</v>
      </c>
      <c r="J238" s="100">
        <v>227.6</v>
      </c>
      <c r="K238" s="100">
        <v>0.77</v>
      </c>
      <c r="L238" s="100">
        <v>0.28999999999999998</v>
      </c>
      <c r="M238" s="217">
        <v>1.7278999999999999E-2</v>
      </c>
      <c r="N238" s="217">
        <v>2.2290000000000001E-2</v>
      </c>
      <c r="O238" s="100" t="s">
        <v>370</v>
      </c>
      <c r="P238" s="218">
        <f>(K238*AU)/(C238*pc)/Photometry!$AB$19</f>
        <v>0.35138898737710544</v>
      </c>
      <c r="Q238" s="522" t="s">
        <v>84</v>
      </c>
      <c r="R238" s="100">
        <v>999</v>
      </c>
      <c r="S238" s="103"/>
    </row>
    <row r="239" spans="1:19" x14ac:dyDescent="0.25">
      <c r="A239" s="497">
        <v>237</v>
      </c>
      <c r="B239" s="100">
        <v>6.3010000000000002</v>
      </c>
      <c r="C239" s="214">
        <v>28.9603</v>
      </c>
      <c r="D239" s="215">
        <v>105.0752</v>
      </c>
      <c r="E239" s="215">
        <v>-5.3672000000000004</v>
      </c>
      <c r="F239" s="216" t="s">
        <v>518</v>
      </c>
      <c r="G239" s="215">
        <v>1.05</v>
      </c>
      <c r="H239" s="215">
        <v>12.848000000000001</v>
      </c>
      <c r="I239" s="100">
        <v>0.4</v>
      </c>
      <c r="J239" s="100">
        <v>119.6</v>
      </c>
      <c r="K239" s="100">
        <v>0.5</v>
      </c>
      <c r="L239" s="100">
        <v>0.35</v>
      </c>
      <c r="M239" s="217">
        <v>1.7264999999999999E-2</v>
      </c>
      <c r="N239" s="217">
        <v>2.3307999999999999E-2</v>
      </c>
      <c r="O239" s="100" t="s">
        <v>266</v>
      </c>
      <c r="P239" s="218">
        <f>(K239*AU)/(C239*pc)/Photometry!$AB$19</f>
        <v>0.35110879872186346</v>
      </c>
      <c r="Q239" s="522" t="s">
        <v>85</v>
      </c>
      <c r="R239" s="100">
        <v>999</v>
      </c>
      <c r="S239" s="103"/>
    </row>
    <row r="240" spans="1:19" x14ac:dyDescent="0.25">
      <c r="A240" s="497">
        <v>238</v>
      </c>
      <c r="B240" s="100">
        <v>8.33</v>
      </c>
      <c r="C240" s="214">
        <v>27.8552</v>
      </c>
      <c r="D240" s="215">
        <v>161.08709999999999</v>
      </c>
      <c r="E240" s="215">
        <v>-33.576999999999998</v>
      </c>
      <c r="F240" s="216" t="s">
        <v>519</v>
      </c>
      <c r="G240" s="215">
        <v>0.37</v>
      </c>
      <c r="H240" s="215">
        <v>12.42</v>
      </c>
      <c r="I240" s="100">
        <v>0.4</v>
      </c>
      <c r="J240" s="100">
        <v>143.6</v>
      </c>
      <c r="K240" s="100">
        <v>0.48</v>
      </c>
      <c r="L240" s="100">
        <v>0.14000000000000001</v>
      </c>
      <c r="M240" s="217">
        <v>1.7232000000000001E-2</v>
      </c>
      <c r="N240" s="217">
        <v>1.9643999999999998E-2</v>
      </c>
      <c r="O240" s="100" t="s">
        <v>520</v>
      </c>
      <c r="P240" s="218">
        <f>(K240*AU)/(C240*pc)/Photometry!$AB$19</f>
        <v>0.3504368124400396</v>
      </c>
      <c r="Q240" s="522" t="s">
        <v>87</v>
      </c>
      <c r="R240" s="100">
        <v>999</v>
      </c>
      <c r="S240" s="103"/>
    </row>
    <row r="241" spans="1:19" x14ac:dyDescent="0.25">
      <c r="A241" s="497">
        <v>239</v>
      </c>
      <c r="B241" s="100">
        <v>6.4409999999999998</v>
      </c>
      <c r="C241" s="214">
        <v>77.459299999999999</v>
      </c>
      <c r="D241" s="215">
        <v>155.8682</v>
      </c>
      <c r="E241" s="215">
        <v>-0.90225</v>
      </c>
      <c r="F241" s="216" t="s">
        <v>474</v>
      </c>
      <c r="G241" s="215">
        <v>1.99</v>
      </c>
      <c r="H241" s="215">
        <v>12.944000000000001</v>
      </c>
      <c r="I241" s="100">
        <v>0.4</v>
      </c>
      <c r="J241" s="100">
        <v>452.8</v>
      </c>
      <c r="K241" s="100">
        <v>1.33</v>
      </c>
      <c r="L241" s="100">
        <v>0.09</v>
      </c>
      <c r="M241" s="217">
        <v>1.7170000000000001E-2</v>
      </c>
      <c r="N241" s="217">
        <v>1.8716E-2</v>
      </c>
      <c r="O241" s="100" t="s">
        <v>281</v>
      </c>
      <c r="P241" s="218">
        <f>(K241*AU)/(C241*pc)/Photometry!$AB$19</f>
        <v>0.34918279589464302</v>
      </c>
      <c r="Q241" s="522" t="s">
        <v>86</v>
      </c>
      <c r="R241" s="100">
        <v>999</v>
      </c>
      <c r="S241" s="103"/>
    </row>
    <row r="242" spans="1:19" x14ac:dyDescent="0.25">
      <c r="A242" s="497">
        <v>240</v>
      </c>
      <c r="B242" s="100">
        <v>6.63</v>
      </c>
      <c r="C242" s="214">
        <v>38.022799999999997</v>
      </c>
      <c r="D242" s="215">
        <v>341.5335</v>
      </c>
      <c r="E242" s="215">
        <v>-48.9788</v>
      </c>
      <c r="F242" s="216" t="s">
        <v>315</v>
      </c>
      <c r="G242" s="215">
        <v>0.10100000000000001</v>
      </c>
      <c r="H242" s="215">
        <v>10.59</v>
      </c>
      <c r="I242" s="100">
        <v>0.4</v>
      </c>
      <c r="J242" s="100">
        <v>192</v>
      </c>
      <c r="K242" s="100">
        <v>0.65</v>
      </c>
      <c r="L242" s="100">
        <v>0.15</v>
      </c>
      <c r="M242" s="217">
        <v>1.7094999999999999E-2</v>
      </c>
      <c r="N242" s="217">
        <v>1.9658999999999999E-2</v>
      </c>
      <c r="O242" s="100" t="s">
        <v>316</v>
      </c>
      <c r="P242" s="218">
        <f>(K242*AU)/(C242*pc)/Photometry!$AB$19</f>
        <v>0.34765143510504792</v>
      </c>
      <c r="Q242" s="522" t="s">
        <v>85</v>
      </c>
      <c r="R242" s="100">
        <v>999</v>
      </c>
      <c r="S242" s="103"/>
    </row>
    <row r="243" spans="1:19" x14ac:dyDescent="0.25">
      <c r="A243" s="497">
        <v>241</v>
      </c>
      <c r="B243" s="100">
        <v>7.24</v>
      </c>
      <c r="C243" s="214">
        <v>58.685400000000001</v>
      </c>
      <c r="D243" s="215">
        <v>264.74799999999999</v>
      </c>
      <c r="E243" s="215">
        <v>-43.145499999999998</v>
      </c>
      <c r="F243" s="216" t="s">
        <v>429</v>
      </c>
      <c r="G243" s="215">
        <v>0.73</v>
      </c>
      <c r="H243" s="215">
        <v>12.792999999999999</v>
      </c>
      <c r="I243" s="100">
        <v>0.4</v>
      </c>
      <c r="J243" s="100">
        <v>352.3</v>
      </c>
      <c r="K243" s="100">
        <v>1</v>
      </c>
      <c r="L243" s="100">
        <v>0.15</v>
      </c>
      <c r="M243" s="217">
        <v>1.704E-2</v>
      </c>
      <c r="N243" s="217">
        <v>1.9595999999999999E-2</v>
      </c>
      <c r="O243" s="100" t="s">
        <v>299</v>
      </c>
      <c r="P243" s="218">
        <f>(K243*AU)/(C243*pc)/Photometry!$AB$19</f>
        <v>0.34653307785666559</v>
      </c>
      <c r="Q243" s="522" t="s">
        <v>86</v>
      </c>
      <c r="R243" s="100">
        <v>999</v>
      </c>
      <c r="S243" s="103"/>
    </row>
    <row r="244" spans="1:19" x14ac:dyDescent="0.25">
      <c r="A244" s="497">
        <v>242</v>
      </c>
      <c r="B244" s="100">
        <v>7.9109999999999996</v>
      </c>
      <c r="C244" s="214">
        <v>118.0638</v>
      </c>
      <c r="D244" s="215">
        <v>72.574399999999997</v>
      </c>
      <c r="E244" s="215">
        <v>-24.3688</v>
      </c>
      <c r="F244" s="216" t="s">
        <v>521</v>
      </c>
      <c r="G244" s="215">
        <v>1.8</v>
      </c>
      <c r="H244" s="215">
        <v>12.930999999999999</v>
      </c>
      <c r="I244" s="100">
        <v>0.4</v>
      </c>
      <c r="J244" s="100">
        <v>912</v>
      </c>
      <c r="K244" s="100">
        <v>2</v>
      </c>
      <c r="L244" s="100">
        <v>0.24</v>
      </c>
      <c r="M244" s="217">
        <v>1.694E-2</v>
      </c>
      <c r="N244" s="217">
        <v>2.1006E-2</v>
      </c>
      <c r="O244" s="100" t="s">
        <v>411</v>
      </c>
      <c r="P244" s="218">
        <f>(K244*AU)/(C244*pc)/Photometry!$AB$19</f>
        <v>0.34449902996938209</v>
      </c>
      <c r="Q244" s="522" t="s">
        <v>87</v>
      </c>
      <c r="R244" s="100">
        <v>999</v>
      </c>
      <c r="S244" s="103"/>
    </row>
    <row r="245" spans="1:19" x14ac:dyDescent="0.25">
      <c r="A245" s="497">
        <v>243</v>
      </c>
      <c r="B245" s="100">
        <v>8.1029999999999998</v>
      </c>
      <c r="C245" s="214">
        <v>52.438400000000001</v>
      </c>
      <c r="D245" s="215">
        <v>270.38010000000003</v>
      </c>
      <c r="E245" s="215">
        <v>0.10456</v>
      </c>
      <c r="F245" s="216" t="s">
        <v>522</v>
      </c>
      <c r="G245" s="215">
        <v>0.48</v>
      </c>
      <c r="H245" s="215">
        <v>12.595000000000001</v>
      </c>
      <c r="I245" s="100">
        <v>0.4</v>
      </c>
      <c r="J245" s="100">
        <v>282.39999999999998</v>
      </c>
      <c r="K245" s="100">
        <v>0.88</v>
      </c>
      <c r="L245" s="100">
        <v>0.26</v>
      </c>
      <c r="M245" s="217">
        <v>1.6781999999999998E-2</v>
      </c>
      <c r="N245" s="217">
        <v>2.1145000000000001E-2</v>
      </c>
      <c r="O245" s="100" t="s">
        <v>299</v>
      </c>
      <c r="P245" s="218">
        <f>(K245*AU)/(C245*pc)/Photometry!$AB$19</f>
        <v>0.34127777378370844</v>
      </c>
      <c r="Q245" s="522" t="s">
        <v>86</v>
      </c>
      <c r="R245" s="100">
        <v>999</v>
      </c>
      <c r="S245" s="103"/>
    </row>
    <row r="246" spans="1:19" x14ac:dyDescent="0.25">
      <c r="A246" s="497">
        <v>244</v>
      </c>
      <c r="B246" s="100">
        <v>8.76</v>
      </c>
      <c r="C246" s="214">
        <v>62.617400000000004</v>
      </c>
      <c r="D246" s="215">
        <v>187.61199999999999</v>
      </c>
      <c r="E246" s="215">
        <v>22.879799999999999</v>
      </c>
      <c r="F246" s="216" t="s">
        <v>412</v>
      </c>
      <c r="G246" s="215">
        <v>1.36</v>
      </c>
      <c r="H246" s="215">
        <v>12.895</v>
      </c>
      <c r="I246" s="100">
        <v>0.4</v>
      </c>
      <c r="J246" s="100">
        <v>395.4</v>
      </c>
      <c r="K246" s="100">
        <v>1.05</v>
      </c>
      <c r="L246" s="100">
        <v>7.0000000000000007E-2</v>
      </c>
      <c r="M246" s="217">
        <v>1.6768999999999999E-2</v>
      </c>
      <c r="N246" s="217">
        <v>1.7942E-2</v>
      </c>
      <c r="O246" s="100" t="s">
        <v>401</v>
      </c>
      <c r="P246" s="218">
        <f>(K246*AU)/(C246*pc)/Photometry!$AB$19</f>
        <v>0.34101150641214806</v>
      </c>
      <c r="Q246" s="522" t="s">
        <v>87</v>
      </c>
      <c r="R246" s="100">
        <v>999</v>
      </c>
      <c r="S246" s="103"/>
    </row>
    <row r="247" spans="1:19" x14ac:dyDescent="0.25">
      <c r="A247" s="497">
        <v>245</v>
      </c>
      <c r="B247" s="100">
        <v>7.64</v>
      </c>
      <c r="C247" s="214">
        <v>128.86600000000001</v>
      </c>
      <c r="D247" s="215">
        <v>172.1259</v>
      </c>
      <c r="E247" s="215">
        <v>43.9666</v>
      </c>
      <c r="F247" s="216" t="s">
        <v>523</v>
      </c>
      <c r="G247" s="215">
        <v>1.4</v>
      </c>
      <c r="H247" s="215">
        <v>12.901</v>
      </c>
      <c r="I247" s="100">
        <v>0.4</v>
      </c>
      <c r="J247" s="100">
        <v>868</v>
      </c>
      <c r="K247" s="100">
        <v>2.14</v>
      </c>
      <c r="L247" s="100">
        <v>0.37</v>
      </c>
      <c r="M247" s="217">
        <v>1.6605999999999999E-2</v>
      </c>
      <c r="N247" s="217">
        <v>2.2751E-2</v>
      </c>
      <c r="O247" s="100" t="s">
        <v>323</v>
      </c>
      <c r="P247" s="218">
        <f>(K247*AU)/(C247*pc)/Photometry!$AB$19</f>
        <v>0.33771487510060111</v>
      </c>
      <c r="Q247" s="522" t="s">
        <v>87</v>
      </c>
      <c r="R247" s="100">
        <v>999</v>
      </c>
      <c r="S247" s="103"/>
    </row>
    <row r="248" spans="1:19" x14ac:dyDescent="0.25">
      <c r="A248" s="497">
        <v>246</v>
      </c>
      <c r="B248" s="100">
        <v>6.5030000000000001</v>
      </c>
      <c r="C248" s="214">
        <v>25.654199999999999</v>
      </c>
      <c r="D248" s="215">
        <v>166.9768</v>
      </c>
      <c r="E248" s="215">
        <v>-30.174600000000002</v>
      </c>
      <c r="F248" s="216" t="s">
        <v>524</v>
      </c>
      <c r="G248" s="215">
        <v>0.04</v>
      </c>
      <c r="H248" s="215">
        <v>5.4850000000000003</v>
      </c>
      <c r="I248" s="100">
        <v>0.4</v>
      </c>
      <c r="J248" s="100">
        <v>103.5</v>
      </c>
      <c r="K248" s="100">
        <v>0.42</v>
      </c>
      <c r="L248" s="100">
        <v>0.37</v>
      </c>
      <c r="M248" s="217">
        <v>1.6372000000000001E-2</v>
      </c>
      <c r="N248" s="217">
        <v>2.2429000000000001E-2</v>
      </c>
      <c r="O248" s="100" t="s">
        <v>266</v>
      </c>
      <c r="P248" s="218">
        <f>(K248*AU)/(C248*pc)/Photometry!$AB$19</f>
        <v>0.33293969644911231</v>
      </c>
      <c r="Q248" s="522" t="s">
        <v>85</v>
      </c>
      <c r="R248" s="100">
        <v>999</v>
      </c>
      <c r="S248" s="103"/>
    </row>
    <row r="249" spans="1:19" x14ac:dyDescent="0.25">
      <c r="A249" s="497">
        <v>247</v>
      </c>
      <c r="B249" s="100">
        <v>8.9499999999999993</v>
      </c>
      <c r="C249" s="214">
        <v>56.3063</v>
      </c>
      <c r="D249" s="215">
        <v>93.398600000000002</v>
      </c>
      <c r="E249" s="215">
        <v>-29.897300000000001</v>
      </c>
      <c r="F249" s="216" t="s">
        <v>525</v>
      </c>
      <c r="G249" s="215">
        <v>0.6</v>
      </c>
      <c r="H249" s="215">
        <v>12.724</v>
      </c>
      <c r="I249" s="100">
        <v>0.4</v>
      </c>
      <c r="J249" s="100">
        <v>327.8</v>
      </c>
      <c r="K249" s="100">
        <v>0.92</v>
      </c>
      <c r="L249" s="100">
        <v>0.83</v>
      </c>
      <c r="M249" s="217">
        <v>1.6338999999999999E-2</v>
      </c>
      <c r="N249" s="217">
        <v>2.9901E-2</v>
      </c>
      <c r="O249" s="100" t="s">
        <v>526</v>
      </c>
      <c r="P249" s="218">
        <f>(K249*AU)/(C249*pc)/Photometry!$AB$19</f>
        <v>0.33228107164330811</v>
      </c>
      <c r="Q249" s="522" t="s">
        <v>87</v>
      </c>
      <c r="R249" s="100">
        <v>999</v>
      </c>
      <c r="S249" s="103"/>
    </row>
    <row r="250" spans="1:19" x14ac:dyDescent="0.25">
      <c r="A250" s="497">
        <v>248</v>
      </c>
      <c r="B250" s="100">
        <v>9.66</v>
      </c>
      <c r="C250" s="214">
        <v>48.355899999999998</v>
      </c>
      <c r="D250" s="215">
        <v>318.39999999999998</v>
      </c>
      <c r="E250" s="215">
        <v>14.689399999999999</v>
      </c>
      <c r="F250" s="216" t="s">
        <v>527</v>
      </c>
      <c r="G250" s="215">
        <v>1.47</v>
      </c>
      <c r="H250" s="215">
        <v>12.907</v>
      </c>
      <c r="I250" s="100">
        <v>0.4</v>
      </c>
      <c r="J250" s="100">
        <v>268.89999999999998</v>
      </c>
      <c r="K250" s="100">
        <v>0.78</v>
      </c>
      <c r="L250" s="100">
        <v>0.28999999999999998</v>
      </c>
      <c r="M250" s="217">
        <v>1.6129999999999999E-2</v>
      </c>
      <c r="N250" s="217">
        <v>2.0808E-2</v>
      </c>
      <c r="O250" s="100" t="s">
        <v>264</v>
      </c>
      <c r="P250" s="218">
        <f>(K250*AU)/(C250*pc)/Photometry!$AB$19</f>
        <v>0.328034783429833</v>
      </c>
      <c r="Q250" s="522" t="s">
        <v>88</v>
      </c>
      <c r="R250" s="100">
        <v>999</v>
      </c>
      <c r="S250" s="103"/>
    </row>
    <row r="251" spans="1:19" x14ac:dyDescent="0.25">
      <c r="A251" s="497">
        <v>249</v>
      </c>
      <c r="B251" s="100">
        <v>7.55</v>
      </c>
      <c r="C251" s="214">
        <v>110.6195</v>
      </c>
      <c r="D251" s="215">
        <v>290.26760000000002</v>
      </c>
      <c r="E251" s="215">
        <v>-23.619599999999998</v>
      </c>
      <c r="F251" s="216" t="s">
        <v>528</v>
      </c>
      <c r="G251" s="215">
        <v>3.3</v>
      </c>
      <c r="H251" s="215">
        <v>13.071999999999999</v>
      </c>
      <c r="I251" s="100">
        <v>0.4</v>
      </c>
      <c r="J251" s="100">
        <v>663</v>
      </c>
      <c r="K251" s="100">
        <v>1.78</v>
      </c>
      <c r="L251" s="100">
        <v>0.18</v>
      </c>
      <c r="M251" s="217">
        <v>1.6091000000000001E-2</v>
      </c>
      <c r="N251" s="217">
        <v>1.8988000000000001E-2</v>
      </c>
      <c r="O251" s="100" t="s">
        <v>411</v>
      </c>
      <c r="P251" s="218">
        <f>(K251*AU)/(C251*pc)/Photometry!$AB$19</f>
        <v>0.32723750759408804</v>
      </c>
      <c r="Q251" s="522" t="s">
        <v>87</v>
      </c>
      <c r="R251" s="100">
        <v>999</v>
      </c>
      <c r="S251" s="103"/>
    </row>
    <row r="252" spans="1:19" x14ac:dyDescent="0.25">
      <c r="A252" s="497">
        <v>250</v>
      </c>
      <c r="B252" s="100">
        <v>6.89</v>
      </c>
      <c r="C252" s="214">
        <v>59.0319</v>
      </c>
      <c r="D252" s="215">
        <v>247.1173</v>
      </c>
      <c r="E252" s="215">
        <v>-13.3996</v>
      </c>
      <c r="F252" s="216" t="s">
        <v>529</v>
      </c>
      <c r="G252" s="215">
        <v>0.96</v>
      </c>
      <c r="H252" s="215">
        <v>12.835000000000001</v>
      </c>
      <c r="I252" s="100">
        <v>0.4</v>
      </c>
      <c r="J252" s="100">
        <v>331.5</v>
      </c>
      <c r="K252" s="100">
        <v>0.93</v>
      </c>
      <c r="L252" s="100">
        <v>0.16</v>
      </c>
      <c r="M252" s="217">
        <v>1.5754000000000001E-2</v>
      </c>
      <c r="N252" s="217">
        <v>1.8275E-2</v>
      </c>
      <c r="O252" s="100" t="s">
        <v>530</v>
      </c>
      <c r="P252" s="218">
        <f>(K252*AU)/(C252*pc)/Photometry!$AB$19</f>
        <v>0.32038409787152533</v>
      </c>
      <c r="Q252" s="522" t="s">
        <v>87</v>
      </c>
      <c r="R252" s="100">
        <v>999</v>
      </c>
      <c r="S252" s="103"/>
    </row>
    <row r="253" spans="1:19" x14ac:dyDescent="0.25">
      <c r="A253" s="497">
        <v>251</v>
      </c>
      <c r="B253" s="100">
        <v>7.68</v>
      </c>
      <c r="C253" s="214">
        <v>33.67</v>
      </c>
      <c r="D253" s="215">
        <v>84.260400000000004</v>
      </c>
      <c r="E253" s="215">
        <v>20.730799999999999</v>
      </c>
      <c r="F253" s="216" t="s">
        <v>330</v>
      </c>
      <c r="G253" s="215">
        <v>0.67500000000000004</v>
      </c>
      <c r="H253" s="215">
        <v>12.782999999999999</v>
      </c>
      <c r="I253" s="100">
        <v>0.4</v>
      </c>
      <c r="J253" s="100">
        <v>154.4</v>
      </c>
      <c r="K253" s="100">
        <v>0.53</v>
      </c>
      <c r="L253" s="100">
        <v>0.05</v>
      </c>
      <c r="M253" s="217">
        <v>1.5741000000000002E-2</v>
      </c>
      <c r="N253" s="217">
        <v>1.6528000000000001E-2</v>
      </c>
      <c r="O253" s="100" t="s">
        <v>331</v>
      </c>
      <c r="P253" s="218">
        <f>(K253*AU)/(C253*pc)/Photometry!$AB$19</f>
        <v>0.32011610074969615</v>
      </c>
      <c r="Q253" s="522" t="s">
        <v>86</v>
      </c>
      <c r="R253" s="100">
        <v>999</v>
      </c>
      <c r="S253" s="103"/>
    </row>
    <row r="254" spans="1:19" x14ac:dyDescent="0.25">
      <c r="A254" s="497">
        <v>252</v>
      </c>
      <c r="B254" s="100">
        <v>8.0299999999999994</v>
      </c>
      <c r="C254" s="214">
        <v>75.757599999999996</v>
      </c>
      <c r="D254" s="215">
        <v>133.46170000000001</v>
      </c>
      <c r="E254" s="215">
        <v>33.056800000000003</v>
      </c>
      <c r="F254" s="216" t="s">
        <v>531</v>
      </c>
      <c r="G254" s="215">
        <v>2.5099999999999998</v>
      </c>
      <c r="H254" s="215">
        <v>12.987</v>
      </c>
      <c r="I254" s="100">
        <v>0.4</v>
      </c>
      <c r="J254" s="100">
        <v>418.2</v>
      </c>
      <c r="K254" s="100">
        <v>1.19</v>
      </c>
      <c r="L254" s="100">
        <v>0.1</v>
      </c>
      <c r="M254" s="217">
        <v>1.5708E-2</v>
      </c>
      <c r="N254" s="217">
        <v>1.7278999999999999E-2</v>
      </c>
      <c r="O254" s="100" t="s">
        <v>287</v>
      </c>
      <c r="P254" s="218">
        <f>(K254*AU)/(C254*pc)/Photometry!$AB$19</f>
        <v>0.31944457614585181</v>
      </c>
      <c r="Q254" s="522" t="s">
        <v>85</v>
      </c>
      <c r="R254" s="100">
        <v>999</v>
      </c>
      <c r="S254" s="103"/>
    </row>
    <row r="255" spans="1:19" x14ac:dyDescent="0.25">
      <c r="A255" s="497">
        <v>253</v>
      </c>
      <c r="B255" s="100">
        <v>8.0500000000000007</v>
      </c>
      <c r="C255" s="214">
        <v>114.4165</v>
      </c>
      <c r="D255" s="215">
        <v>13.755800000000001</v>
      </c>
      <c r="E255" s="215">
        <v>0.78956000000000004</v>
      </c>
      <c r="F255" s="216" t="s">
        <v>532</v>
      </c>
      <c r="G255" s="215">
        <v>1.94</v>
      </c>
      <c r="H255" s="215">
        <v>12.941000000000001</v>
      </c>
      <c r="I255" s="100">
        <v>0.4</v>
      </c>
      <c r="J255" s="100">
        <v>675</v>
      </c>
      <c r="K255" s="100">
        <v>1.75</v>
      </c>
      <c r="L255" s="100">
        <v>0.12</v>
      </c>
      <c r="M255" s="217">
        <v>1.5295E-2</v>
      </c>
      <c r="N255" s="217">
        <v>1.7129999999999999E-2</v>
      </c>
      <c r="O255" s="100" t="s">
        <v>349</v>
      </c>
      <c r="P255" s="218">
        <f>(K255*AU)/(C255*pc)/Photometry!$AB$19</f>
        <v>0.31104566651389215</v>
      </c>
      <c r="Q255" s="522" t="s">
        <v>86</v>
      </c>
      <c r="R255" s="100">
        <v>999</v>
      </c>
      <c r="S255" s="103"/>
    </row>
    <row r="256" spans="1:19" x14ac:dyDescent="0.25">
      <c r="A256" s="497">
        <v>254</v>
      </c>
      <c r="B256" s="100">
        <v>5.95</v>
      </c>
      <c r="C256" s="214">
        <v>12.4938</v>
      </c>
      <c r="D256" s="215">
        <v>124.5998</v>
      </c>
      <c r="E256" s="215">
        <v>-12.632199999999999</v>
      </c>
      <c r="F256" s="216" t="s">
        <v>384</v>
      </c>
      <c r="G256" s="215">
        <v>3.7999999999999999E-2</v>
      </c>
      <c r="H256" s="215">
        <v>5.024</v>
      </c>
      <c r="I256" s="100">
        <v>0.4</v>
      </c>
      <c r="J256" s="100">
        <v>31.6</v>
      </c>
      <c r="K256" s="100">
        <v>0.19</v>
      </c>
      <c r="L256" s="100">
        <v>0.13</v>
      </c>
      <c r="M256" s="217">
        <v>1.5207999999999999E-2</v>
      </c>
      <c r="N256" s="217">
        <v>1.7184999999999999E-2</v>
      </c>
      <c r="O256" s="100" t="s">
        <v>385</v>
      </c>
      <c r="P256" s="218">
        <f>(K256*AU)/(C256*pc)/Photometry!$AB$19</f>
        <v>0.30926716728116488</v>
      </c>
      <c r="Q256" s="522" t="s">
        <v>86</v>
      </c>
      <c r="R256" s="100">
        <v>999</v>
      </c>
      <c r="S256" s="103"/>
    </row>
    <row r="257" spans="1:19" x14ac:dyDescent="0.25">
      <c r="A257" s="497">
        <v>255</v>
      </c>
      <c r="B257" s="100">
        <v>8.6869999999999994</v>
      </c>
      <c r="C257" s="214">
        <v>77.220100000000002</v>
      </c>
      <c r="D257" s="215">
        <v>11.1717</v>
      </c>
      <c r="E257" s="215">
        <v>20.448899999999998</v>
      </c>
      <c r="F257" s="216" t="s">
        <v>533</v>
      </c>
      <c r="G257" s="215">
        <v>2.0699999999999998</v>
      </c>
      <c r="H257" s="215">
        <v>12.95</v>
      </c>
      <c r="I257" s="100">
        <v>0.4</v>
      </c>
      <c r="J257" s="100">
        <v>431.9</v>
      </c>
      <c r="K257" s="100">
        <v>1.1599999999999999</v>
      </c>
      <c r="L257" s="100">
        <v>0.52</v>
      </c>
      <c r="M257" s="217">
        <v>1.5022000000000001E-2</v>
      </c>
      <c r="N257" s="217">
        <v>2.2832999999999999E-2</v>
      </c>
      <c r="O257" s="100" t="s">
        <v>281</v>
      </c>
      <c r="P257" s="218">
        <f>(K257*AU)/(C257*pc)/Photometry!$AB$19</f>
        <v>0.30549379569839324</v>
      </c>
      <c r="Q257" s="522" t="s">
        <v>86</v>
      </c>
      <c r="R257" s="100">
        <v>999</v>
      </c>
      <c r="S257" s="103"/>
    </row>
    <row r="258" spans="1:19" x14ac:dyDescent="0.25">
      <c r="A258" s="497">
        <v>256</v>
      </c>
      <c r="B258" s="100">
        <v>8.08</v>
      </c>
      <c r="C258" s="214">
        <v>86.956500000000005</v>
      </c>
      <c r="D258" s="215">
        <v>166.31280000000001</v>
      </c>
      <c r="E258" s="215">
        <v>-10.2913</v>
      </c>
      <c r="F258" s="216" t="s">
        <v>534</v>
      </c>
      <c r="G258" s="215">
        <v>0.68</v>
      </c>
      <c r="H258" s="215">
        <v>12.784000000000001</v>
      </c>
      <c r="I258" s="100">
        <v>0.4</v>
      </c>
      <c r="J258" s="100">
        <v>498.9</v>
      </c>
      <c r="K258" s="100">
        <v>1.3</v>
      </c>
      <c r="L258" s="100">
        <v>0.71</v>
      </c>
      <c r="M258" s="217">
        <v>1.495E-2</v>
      </c>
      <c r="N258" s="217">
        <v>2.5564E-2</v>
      </c>
      <c r="O258" s="100" t="s">
        <v>281</v>
      </c>
      <c r="P258" s="218">
        <f>(K258*AU)/(C258*pc)/Photometry!$AB$19</f>
        <v>0.30402973870181565</v>
      </c>
      <c r="Q258" s="522" t="s">
        <v>86</v>
      </c>
      <c r="R258" s="100">
        <v>999</v>
      </c>
      <c r="S258" s="103"/>
    </row>
    <row r="259" spans="1:19" x14ac:dyDescent="0.25">
      <c r="A259" s="497">
        <v>257</v>
      </c>
      <c r="B259" s="100">
        <v>7.4640000000000004</v>
      </c>
      <c r="C259" s="214">
        <v>103.62690000000001</v>
      </c>
      <c r="D259" s="215">
        <v>261.4393</v>
      </c>
      <c r="E259" s="215">
        <v>27.3033</v>
      </c>
      <c r="F259" s="216" t="s">
        <v>535</v>
      </c>
      <c r="G259" s="215">
        <v>1.8</v>
      </c>
      <c r="H259" s="215">
        <v>12.930999999999999</v>
      </c>
      <c r="I259" s="100">
        <v>0.4</v>
      </c>
      <c r="J259" s="100">
        <v>521</v>
      </c>
      <c r="K259" s="100">
        <v>1.52</v>
      </c>
      <c r="L259" s="100">
        <v>0.28999999999999998</v>
      </c>
      <c r="M259" s="217">
        <v>1.4668E-2</v>
      </c>
      <c r="N259" s="217">
        <v>1.8922000000000001E-2</v>
      </c>
      <c r="O259" s="100" t="s">
        <v>536</v>
      </c>
      <c r="P259" s="218">
        <f>(K259*AU)/(C259*pc)/Photometry!$AB$19</f>
        <v>0.29829491258176527</v>
      </c>
      <c r="Q259" s="522" t="s">
        <v>87</v>
      </c>
      <c r="R259" s="100">
        <v>999</v>
      </c>
      <c r="S259" s="103"/>
    </row>
    <row r="260" spans="1:19" x14ac:dyDescent="0.25">
      <c r="A260" s="497">
        <v>258</v>
      </c>
      <c r="B260" s="100">
        <v>4.74</v>
      </c>
      <c r="C260" s="214">
        <v>88.888900000000007</v>
      </c>
      <c r="D260" s="215">
        <v>185.17930000000001</v>
      </c>
      <c r="E260" s="215">
        <v>17.792899999999999</v>
      </c>
      <c r="F260" s="216" t="s">
        <v>537</v>
      </c>
      <c r="G260" s="215">
        <v>19.399999999999999</v>
      </c>
      <c r="H260" s="215">
        <v>12.023999999999999</v>
      </c>
      <c r="I260" s="100">
        <v>0.4</v>
      </c>
      <c r="J260" s="100">
        <v>326</v>
      </c>
      <c r="K260" s="100">
        <v>1.29</v>
      </c>
      <c r="L260" s="100">
        <v>0.23</v>
      </c>
      <c r="M260" s="217">
        <v>1.4513E-2</v>
      </c>
      <c r="N260" s="217">
        <v>1.7850000000000001E-2</v>
      </c>
      <c r="O260" s="100" t="s">
        <v>538</v>
      </c>
      <c r="P260" s="218">
        <f>(K260*AU)/(C260*pc)/Photometry!$AB$19</f>
        <v>0.29513243667715472</v>
      </c>
      <c r="Q260" s="522" t="s">
        <v>86</v>
      </c>
      <c r="R260" s="100">
        <v>999</v>
      </c>
      <c r="S260" s="103"/>
    </row>
    <row r="261" spans="1:19" x14ac:dyDescent="0.25">
      <c r="A261" s="497">
        <v>259</v>
      </c>
      <c r="B261" s="100">
        <v>7.27</v>
      </c>
      <c r="C261" s="214">
        <v>44.111199999999997</v>
      </c>
      <c r="D261" s="215">
        <v>257.39420000000001</v>
      </c>
      <c r="E261" s="215">
        <v>33.355899999999998</v>
      </c>
      <c r="F261" s="216" t="s">
        <v>493</v>
      </c>
      <c r="G261" s="215">
        <v>0.85</v>
      </c>
      <c r="H261" s="215">
        <v>12.815</v>
      </c>
      <c r="I261" s="100">
        <v>0.4</v>
      </c>
      <c r="J261" s="100">
        <v>194.3</v>
      </c>
      <c r="K261" s="100">
        <v>0.64</v>
      </c>
      <c r="L261" s="100">
        <v>0.17</v>
      </c>
      <c r="M261" s="217">
        <v>1.4508999999999999E-2</v>
      </c>
      <c r="N261" s="217">
        <v>1.6975000000000001E-2</v>
      </c>
      <c r="O261" s="100" t="s">
        <v>287</v>
      </c>
      <c r="P261" s="218">
        <f>(K261*AU)/(C261*pc)/Photometry!$AB$19</f>
        <v>0.29505696203775283</v>
      </c>
      <c r="Q261" s="522" t="s">
        <v>85</v>
      </c>
      <c r="R261" s="100">
        <v>999</v>
      </c>
      <c r="S261" s="103"/>
    </row>
    <row r="262" spans="1:19" x14ac:dyDescent="0.25">
      <c r="A262" s="497">
        <v>260</v>
      </c>
      <c r="B262" s="100">
        <v>11.88</v>
      </c>
      <c r="C262" s="214">
        <v>11.1037</v>
      </c>
      <c r="D262" s="215">
        <v>175.43600000000001</v>
      </c>
      <c r="E262" s="215">
        <v>42.752000000000002</v>
      </c>
      <c r="F262" s="216" t="s">
        <v>539</v>
      </c>
      <c r="G262" s="215">
        <v>0.29799999999999999</v>
      </c>
      <c r="H262" s="215">
        <v>12.148999999999999</v>
      </c>
      <c r="I262" s="100">
        <v>0.4</v>
      </c>
      <c r="J262" s="100">
        <v>41.4</v>
      </c>
      <c r="K262" s="100">
        <v>0.16</v>
      </c>
      <c r="L262" s="100">
        <v>0.31</v>
      </c>
      <c r="M262" s="217">
        <v>1.4409999999999999E-2</v>
      </c>
      <c r="N262" s="217">
        <v>1.8877000000000001E-2</v>
      </c>
      <c r="O262" s="100" t="s">
        <v>155</v>
      </c>
      <c r="P262" s="218">
        <f>(K262*AU)/(C262*pc)/Photometry!$AB$19</f>
        <v>0.2930400826715357</v>
      </c>
      <c r="Q262" s="522" t="s">
        <v>90</v>
      </c>
      <c r="R262" s="100">
        <v>999</v>
      </c>
      <c r="S262" s="103"/>
    </row>
    <row r="263" spans="1:19" x14ac:dyDescent="0.25">
      <c r="A263" s="497">
        <v>261</v>
      </c>
      <c r="B263" s="100">
        <v>7.81</v>
      </c>
      <c r="C263" s="214">
        <v>135.31800000000001</v>
      </c>
      <c r="D263" s="215">
        <v>45.044400000000003</v>
      </c>
      <c r="E263" s="215">
        <v>-20.802600000000002</v>
      </c>
      <c r="F263" s="216" t="s">
        <v>540</v>
      </c>
      <c r="G263" s="215">
        <v>2.7</v>
      </c>
      <c r="H263" s="215">
        <v>13.007999999999999</v>
      </c>
      <c r="I263" s="100">
        <v>0.4</v>
      </c>
      <c r="J263" s="100">
        <v>772</v>
      </c>
      <c r="K263" s="100">
        <v>1.92</v>
      </c>
      <c r="L263" s="100">
        <v>0.23</v>
      </c>
      <c r="M263" s="217">
        <v>1.4189E-2</v>
      </c>
      <c r="N263" s="217">
        <v>1.7451999999999999E-2</v>
      </c>
      <c r="O263" s="100" t="s">
        <v>541</v>
      </c>
      <c r="P263" s="218">
        <f>(K263*AU)/(C263*pc)/Photometry!$AB$19</f>
        <v>0.2885495646663353</v>
      </c>
      <c r="Q263" s="522" t="s">
        <v>87</v>
      </c>
      <c r="R263" s="100">
        <v>999</v>
      </c>
      <c r="S263" s="103"/>
    </row>
    <row r="264" spans="1:19" x14ac:dyDescent="0.25">
      <c r="A264" s="497">
        <v>262</v>
      </c>
      <c r="B264" s="100">
        <v>7.89</v>
      </c>
      <c r="C264" s="214">
        <v>123.1527</v>
      </c>
      <c r="D264" s="215">
        <v>200.16480000000001</v>
      </c>
      <c r="E264" s="215">
        <v>24.648700000000002</v>
      </c>
      <c r="F264" s="216" t="s">
        <v>542</v>
      </c>
      <c r="G264" s="215">
        <v>2.1</v>
      </c>
      <c r="H264" s="215">
        <v>12.952</v>
      </c>
      <c r="I264" s="100">
        <v>0.4</v>
      </c>
      <c r="J264" s="100">
        <v>670.2</v>
      </c>
      <c r="K264" s="100">
        <v>1.73</v>
      </c>
      <c r="L264" s="100">
        <v>0.21</v>
      </c>
      <c r="M264" s="217">
        <v>1.4048E-2</v>
      </c>
      <c r="N264" s="217">
        <v>1.6997999999999999E-2</v>
      </c>
      <c r="O264" s="100" t="s">
        <v>273</v>
      </c>
      <c r="P264" s="218">
        <f>(K264*AU)/(C264*pc)/Photometry!$AB$19</f>
        <v>0.28567808790990168</v>
      </c>
      <c r="Q264" s="522" t="s">
        <v>87</v>
      </c>
      <c r="R264" s="100">
        <v>999</v>
      </c>
      <c r="S264" s="103"/>
    </row>
    <row r="265" spans="1:19" x14ac:dyDescent="0.25">
      <c r="A265" s="497">
        <v>263</v>
      </c>
      <c r="B265" s="100">
        <v>8.08</v>
      </c>
      <c r="C265" s="214">
        <v>36.603200000000001</v>
      </c>
      <c r="D265" s="215">
        <v>258.0967</v>
      </c>
      <c r="E265" s="215">
        <v>63.3521</v>
      </c>
      <c r="F265" s="216" t="s">
        <v>543</v>
      </c>
      <c r="G265" s="215">
        <v>9.7100000000000009</v>
      </c>
      <c r="H265" s="215">
        <v>12.795</v>
      </c>
      <c r="I265" s="100">
        <v>0.4</v>
      </c>
      <c r="J265" s="100">
        <v>131.1</v>
      </c>
      <c r="K265" s="100">
        <v>0.5</v>
      </c>
      <c r="L265" s="100">
        <v>0.71</v>
      </c>
      <c r="M265" s="217">
        <v>1.366E-2</v>
      </c>
      <c r="N265" s="217">
        <v>2.3359000000000001E-2</v>
      </c>
      <c r="O265" s="100" t="s">
        <v>323</v>
      </c>
      <c r="P265" s="218">
        <f>(K265*AU)/(C265*pc)/Photometry!$AB$19</f>
        <v>0.27779582505422423</v>
      </c>
      <c r="Q265" s="522" t="s">
        <v>87</v>
      </c>
      <c r="R265" s="100">
        <v>999</v>
      </c>
      <c r="S265" s="103"/>
    </row>
    <row r="266" spans="1:19" x14ac:dyDescent="0.25">
      <c r="A266" s="497">
        <v>264</v>
      </c>
      <c r="B266" s="100">
        <v>7.88</v>
      </c>
      <c r="C266" s="214">
        <v>98.231800000000007</v>
      </c>
      <c r="D266" s="215">
        <v>229.7758</v>
      </c>
      <c r="E266" s="215">
        <v>41.733199999999997</v>
      </c>
      <c r="F266" s="216" t="s">
        <v>544</v>
      </c>
      <c r="G266" s="215">
        <v>2</v>
      </c>
      <c r="H266" s="215">
        <v>12.945</v>
      </c>
      <c r="I266" s="100">
        <v>0.4</v>
      </c>
      <c r="J266" s="100">
        <v>464.3</v>
      </c>
      <c r="K266" s="100">
        <v>1.32</v>
      </c>
      <c r="L266" s="100">
        <v>0.26</v>
      </c>
      <c r="M266" s="217">
        <v>1.3438E-2</v>
      </c>
      <c r="N266" s="217">
        <v>1.6931000000000002E-2</v>
      </c>
      <c r="O266" s="100" t="s">
        <v>281</v>
      </c>
      <c r="P266" s="218">
        <f>(K266*AU)/(C266*pc)/Photometry!$AB$19</f>
        <v>0.27327291792647007</v>
      </c>
      <c r="Q266" s="522" t="s">
        <v>86</v>
      </c>
      <c r="R266" s="100">
        <v>999</v>
      </c>
      <c r="S266" s="103"/>
    </row>
    <row r="267" spans="1:19" x14ac:dyDescent="0.25">
      <c r="A267" s="497">
        <v>265</v>
      </c>
      <c r="B267" s="100">
        <v>7.86</v>
      </c>
      <c r="C267" s="214">
        <v>31.877600000000001</v>
      </c>
      <c r="D267" s="215">
        <v>260.64400000000001</v>
      </c>
      <c r="E267" s="215">
        <v>-19.616199999999999</v>
      </c>
      <c r="F267" s="216" t="s">
        <v>545</v>
      </c>
      <c r="G267" s="215">
        <v>0.12</v>
      </c>
      <c r="H267" s="215">
        <v>10.914</v>
      </c>
      <c r="I267" s="100">
        <v>0.4</v>
      </c>
      <c r="J267" s="100">
        <v>104.8</v>
      </c>
      <c r="K267" s="100">
        <v>0.42</v>
      </c>
      <c r="L267" s="100">
        <v>0.46</v>
      </c>
      <c r="M267" s="217">
        <v>1.3174999999999999E-2</v>
      </c>
      <c r="N267" s="217">
        <v>1.9236E-2</v>
      </c>
      <c r="O267" s="100" t="s">
        <v>546</v>
      </c>
      <c r="P267" s="218">
        <f>(K267*AU)/(C267*pc)/Photometry!$AB$19</f>
        <v>0.26794054635997744</v>
      </c>
      <c r="Q267" s="522" t="s">
        <v>87</v>
      </c>
      <c r="R267" s="100">
        <v>999</v>
      </c>
      <c r="S267" s="103"/>
    </row>
    <row r="268" spans="1:19" x14ac:dyDescent="0.25">
      <c r="A268" s="497">
        <v>266</v>
      </c>
      <c r="B268" s="100">
        <v>7.63</v>
      </c>
      <c r="C268" s="214">
        <v>125.4705</v>
      </c>
      <c r="D268" s="215">
        <v>143.9383</v>
      </c>
      <c r="E268" s="215">
        <v>34.780700000000003</v>
      </c>
      <c r="F268" s="216" t="s">
        <v>547</v>
      </c>
      <c r="G268" s="215">
        <v>1.3</v>
      </c>
      <c r="H268" s="215">
        <v>12.885999999999999</v>
      </c>
      <c r="I268" s="100">
        <v>0.4</v>
      </c>
      <c r="J268" s="100">
        <v>705</v>
      </c>
      <c r="K268" s="100">
        <v>1.65</v>
      </c>
      <c r="L268" s="100">
        <v>0.27</v>
      </c>
      <c r="M268" s="217">
        <v>1.315E-2</v>
      </c>
      <c r="N268" s="217">
        <v>1.6701000000000001E-2</v>
      </c>
      <c r="O268" s="100" t="s">
        <v>287</v>
      </c>
      <c r="P268" s="218">
        <f>(K268*AU)/(C268*pc)/Photometry!$AB$19</f>
        <v>0.26743428354841803</v>
      </c>
      <c r="Q268" s="522" t="s">
        <v>85</v>
      </c>
      <c r="R268" s="100">
        <v>999</v>
      </c>
      <c r="S268" s="103"/>
    </row>
    <row r="269" spans="1:19" x14ac:dyDescent="0.25">
      <c r="A269" s="497">
        <v>267</v>
      </c>
      <c r="B269" s="100">
        <v>5.258</v>
      </c>
      <c r="C269" s="214">
        <v>123.30459999999999</v>
      </c>
      <c r="D269" s="215">
        <v>99.448400000000007</v>
      </c>
      <c r="E269" s="215">
        <v>-32.339700000000001</v>
      </c>
      <c r="F269" s="216" t="s">
        <v>548</v>
      </c>
      <c r="G269" s="215">
        <v>5</v>
      </c>
      <c r="H269" s="215">
        <v>13.1</v>
      </c>
      <c r="I269" s="100">
        <v>0.4</v>
      </c>
      <c r="J269" s="100">
        <v>430</v>
      </c>
      <c r="K269" s="100">
        <v>1.61</v>
      </c>
      <c r="L269" s="100">
        <v>0.2</v>
      </c>
      <c r="M269" s="217">
        <v>1.3056999999999999E-2</v>
      </c>
      <c r="N269" s="217">
        <v>1.5668999999999999E-2</v>
      </c>
      <c r="O269" s="100" t="s">
        <v>411</v>
      </c>
      <c r="P269" s="218">
        <f>(K269*AU)/(C269*pc)/Photometry!$AB$19</f>
        <v>0.26553474876421318</v>
      </c>
      <c r="Q269" s="522" t="s">
        <v>87</v>
      </c>
      <c r="R269" s="100">
        <v>999</v>
      </c>
      <c r="S269" s="103"/>
    </row>
    <row r="270" spans="1:19" x14ac:dyDescent="0.25">
      <c r="A270" s="497">
        <v>268</v>
      </c>
      <c r="B270" s="100">
        <v>8.1</v>
      </c>
      <c r="C270" s="214">
        <v>35.5745</v>
      </c>
      <c r="D270" s="215">
        <v>343.97379999999998</v>
      </c>
      <c r="E270" s="215">
        <v>-26.658799999999999</v>
      </c>
      <c r="F270" s="216" t="s">
        <v>549</v>
      </c>
      <c r="G270" s="215">
        <v>0.65</v>
      </c>
      <c r="H270" s="215">
        <v>12.778</v>
      </c>
      <c r="I270" s="100">
        <v>0.4</v>
      </c>
      <c r="J270" s="100">
        <v>118.4</v>
      </c>
      <c r="K270" s="100">
        <v>0.46</v>
      </c>
      <c r="L270" s="100">
        <v>0.37</v>
      </c>
      <c r="M270" s="217">
        <v>1.2931E-2</v>
      </c>
      <c r="N270" s="217">
        <v>1.7715000000000002E-2</v>
      </c>
      <c r="O270" s="100" t="s">
        <v>307</v>
      </c>
      <c r="P270" s="218">
        <f>(K270*AU)/(C270*pc)/Photometry!$AB$19</f>
        <v>0.26296248301830805</v>
      </c>
      <c r="Q270" s="522" t="s">
        <v>87</v>
      </c>
      <c r="R270" s="100">
        <v>999</v>
      </c>
      <c r="S270" s="103"/>
    </row>
    <row r="271" spans="1:19" x14ac:dyDescent="0.25">
      <c r="A271" s="497">
        <v>269</v>
      </c>
      <c r="B271" s="100">
        <v>7.89</v>
      </c>
      <c r="C271" s="214">
        <v>157.97790000000001</v>
      </c>
      <c r="D271" s="215">
        <v>176.6944</v>
      </c>
      <c r="E271" s="215">
        <v>3.4742999999999999</v>
      </c>
      <c r="F271" s="216" t="s">
        <v>550</v>
      </c>
      <c r="G271" s="215">
        <v>5.9</v>
      </c>
      <c r="H271" s="215">
        <v>13.07</v>
      </c>
      <c r="I271" s="100">
        <v>0.4</v>
      </c>
      <c r="J271" s="100">
        <v>778.1</v>
      </c>
      <c r="K271" s="100">
        <v>2.0099999999999998</v>
      </c>
      <c r="L271" s="100">
        <v>0.21</v>
      </c>
      <c r="M271" s="217">
        <v>1.2723E-2</v>
      </c>
      <c r="N271" s="217">
        <v>1.5395000000000001E-2</v>
      </c>
      <c r="O271" s="100" t="s">
        <v>323</v>
      </c>
      <c r="P271" s="218">
        <f>(K271*AU)/(C271*pc)/Photometry!$AB$19</f>
        <v>0.25874650123448667</v>
      </c>
      <c r="Q271" s="522" t="s">
        <v>87</v>
      </c>
      <c r="R271" s="100">
        <v>999</v>
      </c>
      <c r="S271" s="103"/>
    </row>
    <row r="272" spans="1:19" x14ac:dyDescent="0.25">
      <c r="A272" s="497">
        <v>270</v>
      </c>
      <c r="B272" s="100">
        <v>7.78</v>
      </c>
      <c r="C272" s="214">
        <v>109.529</v>
      </c>
      <c r="D272" s="215">
        <v>289.82380000000001</v>
      </c>
      <c r="E272" s="215">
        <v>-23.558199999999999</v>
      </c>
      <c r="F272" s="216" t="s">
        <v>551</v>
      </c>
      <c r="G272" s="215">
        <v>1.6</v>
      </c>
      <c r="H272" s="215">
        <v>12.916</v>
      </c>
      <c r="I272" s="100">
        <v>0.4</v>
      </c>
      <c r="J272" s="100">
        <v>479</v>
      </c>
      <c r="K272" s="100">
        <v>1.39</v>
      </c>
      <c r="L272" s="100">
        <v>0.09</v>
      </c>
      <c r="M272" s="217">
        <v>1.2690999999999999E-2</v>
      </c>
      <c r="N272" s="217">
        <v>1.3833E-2</v>
      </c>
      <c r="O272" s="100" t="s">
        <v>530</v>
      </c>
      <c r="P272" s="218">
        <f>(K272*AU)/(C272*pc)/Photometry!$AB$19</f>
        <v>0.25808362058703083</v>
      </c>
      <c r="Q272" s="522" t="s">
        <v>86</v>
      </c>
      <c r="R272" s="100">
        <v>999</v>
      </c>
      <c r="S272" s="103"/>
    </row>
    <row r="273" spans="1:19" x14ac:dyDescent="0.25">
      <c r="A273" s="497">
        <v>271</v>
      </c>
      <c r="B273" s="100">
        <v>5.024</v>
      </c>
      <c r="C273" s="214">
        <v>122.1001</v>
      </c>
      <c r="D273" s="215">
        <v>229.27449999999999</v>
      </c>
      <c r="E273" s="215">
        <v>71.823899999999995</v>
      </c>
      <c r="F273" s="216" t="s">
        <v>552</v>
      </c>
      <c r="G273" s="215">
        <v>10.5</v>
      </c>
      <c r="H273" s="215">
        <v>12.731999999999999</v>
      </c>
      <c r="I273" s="100">
        <v>0.4</v>
      </c>
      <c r="J273" s="100">
        <v>516.20000000000005</v>
      </c>
      <c r="K273" s="100">
        <v>1.54</v>
      </c>
      <c r="L273" s="100">
        <v>0.08</v>
      </c>
      <c r="M273" s="217">
        <v>1.2612999999999999E-2</v>
      </c>
      <c r="N273" s="217">
        <v>1.3622E-2</v>
      </c>
      <c r="O273" s="100" t="s">
        <v>553</v>
      </c>
      <c r="P273" s="218">
        <f>(K273*AU)/(C273*pc)/Photometry!$AB$19</f>
        <v>0.25649533229181903</v>
      </c>
      <c r="Q273" s="522" t="s">
        <v>88</v>
      </c>
      <c r="R273" s="100">
        <v>999</v>
      </c>
      <c r="S273" s="103"/>
    </row>
    <row r="274" spans="1:19" x14ac:dyDescent="0.25">
      <c r="A274" s="497">
        <v>272</v>
      </c>
      <c r="B274" s="100">
        <v>10.042</v>
      </c>
      <c r="C274" s="214">
        <v>10.4145</v>
      </c>
      <c r="D274" s="215">
        <v>33.087499999999999</v>
      </c>
      <c r="E274" s="215">
        <v>3.5756000000000001</v>
      </c>
      <c r="F274" s="216" t="s">
        <v>449</v>
      </c>
      <c r="G274" s="215">
        <v>0.71399999999999997</v>
      </c>
      <c r="H274" s="215">
        <v>12.79</v>
      </c>
      <c r="I274" s="100">
        <v>0.4</v>
      </c>
      <c r="J274" s="100">
        <v>30.1</v>
      </c>
      <c r="K274" s="100">
        <v>0.13</v>
      </c>
      <c r="L274" s="100">
        <v>0.26</v>
      </c>
      <c r="M274" s="217">
        <v>1.2482999999999999E-2</v>
      </c>
      <c r="N274" s="217">
        <v>1.5727999999999999E-2</v>
      </c>
      <c r="O274" s="100" t="s">
        <v>450</v>
      </c>
      <c r="P274" s="218">
        <f>(K274*AU)/(C274*pc)/Photometry!$AB$19</f>
        <v>0.25385147605189334</v>
      </c>
      <c r="Q274" s="522" t="s">
        <v>89</v>
      </c>
      <c r="R274" s="100">
        <v>999</v>
      </c>
      <c r="S274" s="103"/>
    </row>
    <row r="275" spans="1:19" x14ac:dyDescent="0.25">
      <c r="A275" s="497">
        <v>273</v>
      </c>
      <c r="B275" s="100">
        <v>8.35</v>
      </c>
      <c r="C275" s="214">
        <v>52.356000000000002</v>
      </c>
      <c r="D275" s="215">
        <v>23.334099999999999</v>
      </c>
      <c r="E275" s="215">
        <v>29.2651</v>
      </c>
      <c r="F275" s="216" t="s">
        <v>554</v>
      </c>
      <c r="G275" s="215">
        <v>1.82</v>
      </c>
      <c r="H275" s="215">
        <v>12.932</v>
      </c>
      <c r="I275" s="100">
        <v>0.4</v>
      </c>
      <c r="J275" s="100">
        <v>192.9</v>
      </c>
      <c r="K275" s="100">
        <v>0.65</v>
      </c>
      <c r="L275" s="100">
        <v>0.06</v>
      </c>
      <c r="M275" s="217">
        <v>1.2415000000000001E-2</v>
      </c>
      <c r="N275" s="217">
        <v>1.316E-2</v>
      </c>
      <c r="O275" s="100" t="s">
        <v>299</v>
      </c>
      <c r="P275" s="218">
        <f>(K275*AU)/(C275*pc)/Photometry!$AB$19</f>
        <v>0.25247690783696647</v>
      </c>
      <c r="Q275" s="522" t="s">
        <v>86</v>
      </c>
      <c r="R275" s="100">
        <v>999</v>
      </c>
      <c r="S275" s="103"/>
    </row>
    <row r="276" spans="1:19" x14ac:dyDescent="0.25">
      <c r="A276" s="497">
        <v>274</v>
      </c>
      <c r="B276" s="100">
        <v>7.51</v>
      </c>
      <c r="C276" s="214">
        <v>51.706299999999999</v>
      </c>
      <c r="D276" s="215">
        <v>28.210599999999999</v>
      </c>
      <c r="E276" s="215">
        <v>-19.507000000000001</v>
      </c>
      <c r="F276" s="216" t="s">
        <v>394</v>
      </c>
      <c r="G276" s="215">
        <v>0.82</v>
      </c>
      <c r="H276" s="215">
        <v>12.808999999999999</v>
      </c>
      <c r="I276" s="100">
        <v>0.4</v>
      </c>
      <c r="J276" s="100">
        <v>170.5</v>
      </c>
      <c r="K276" s="100">
        <v>0.64</v>
      </c>
      <c r="L276" s="100">
        <v>0.42</v>
      </c>
      <c r="M276" s="217">
        <v>1.2378E-2</v>
      </c>
      <c r="N276" s="217">
        <v>1.7576000000000001E-2</v>
      </c>
      <c r="O276" s="100" t="s">
        <v>266</v>
      </c>
      <c r="P276" s="218">
        <f>(K276*AU)/(C276*pc)/Photometry!$AB$19</f>
        <v>0.25171626404982994</v>
      </c>
      <c r="Q276" s="522" t="s">
        <v>85</v>
      </c>
      <c r="R276" s="100">
        <v>999</v>
      </c>
      <c r="S276" s="103"/>
    </row>
    <row r="277" spans="1:19" x14ac:dyDescent="0.25">
      <c r="A277" s="497">
        <v>275</v>
      </c>
      <c r="B277" s="100">
        <v>7.9210000000000003</v>
      </c>
      <c r="C277" s="214">
        <v>21.065899999999999</v>
      </c>
      <c r="D277" s="215">
        <v>179.79169999999999</v>
      </c>
      <c r="E277" s="215">
        <v>-20.3538</v>
      </c>
      <c r="F277" s="216" t="s">
        <v>555</v>
      </c>
      <c r="G277" s="215">
        <v>0.186</v>
      </c>
      <c r="H277" s="215">
        <v>11.573</v>
      </c>
      <c r="I277" s="100">
        <v>0.4</v>
      </c>
      <c r="J277" s="100">
        <v>55.8</v>
      </c>
      <c r="K277" s="100">
        <v>0.26</v>
      </c>
      <c r="L277" s="100">
        <v>0</v>
      </c>
      <c r="M277" s="217">
        <v>1.2342000000000001E-2</v>
      </c>
      <c r="N277" s="217">
        <v>1.2342000000000001E-2</v>
      </c>
      <c r="O277" s="100" t="s">
        <v>556</v>
      </c>
      <c r="P277" s="218">
        <f>(K277*AU)/(C277*pc)/Photometry!$AB$19</f>
        <v>0.25099674804707545</v>
      </c>
      <c r="Q277" s="522" t="s">
        <v>88</v>
      </c>
      <c r="R277" s="100">
        <v>999</v>
      </c>
      <c r="S277" s="103"/>
    </row>
    <row r="278" spans="1:19" x14ac:dyDescent="0.25">
      <c r="A278" s="497">
        <v>276</v>
      </c>
      <c r="B278" s="100">
        <v>4.8330000000000002</v>
      </c>
      <c r="C278" s="214">
        <v>96.525099999999995</v>
      </c>
      <c r="D278" s="215">
        <v>276.49639999999999</v>
      </c>
      <c r="E278" s="215">
        <v>65.563500000000005</v>
      </c>
      <c r="F278" s="216" t="s">
        <v>557</v>
      </c>
      <c r="G278" s="215">
        <v>3.88</v>
      </c>
      <c r="H278" s="215">
        <v>13.134</v>
      </c>
      <c r="I278" s="100">
        <v>0.4</v>
      </c>
      <c r="J278" s="100">
        <v>479.1</v>
      </c>
      <c r="K278" s="100">
        <v>1.19</v>
      </c>
      <c r="L278" s="100">
        <v>0.38</v>
      </c>
      <c r="M278" s="217">
        <v>1.2328E-2</v>
      </c>
      <c r="N278" s="217">
        <v>1.7013E-2</v>
      </c>
      <c r="O278" s="100" t="s">
        <v>558</v>
      </c>
      <c r="P278" s="218">
        <f>(K278*AU)/(C278*pc)/Photometry!$AB$19</f>
        <v>0.25071566278436369</v>
      </c>
      <c r="Q278" s="522" t="s">
        <v>87</v>
      </c>
      <c r="R278" s="100">
        <v>999</v>
      </c>
      <c r="S278" s="103"/>
    </row>
    <row r="279" spans="1:19" x14ac:dyDescent="0.25">
      <c r="A279" s="497">
        <v>277</v>
      </c>
      <c r="B279" s="100">
        <v>4.7220000000000004</v>
      </c>
      <c r="C279" s="214">
        <v>56.2746</v>
      </c>
      <c r="D279" s="215">
        <v>298.56200000000001</v>
      </c>
      <c r="E279" s="215">
        <v>8.4614999999999991</v>
      </c>
      <c r="F279" s="216" t="s">
        <v>559</v>
      </c>
      <c r="G279" s="215">
        <v>2.8</v>
      </c>
      <c r="H279" s="215">
        <v>13.018000000000001</v>
      </c>
      <c r="I279" s="100">
        <v>0.4</v>
      </c>
      <c r="J279" s="100">
        <v>136.80000000000001</v>
      </c>
      <c r="K279" s="100">
        <v>0.68</v>
      </c>
      <c r="L279" s="100">
        <v>0</v>
      </c>
      <c r="M279" s="217">
        <v>1.2083999999999999E-2</v>
      </c>
      <c r="N279" s="217">
        <v>1.2083999999999999E-2</v>
      </c>
      <c r="O279" s="100" t="s">
        <v>560</v>
      </c>
      <c r="P279" s="218">
        <f>(K279*AU)/(C279*pc)/Photometry!$AB$19</f>
        <v>0.24573740116019846</v>
      </c>
      <c r="Q279" s="522" t="s">
        <v>87</v>
      </c>
      <c r="R279" s="100">
        <v>999</v>
      </c>
      <c r="S279" s="103"/>
    </row>
    <row r="280" spans="1:19" x14ac:dyDescent="0.25">
      <c r="A280" s="497">
        <v>278</v>
      </c>
      <c r="B280" s="100">
        <v>5.649</v>
      </c>
      <c r="C280" s="214">
        <v>14.8126</v>
      </c>
      <c r="D280" s="215">
        <v>230.45060000000001</v>
      </c>
      <c r="E280" s="215">
        <v>-48.317599999999999</v>
      </c>
      <c r="F280" s="216" t="s">
        <v>464</v>
      </c>
      <c r="G280" s="215">
        <v>3.5999999999999997E-2</v>
      </c>
      <c r="H280" s="215">
        <v>4.516</v>
      </c>
      <c r="I280" s="100">
        <v>0.4</v>
      </c>
      <c r="J280" s="100">
        <v>27.6</v>
      </c>
      <c r="K280" s="100">
        <v>0.17</v>
      </c>
      <c r="L280" s="100">
        <v>0.16</v>
      </c>
      <c r="M280" s="217">
        <v>1.1476999999999999E-2</v>
      </c>
      <c r="N280" s="217">
        <v>1.3313E-2</v>
      </c>
      <c r="O280" s="100" t="s">
        <v>312</v>
      </c>
      <c r="P280" s="218">
        <f>(K280*AU)/(C280*pc)/Photometry!$AB$19</f>
        <v>0.23339545311642967</v>
      </c>
      <c r="Q280" s="522" t="s">
        <v>86</v>
      </c>
      <c r="R280" s="100">
        <v>999</v>
      </c>
      <c r="S280" s="103"/>
    </row>
    <row r="281" spans="1:19" x14ac:dyDescent="0.25">
      <c r="A281" s="497">
        <v>279</v>
      </c>
      <c r="B281" s="100">
        <v>6.8540000000000001</v>
      </c>
      <c r="C281" s="214">
        <v>26.4971</v>
      </c>
      <c r="D281" s="215">
        <v>228.81270000000001</v>
      </c>
      <c r="E281" s="215">
        <v>-70.519599999999997</v>
      </c>
      <c r="F281" s="216" t="s">
        <v>405</v>
      </c>
      <c r="G281" s="215">
        <v>3.7999999999999999E-2</v>
      </c>
      <c r="H281" s="215">
        <v>5.07</v>
      </c>
      <c r="I281" s="100">
        <v>0.4</v>
      </c>
      <c r="J281" s="100">
        <v>59.5</v>
      </c>
      <c r="K281" s="100">
        <v>0.3</v>
      </c>
      <c r="L281" s="100">
        <v>0.28999999999999998</v>
      </c>
      <c r="M281" s="217">
        <v>1.1322E-2</v>
      </c>
      <c r="N281" s="217">
        <v>1.4605E-2</v>
      </c>
      <c r="O281" s="100" t="s">
        <v>406</v>
      </c>
      <c r="P281" s="218">
        <f>(K281*AU)/(C281*pc)/Photometry!$AB$19</f>
        <v>0.23024895879831642</v>
      </c>
      <c r="Q281" s="522" t="s">
        <v>86</v>
      </c>
      <c r="R281" s="100">
        <v>999</v>
      </c>
      <c r="S281" s="103"/>
    </row>
    <row r="282" spans="1:19" x14ac:dyDescent="0.25">
      <c r="A282" s="497">
        <v>280</v>
      </c>
      <c r="B282" s="100">
        <v>6.92</v>
      </c>
      <c r="C282" s="214">
        <v>22.351400000000002</v>
      </c>
      <c r="D282" s="215">
        <v>155.9803</v>
      </c>
      <c r="E282" s="215">
        <v>-29.645499999999998</v>
      </c>
      <c r="F282" s="216" t="s">
        <v>561</v>
      </c>
      <c r="G282" s="215">
        <v>5.7000000000000002E-2</v>
      </c>
      <c r="H282" s="215">
        <v>8.5</v>
      </c>
      <c r="I282" s="100">
        <v>0.4</v>
      </c>
      <c r="J282" s="100">
        <v>49.8</v>
      </c>
      <c r="K282" s="100">
        <v>0.25</v>
      </c>
      <c r="L282" s="100">
        <v>0.31</v>
      </c>
      <c r="M282" s="217">
        <v>1.1185E-2</v>
      </c>
      <c r="N282" s="217">
        <v>1.4652E-2</v>
      </c>
      <c r="O282" s="100" t="s">
        <v>299</v>
      </c>
      <c r="P282" s="218">
        <f>(K282*AU)/(C282*pc)/Photometry!$AB$19</f>
        <v>0.22746262300403514</v>
      </c>
      <c r="Q282" s="522" t="s">
        <v>86</v>
      </c>
      <c r="R282" s="100">
        <v>999</v>
      </c>
      <c r="S282" s="103"/>
    </row>
    <row r="283" spans="1:19" x14ac:dyDescent="0.25">
      <c r="A283" s="497">
        <v>281</v>
      </c>
      <c r="B283" s="100">
        <v>7.47</v>
      </c>
      <c r="C283" s="214">
        <v>45.850499999999997</v>
      </c>
      <c r="D283" s="215">
        <v>329.33269999999999</v>
      </c>
      <c r="E283" s="215">
        <v>-37.763599999999997</v>
      </c>
      <c r="F283" s="216" t="s">
        <v>562</v>
      </c>
      <c r="G283" s="215">
        <v>0.41299999999999998</v>
      </c>
      <c r="H283" s="215">
        <v>12.523</v>
      </c>
      <c r="I283" s="100">
        <v>0.4</v>
      </c>
      <c r="J283" s="100">
        <v>129.80000000000001</v>
      </c>
      <c r="K283" s="100">
        <v>0.51</v>
      </c>
      <c r="L283" s="100">
        <v>0.21</v>
      </c>
      <c r="M283" s="217">
        <v>1.1122999999999999E-2</v>
      </c>
      <c r="N283" s="217">
        <v>1.3459E-2</v>
      </c>
      <c r="O283" s="100" t="s">
        <v>563</v>
      </c>
      <c r="P283" s="218">
        <f>(K283*AU)/(C283*pc)/Photometry!$AB$19</f>
        <v>0.22620430456586688</v>
      </c>
      <c r="Q283" s="522" t="s">
        <v>85</v>
      </c>
      <c r="R283" s="100">
        <v>999</v>
      </c>
      <c r="S283" s="103"/>
    </row>
    <row r="284" spans="1:19" x14ac:dyDescent="0.25">
      <c r="A284" s="497">
        <v>282</v>
      </c>
      <c r="B284" s="100">
        <v>4.5990000000000002</v>
      </c>
      <c r="C284" s="214">
        <v>78.492900000000006</v>
      </c>
      <c r="D284" s="215">
        <v>130.05340000000001</v>
      </c>
      <c r="E284" s="215">
        <v>64.3279</v>
      </c>
      <c r="F284" s="216" t="s">
        <v>564</v>
      </c>
      <c r="G284" s="215">
        <v>7.1</v>
      </c>
      <c r="H284" s="215">
        <v>13.002000000000001</v>
      </c>
      <c r="I284" s="100">
        <v>0.4</v>
      </c>
      <c r="J284" s="100">
        <v>269.3</v>
      </c>
      <c r="K284" s="100">
        <v>0.87</v>
      </c>
      <c r="L284" s="100">
        <v>0.43</v>
      </c>
      <c r="M284" s="217">
        <v>1.1084E-2</v>
      </c>
      <c r="N284" s="217">
        <v>1.585E-2</v>
      </c>
      <c r="O284" s="100" t="s">
        <v>305</v>
      </c>
      <c r="P284" s="218">
        <f>(K284*AU)/(C284*pc)/Photometry!$AB$19</f>
        <v>0.22540505051930962</v>
      </c>
      <c r="Q284" s="522" t="s">
        <v>87</v>
      </c>
      <c r="R284" s="100">
        <v>999</v>
      </c>
      <c r="S284" s="103"/>
    </row>
    <row r="285" spans="1:19" x14ac:dyDescent="0.25">
      <c r="A285" s="497">
        <v>283</v>
      </c>
      <c r="B285" s="100">
        <v>8.17</v>
      </c>
      <c r="C285" s="214">
        <v>34.831099999999999</v>
      </c>
      <c r="D285" s="215">
        <v>103.7139</v>
      </c>
      <c r="E285" s="215">
        <v>-55.259300000000003</v>
      </c>
      <c r="F285" s="216" t="s">
        <v>565</v>
      </c>
      <c r="G285" s="215">
        <v>5.6000000000000001E-2</v>
      </c>
      <c r="H285" s="215">
        <v>8.4670000000000005</v>
      </c>
      <c r="I285" s="100">
        <v>0.4</v>
      </c>
      <c r="J285" s="100">
        <v>95.4</v>
      </c>
      <c r="K285" s="100">
        <v>0.38</v>
      </c>
      <c r="L285" s="100">
        <v>0.41</v>
      </c>
      <c r="M285" s="217">
        <v>1.091E-2</v>
      </c>
      <c r="N285" s="217">
        <v>1.5383000000000001E-2</v>
      </c>
      <c r="O285" s="100" t="s">
        <v>566</v>
      </c>
      <c r="P285" s="218">
        <f>(K285*AU)/(C285*pc)/Photometry!$AB$19</f>
        <v>0.22186621350330121</v>
      </c>
      <c r="Q285" s="522" t="s">
        <v>87</v>
      </c>
      <c r="R285" s="100">
        <v>999</v>
      </c>
      <c r="S285" s="103"/>
    </row>
    <row r="286" spans="1:19" x14ac:dyDescent="0.25">
      <c r="A286" s="497">
        <v>284</v>
      </c>
      <c r="B286" s="100">
        <v>7.95</v>
      </c>
      <c r="C286" s="214">
        <v>139.0821</v>
      </c>
      <c r="D286" s="215">
        <v>164.69890000000001</v>
      </c>
      <c r="E286" s="215">
        <v>1.7292000000000001</v>
      </c>
      <c r="F286" s="216" t="s">
        <v>567</v>
      </c>
      <c r="G286" s="215">
        <v>1.2</v>
      </c>
      <c r="H286" s="215">
        <v>12.871</v>
      </c>
      <c r="I286" s="100">
        <v>0.4</v>
      </c>
      <c r="J286" s="100">
        <v>507</v>
      </c>
      <c r="K286" s="100">
        <v>1.51</v>
      </c>
      <c r="L286" s="100">
        <v>0.16</v>
      </c>
      <c r="M286" s="217">
        <v>1.0857E-2</v>
      </c>
      <c r="N286" s="217">
        <v>1.2593999999999999E-2</v>
      </c>
      <c r="O286" s="100" t="s">
        <v>323</v>
      </c>
      <c r="P286" s="218">
        <f>(K286*AU)/(C286*pc)/Photometry!$AB$19</f>
        <v>0.22079054568306664</v>
      </c>
      <c r="Q286" s="522" t="s">
        <v>87</v>
      </c>
      <c r="R286" s="100">
        <v>999</v>
      </c>
      <c r="S286" s="103"/>
    </row>
    <row r="287" spans="1:19" x14ac:dyDescent="0.25">
      <c r="A287" s="497">
        <v>285</v>
      </c>
      <c r="B287" s="100">
        <v>6.6079999999999997</v>
      </c>
      <c r="C287" s="214">
        <v>131.40600000000001</v>
      </c>
      <c r="D287" s="215">
        <v>288.70920000000001</v>
      </c>
      <c r="E287" s="215">
        <v>31.860299999999999</v>
      </c>
      <c r="F287" s="216" t="s">
        <v>568</v>
      </c>
      <c r="G287" s="215">
        <v>22</v>
      </c>
      <c r="H287" s="215">
        <v>11.817</v>
      </c>
      <c r="I287" s="100">
        <v>0.4</v>
      </c>
      <c r="J287" s="100">
        <v>396</v>
      </c>
      <c r="K287" s="100">
        <v>1.4</v>
      </c>
      <c r="L287" s="100">
        <v>0.26</v>
      </c>
      <c r="M287" s="217">
        <v>1.0654E-2</v>
      </c>
      <c r="N287" s="217">
        <v>1.3424E-2</v>
      </c>
      <c r="O287" s="100" t="s">
        <v>323</v>
      </c>
      <c r="P287" s="218">
        <f>(K287*AU)/(C287*pc)/Photometry!$AB$19</f>
        <v>0.21666442325426075</v>
      </c>
      <c r="Q287" s="522" t="s">
        <v>87</v>
      </c>
      <c r="R287" s="100">
        <v>999</v>
      </c>
      <c r="S287" s="103"/>
    </row>
    <row r="288" spans="1:19" x14ac:dyDescent="0.25">
      <c r="A288" s="497">
        <v>286</v>
      </c>
      <c r="B288" s="100">
        <v>5.22</v>
      </c>
      <c r="C288" s="214">
        <v>79.176599999999993</v>
      </c>
      <c r="D288" s="215">
        <v>352.82260000000002</v>
      </c>
      <c r="E288" s="215">
        <v>39.236199999999997</v>
      </c>
      <c r="F288" s="216" t="s">
        <v>569</v>
      </c>
      <c r="G288" s="215">
        <v>5.33</v>
      </c>
      <c r="H288" s="215">
        <v>13.089</v>
      </c>
      <c r="I288" s="100">
        <v>0.4</v>
      </c>
      <c r="J288" s="100">
        <v>185.8</v>
      </c>
      <c r="K288" s="100">
        <v>0.83</v>
      </c>
      <c r="L288" s="100">
        <v>0</v>
      </c>
      <c r="M288" s="217">
        <v>1.0482999999999999E-2</v>
      </c>
      <c r="N288" s="217">
        <v>1.0482999999999999E-2</v>
      </c>
      <c r="O288" s="100" t="s">
        <v>570</v>
      </c>
      <c r="P288" s="218">
        <f>(K288*AU)/(C288*pc)/Photometry!$AB$19</f>
        <v>0.21318468838542121</v>
      </c>
      <c r="Q288" s="522" t="s">
        <v>86</v>
      </c>
      <c r="R288" s="100">
        <v>999</v>
      </c>
      <c r="S288" s="103"/>
    </row>
    <row r="289" spans="1:19" x14ac:dyDescent="0.25">
      <c r="A289" s="497">
        <v>287</v>
      </c>
      <c r="B289" s="100">
        <v>9</v>
      </c>
      <c r="C289" s="214">
        <v>100.70489999999999</v>
      </c>
      <c r="D289" s="215">
        <v>129.31870000000001</v>
      </c>
      <c r="E289" s="215">
        <v>-41.319099999999999</v>
      </c>
      <c r="F289" s="216" t="s">
        <v>571</v>
      </c>
      <c r="G289" s="215">
        <v>2.5</v>
      </c>
      <c r="H289" s="215">
        <v>12.986000000000001</v>
      </c>
      <c r="I289" s="100">
        <v>0.4</v>
      </c>
      <c r="J289" s="100">
        <v>377.8</v>
      </c>
      <c r="K289" s="100">
        <v>1.05</v>
      </c>
      <c r="L289" s="100">
        <v>0.14000000000000001</v>
      </c>
      <c r="M289" s="217">
        <v>1.0427000000000001E-2</v>
      </c>
      <c r="N289" s="217">
        <v>1.1886000000000001E-2</v>
      </c>
      <c r="O289" s="100" t="s">
        <v>341</v>
      </c>
      <c r="P289" s="218">
        <f>(K289*AU)/(C289*pc)/Photometry!$AB$19</f>
        <v>0.21203788397200182</v>
      </c>
      <c r="Q289" s="522" t="s">
        <v>86</v>
      </c>
      <c r="R289" s="100">
        <v>999</v>
      </c>
      <c r="S289" s="103"/>
    </row>
    <row r="290" spans="1:19" x14ac:dyDescent="0.25">
      <c r="A290" s="497">
        <v>288</v>
      </c>
      <c r="B290" s="100">
        <v>8.5</v>
      </c>
      <c r="C290" s="214">
        <v>53.447400000000002</v>
      </c>
      <c r="D290" s="215">
        <v>47.8093</v>
      </c>
      <c r="E290" s="215">
        <v>21.0974</v>
      </c>
      <c r="F290" s="216" t="s">
        <v>439</v>
      </c>
      <c r="G290" s="215">
        <v>1.28</v>
      </c>
      <c r="H290" s="215">
        <v>12.882999999999999</v>
      </c>
      <c r="I290" s="100">
        <v>0.4</v>
      </c>
      <c r="J290" s="100">
        <v>147.69999999999999</v>
      </c>
      <c r="K290" s="100">
        <v>0.55000000000000004</v>
      </c>
      <c r="L290" s="100">
        <v>0.16</v>
      </c>
      <c r="M290" s="217">
        <v>1.0291E-2</v>
      </c>
      <c r="N290" s="217">
        <v>1.1937E-2</v>
      </c>
      <c r="O290" s="100" t="s">
        <v>281</v>
      </c>
      <c r="P290" s="218">
        <f>(K290*AU)/(C290*pc)/Photometry!$AB$19</f>
        <v>0.20927187773375805</v>
      </c>
      <c r="Q290" s="522" t="s">
        <v>86</v>
      </c>
      <c r="R290" s="100">
        <v>999</v>
      </c>
      <c r="S290" s="103"/>
    </row>
    <row r="291" spans="1:19" x14ac:dyDescent="0.25">
      <c r="A291" s="497">
        <v>289</v>
      </c>
      <c r="B291" s="100">
        <v>8.2100000000000009</v>
      </c>
      <c r="C291" s="214">
        <v>29.2056</v>
      </c>
      <c r="D291" s="215">
        <v>175.87549999999999</v>
      </c>
      <c r="E291" s="215">
        <v>-58.006900000000002</v>
      </c>
      <c r="F291" s="216" t="s">
        <v>572</v>
      </c>
      <c r="G291" s="215">
        <v>0.3</v>
      </c>
      <c r="H291" s="215">
        <v>12.157</v>
      </c>
      <c r="I291" s="100">
        <v>0.4</v>
      </c>
      <c r="J291" s="100">
        <v>70.5</v>
      </c>
      <c r="K291" s="100">
        <v>0.3</v>
      </c>
      <c r="L291" s="100">
        <v>0.11</v>
      </c>
      <c r="M291" s="217">
        <v>1.0272E-2</v>
      </c>
      <c r="N291" s="217">
        <v>1.1402000000000001E-2</v>
      </c>
      <c r="O291" s="100" t="s">
        <v>573</v>
      </c>
      <c r="P291" s="218">
        <f>(K291*AU)/(C291*pc)/Photometry!$AB$19</f>
        <v>0.20889588593197433</v>
      </c>
      <c r="Q291" s="522" t="s">
        <v>87</v>
      </c>
      <c r="R291" s="100">
        <v>999</v>
      </c>
      <c r="S291" s="103"/>
    </row>
    <row r="292" spans="1:19" x14ac:dyDescent="0.25">
      <c r="A292" s="497">
        <v>290</v>
      </c>
      <c r="B292" s="100">
        <v>6.17</v>
      </c>
      <c r="C292" s="214">
        <v>10.7828</v>
      </c>
      <c r="D292" s="215">
        <v>32.6081</v>
      </c>
      <c r="E292" s="215">
        <v>-50.823700000000002</v>
      </c>
      <c r="F292" s="216" t="s">
        <v>574</v>
      </c>
      <c r="G292" s="215">
        <v>4.01</v>
      </c>
      <c r="H292" s="215">
        <v>13.134</v>
      </c>
      <c r="I292" s="100">
        <v>0.4</v>
      </c>
      <c r="J292" s="100">
        <v>15.8</v>
      </c>
      <c r="K292" s="100">
        <v>0.11</v>
      </c>
      <c r="L292" s="100">
        <v>0.05</v>
      </c>
      <c r="M292" s="217">
        <v>1.0201E-2</v>
      </c>
      <c r="N292" s="217">
        <v>1.0711E-2</v>
      </c>
      <c r="O292" s="100" t="s">
        <v>401</v>
      </c>
      <c r="P292" s="218">
        <f>(K292*AU)/(C292*pc)/Photometry!$AB$19</f>
        <v>0.20746072927230885</v>
      </c>
      <c r="Q292" s="522" t="s">
        <v>87</v>
      </c>
      <c r="R292" s="100">
        <v>999</v>
      </c>
      <c r="S292" s="103"/>
    </row>
    <row r="293" spans="1:19" x14ac:dyDescent="0.25">
      <c r="A293" s="497">
        <v>291</v>
      </c>
      <c r="B293" s="100">
        <v>7.72</v>
      </c>
      <c r="C293" s="214">
        <v>139.2758</v>
      </c>
      <c r="D293" s="215">
        <v>187.583</v>
      </c>
      <c r="E293" s="215">
        <v>21.9482</v>
      </c>
      <c r="F293" s="216" t="s">
        <v>575</v>
      </c>
      <c r="G293" s="215">
        <v>2.6</v>
      </c>
      <c r="H293" s="215">
        <v>12.997</v>
      </c>
      <c r="I293" s="100">
        <v>0.4</v>
      </c>
      <c r="J293" s="100">
        <v>443.4</v>
      </c>
      <c r="K293" s="100">
        <v>1.4</v>
      </c>
      <c r="L293" s="100">
        <v>0.1</v>
      </c>
      <c r="M293" s="217">
        <v>1.0052E-2</v>
      </c>
      <c r="N293" s="217">
        <v>1.1057000000000001E-2</v>
      </c>
      <c r="O293" s="100" t="s">
        <v>417</v>
      </c>
      <c r="P293" s="218">
        <f>(K293*AU)/(C293*pc)/Photometry!$AB$19</f>
        <v>0.20442176747252139</v>
      </c>
      <c r="Q293" s="522" t="s">
        <v>87</v>
      </c>
      <c r="R293" s="100">
        <v>999</v>
      </c>
      <c r="S293" s="103"/>
    </row>
    <row r="294" spans="1:19" x14ac:dyDescent="0.25">
      <c r="A294" s="497">
        <v>292</v>
      </c>
      <c r="B294" s="100">
        <v>5.5190000000000001</v>
      </c>
      <c r="C294" s="214">
        <v>82.781499999999994</v>
      </c>
      <c r="D294" s="215">
        <v>230.03569999999999</v>
      </c>
      <c r="E294" s="215">
        <v>29.616199999999999</v>
      </c>
      <c r="F294" s="216" t="s">
        <v>576</v>
      </c>
      <c r="G294" s="215">
        <v>1.5</v>
      </c>
      <c r="H294" s="215">
        <v>12.909000000000001</v>
      </c>
      <c r="I294" s="100">
        <v>0.4</v>
      </c>
      <c r="J294" s="100">
        <v>187.3</v>
      </c>
      <c r="K294" s="100">
        <v>0.83</v>
      </c>
      <c r="L294" s="100">
        <v>0.19</v>
      </c>
      <c r="M294" s="217">
        <v>1.0026E-2</v>
      </c>
      <c r="N294" s="217">
        <v>1.1931000000000001E-2</v>
      </c>
      <c r="O294" s="100" t="s">
        <v>411</v>
      </c>
      <c r="P294" s="218">
        <f>(K294*AU)/(C294*pc)/Photometry!$AB$19</f>
        <v>0.20390109865630776</v>
      </c>
      <c r="Q294" s="522" t="s">
        <v>87</v>
      </c>
      <c r="R294" s="100">
        <v>999</v>
      </c>
      <c r="S294" s="103"/>
    </row>
    <row r="295" spans="1:19" x14ac:dyDescent="0.25">
      <c r="A295" s="497">
        <v>293</v>
      </c>
      <c r="B295" s="100">
        <v>7.1470000000000002</v>
      </c>
      <c r="C295" s="214">
        <v>12.9955</v>
      </c>
      <c r="D295" s="215">
        <v>88.517700000000005</v>
      </c>
      <c r="E295" s="215">
        <v>-60.023499999999999</v>
      </c>
      <c r="F295" s="216" t="s">
        <v>577</v>
      </c>
      <c r="G295" s="215">
        <v>2.9000000000000001E-2</v>
      </c>
      <c r="H295" s="215">
        <v>1.768</v>
      </c>
      <c r="I295" s="100">
        <v>0.4</v>
      </c>
      <c r="J295" s="100">
        <v>20.5</v>
      </c>
      <c r="K295" s="100">
        <v>0.13</v>
      </c>
      <c r="L295" s="100">
        <v>0</v>
      </c>
      <c r="M295" s="217">
        <v>1.0004000000000001E-2</v>
      </c>
      <c r="N295" s="217">
        <v>1.0004000000000001E-2</v>
      </c>
      <c r="O295" s="100" t="s">
        <v>578</v>
      </c>
      <c r="P295" s="218">
        <f>(K295*AU)/(C295*pc)/Photometry!$AB$19</f>
        <v>0.2034347425910849</v>
      </c>
      <c r="Q295" s="522" t="s">
        <v>87</v>
      </c>
      <c r="R295" s="100">
        <v>999</v>
      </c>
      <c r="S295" s="103"/>
    </row>
    <row r="296" spans="1:19" x14ac:dyDescent="0.25">
      <c r="A296" s="497">
        <v>294</v>
      </c>
      <c r="B296" s="100">
        <v>8.44</v>
      </c>
      <c r="C296" s="214">
        <v>35.373199999999997</v>
      </c>
      <c r="D296" s="215">
        <v>50.012300000000003</v>
      </c>
      <c r="E296" s="215">
        <v>-28.783799999999999</v>
      </c>
      <c r="F296" s="216" t="s">
        <v>579</v>
      </c>
      <c r="G296" s="215">
        <v>0.05</v>
      </c>
      <c r="H296" s="215">
        <v>7.7009999999999996</v>
      </c>
      <c r="I296" s="100">
        <v>0.4</v>
      </c>
      <c r="J296" s="100">
        <v>85.1</v>
      </c>
      <c r="K296" s="100">
        <v>0.35</v>
      </c>
      <c r="L296" s="100">
        <v>0.28000000000000003</v>
      </c>
      <c r="M296" s="217">
        <v>9.8945000000000005E-3</v>
      </c>
      <c r="N296" s="217">
        <v>1.2664999999999999E-2</v>
      </c>
      <c r="O296" s="100" t="s">
        <v>580</v>
      </c>
      <c r="P296" s="218">
        <f>(K296*AU)/(C296*pc)/Photometry!$AB$19</f>
        <v>0.20121875602256364</v>
      </c>
      <c r="Q296" s="522" t="s">
        <v>87</v>
      </c>
      <c r="R296" s="100">
        <v>999</v>
      </c>
      <c r="S296" s="103"/>
    </row>
    <row r="297" spans="1:19" x14ac:dyDescent="0.25">
      <c r="A297" s="497">
        <v>295</v>
      </c>
      <c r="B297" s="100">
        <v>5.4130000000000003</v>
      </c>
      <c r="C297" s="214">
        <v>85.8369</v>
      </c>
      <c r="D297" s="215">
        <v>142.16659999999999</v>
      </c>
      <c r="E297" s="215">
        <v>45.601500000000001</v>
      </c>
      <c r="F297" s="216" t="s">
        <v>581</v>
      </c>
      <c r="G297" s="215">
        <v>2.7</v>
      </c>
      <c r="H297" s="215">
        <v>13.007999999999999</v>
      </c>
      <c r="I297" s="100">
        <v>0.4</v>
      </c>
      <c r="J297" s="100">
        <v>184</v>
      </c>
      <c r="K297" s="100">
        <v>0.81</v>
      </c>
      <c r="L297" s="100">
        <v>0</v>
      </c>
      <c r="M297" s="217">
        <v>9.4365000000000004E-3</v>
      </c>
      <c r="N297" s="217">
        <v>9.4365000000000004E-3</v>
      </c>
      <c r="O297" s="100" t="s">
        <v>417</v>
      </c>
      <c r="P297" s="218">
        <f>(K297*AU)/(C297*pc)/Photometry!$AB$19</f>
        <v>0.19190476534767856</v>
      </c>
      <c r="Q297" s="522" t="s">
        <v>87</v>
      </c>
      <c r="R297" s="100">
        <v>999</v>
      </c>
      <c r="S297" s="103"/>
    </row>
    <row r="298" spans="1:19" x14ac:dyDescent="0.25">
      <c r="A298" s="497">
        <v>296</v>
      </c>
      <c r="B298" s="100">
        <v>7.6</v>
      </c>
      <c r="C298" s="214">
        <v>131.0616</v>
      </c>
      <c r="D298" s="215">
        <v>336.76280000000003</v>
      </c>
      <c r="E298" s="215">
        <v>-17.2637</v>
      </c>
      <c r="F298" s="216" t="s">
        <v>582</v>
      </c>
      <c r="G298" s="215">
        <v>2.2999999999999998</v>
      </c>
      <c r="H298" s="215">
        <v>12.965999999999999</v>
      </c>
      <c r="I298" s="100">
        <v>0.4</v>
      </c>
      <c r="J298" s="100">
        <v>373.3</v>
      </c>
      <c r="K298" s="100">
        <v>1.22</v>
      </c>
      <c r="L298" s="100">
        <v>0.11</v>
      </c>
      <c r="M298" s="217">
        <v>9.3086000000000002E-3</v>
      </c>
      <c r="N298" s="217">
        <v>1.0333E-2</v>
      </c>
      <c r="O298" s="100" t="s">
        <v>248</v>
      </c>
      <c r="P298" s="218">
        <f>(K298*AU)/(C298*pc)/Photometry!$AB$19</f>
        <v>0.1893037120746616</v>
      </c>
      <c r="Q298" s="522" t="s">
        <v>86</v>
      </c>
      <c r="R298" s="100">
        <v>999</v>
      </c>
      <c r="S298" s="103"/>
    </row>
    <row r="299" spans="1:19" x14ac:dyDescent="0.25">
      <c r="A299" s="497">
        <v>297</v>
      </c>
      <c r="B299" s="100">
        <v>8.1999999999999993</v>
      </c>
      <c r="C299" s="214">
        <v>64.766800000000003</v>
      </c>
      <c r="D299" s="215">
        <v>257.52050000000003</v>
      </c>
      <c r="E299" s="215">
        <v>-56.449300000000001</v>
      </c>
      <c r="F299" s="216" t="s">
        <v>583</v>
      </c>
      <c r="G299" s="215">
        <v>5.0199999999999996</v>
      </c>
      <c r="H299" s="215">
        <v>13.1</v>
      </c>
      <c r="I299" s="100">
        <v>0.4</v>
      </c>
      <c r="J299" s="100">
        <v>163.9</v>
      </c>
      <c r="K299" s="100">
        <v>0.6</v>
      </c>
      <c r="L299" s="100">
        <v>0.61</v>
      </c>
      <c r="M299" s="217">
        <v>9.2639999999999997E-3</v>
      </c>
      <c r="N299" s="217">
        <v>1.4914999999999999E-2</v>
      </c>
      <c r="O299" s="100" t="s">
        <v>584</v>
      </c>
      <c r="P299" s="218">
        <f>(K299*AU)/(C299*pc)/Photometry!$AB$19</f>
        <v>0.18839682325434848</v>
      </c>
      <c r="Q299" s="522" t="s">
        <v>86</v>
      </c>
      <c r="R299" s="100">
        <v>999</v>
      </c>
      <c r="S299" s="103"/>
    </row>
    <row r="300" spans="1:19" x14ac:dyDescent="0.25">
      <c r="A300" s="497">
        <v>298</v>
      </c>
      <c r="B300" s="100">
        <v>8.0299999999999994</v>
      </c>
      <c r="C300" s="214">
        <v>134.22819999999999</v>
      </c>
      <c r="D300" s="215">
        <v>169.44810000000001</v>
      </c>
      <c r="E300" s="215">
        <v>-23.9754</v>
      </c>
      <c r="F300" s="216" t="s">
        <v>585</v>
      </c>
      <c r="G300" s="215">
        <v>1.8</v>
      </c>
      <c r="H300" s="215">
        <v>12.930999999999999</v>
      </c>
      <c r="I300" s="100">
        <v>0.4</v>
      </c>
      <c r="J300" s="100">
        <v>436.9</v>
      </c>
      <c r="K300" s="100">
        <v>1.23</v>
      </c>
      <c r="L300" s="100">
        <v>0.21</v>
      </c>
      <c r="M300" s="217">
        <v>9.1634999999999998E-3</v>
      </c>
      <c r="N300" s="217">
        <v>1.1088000000000001E-2</v>
      </c>
      <c r="O300" s="100" t="s">
        <v>530</v>
      </c>
      <c r="P300" s="218">
        <f>(K300*AU)/(C300*pc)/Photometry!$AB$19</f>
        <v>0.18635288049245216</v>
      </c>
      <c r="Q300" s="522" t="s">
        <v>87</v>
      </c>
      <c r="R300" s="100">
        <v>999</v>
      </c>
      <c r="S300" s="103"/>
    </row>
    <row r="301" spans="1:19" x14ac:dyDescent="0.25">
      <c r="A301" s="497">
        <v>299</v>
      </c>
      <c r="B301" s="100">
        <v>7.3</v>
      </c>
      <c r="C301" s="214">
        <v>38.654800000000002</v>
      </c>
      <c r="D301" s="215">
        <v>198.0823</v>
      </c>
      <c r="E301" s="215">
        <v>17.517099999999999</v>
      </c>
      <c r="F301" s="216" t="s">
        <v>586</v>
      </c>
      <c r="G301" s="215">
        <v>10.98</v>
      </c>
      <c r="H301" s="215">
        <v>12.694000000000001</v>
      </c>
      <c r="I301" s="100">
        <v>0.4</v>
      </c>
      <c r="J301" s="100">
        <v>83.9</v>
      </c>
      <c r="K301" s="100">
        <v>0.35</v>
      </c>
      <c r="L301" s="100">
        <v>0.34</v>
      </c>
      <c r="M301" s="217">
        <v>9.0545E-3</v>
      </c>
      <c r="N301" s="217">
        <v>1.2133E-2</v>
      </c>
      <c r="O301" s="100" t="s">
        <v>321</v>
      </c>
      <c r="P301" s="218">
        <f>(K301*AU)/(C301*pc)/Photometry!$AB$19</f>
        <v>0.18413628580505778</v>
      </c>
      <c r="Q301" s="522" t="s">
        <v>84</v>
      </c>
      <c r="R301" s="100">
        <v>999</v>
      </c>
      <c r="S301" s="103"/>
    </row>
    <row r="302" spans="1:19" x14ac:dyDescent="0.25">
      <c r="A302" s="497">
        <v>300</v>
      </c>
      <c r="B302" s="100">
        <v>6.78</v>
      </c>
      <c r="C302" s="214">
        <v>38.956000000000003</v>
      </c>
      <c r="D302" s="215">
        <v>38.832999999999998</v>
      </c>
      <c r="E302" s="215">
        <v>-3.5606</v>
      </c>
      <c r="F302" s="216" t="s">
        <v>587</v>
      </c>
      <c r="G302" s="215">
        <v>0.215</v>
      </c>
      <c r="H302" s="215">
        <v>11.776999999999999</v>
      </c>
      <c r="I302" s="100">
        <v>0.4</v>
      </c>
      <c r="J302" s="100">
        <v>75.8</v>
      </c>
      <c r="K302" s="100">
        <v>0.35</v>
      </c>
      <c r="L302" s="100">
        <v>0.28000000000000003</v>
      </c>
      <c r="M302" s="217">
        <v>8.9844999999999994E-3</v>
      </c>
      <c r="N302" s="217">
        <v>1.15E-2</v>
      </c>
      <c r="O302" s="100" t="s">
        <v>349</v>
      </c>
      <c r="P302" s="218">
        <f>(K302*AU)/(C302*pc)/Photometry!$AB$19</f>
        <v>0.18271258087425166</v>
      </c>
      <c r="Q302" s="522" t="s">
        <v>86</v>
      </c>
      <c r="R302" s="100">
        <v>999</v>
      </c>
      <c r="S302" s="103"/>
    </row>
    <row r="303" spans="1:19" x14ac:dyDescent="0.25">
      <c r="A303" s="497">
        <v>301</v>
      </c>
      <c r="B303" s="100">
        <v>5.95</v>
      </c>
      <c r="C303" s="214">
        <v>12.341100000000001</v>
      </c>
      <c r="D303" s="215">
        <v>133.14920000000001</v>
      </c>
      <c r="E303" s="215">
        <v>28.3308</v>
      </c>
      <c r="F303" s="216" t="s">
        <v>236</v>
      </c>
      <c r="G303" s="215">
        <v>0.8</v>
      </c>
      <c r="H303" s="215">
        <v>12.805999999999999</v>
      </c>
      <c r="I303" s="100">
        <v>0.4</v>
      </c>
      <c r="J303" s="100">
        <v>14.7</v>
      </c>
      <c r="K303" s="100">
        <v>0.11</v>
      </c>
      <c r="L303" s="100">
        <v>0.02</v>
      </c>
      <c r="M303" s="217">
        <v>8.9133000000000007E-3</v>
      </c>
      <c r="N303" s="217">
        <v>9.0916E-3</v>
      </c>
      <c r="O303" s="100" t="s">
        <v>237</v>
      </c>
      <c r="P303" s="218">
        <f>(K303*AU)/(C303*pc)/Photometry!$AB$19</f>
        <v>0.18126484280959168</v>
      </c>
      <c r="Q303" s="522" t="s">
        <v>86</v>
      </c>
      <c r="R303" s="100">
        <v>999</v>
      </c>
      <c r="S303" s="103"/>
    </row>
    <row r="304" spans="1:19" x14ac:dyDescent="0.25">
      <c r="A304" s="497">
        <v>302</v>
      </c>
      <c r="B304" s="100">
        <v>9.407</v>
      </c>
      <c r="C304" s="214">
        <v>4.5404999999999998</v>
      </c>
      <c r="D304" s="215">
        <v>262.16640000000001</v>
      </c>
      <c r="E304" s="215">
        <v>-46.895200000000003</v>
      </c>
      <c r="F304" s="216" t="s">
        <v>588</v>
      </c>
      <c r="G304" s="215">
        <v>3.6999999999999998E-2</v>
      </c>
      <c r="H304" s="215">
        <v>4.7930000000000001</v>
      </c>
      <c r="I304" s="100">
        <v>0.4</v>
      </c>
      <c r="J304" s="100">
        <v>4.7</v>
      </c>
      <c r="K304" s="100">
        <v>0.04</v>
      </c>
      <c r="L304" s="100">
        <v>0.2</v>
      </c>
      <c r="M304" s="217">
        <v>8.8096000000000008E-3</v>
      </c>
      <c r="N304" s="217">
        <v>1.0572E-2</v>
      </c>
      <c r="O304" s="100" t="s">
        <v>484</v>
      </c>
      <c r="P304" s="218">
        <f>(K304*AU)/(C304*pc)/Photometry!$AB$19</f>
        <v>0.17915588404140131</v>
      </c>
      <c r="Q304" s="522" t="s">
        <v>90</v>
      </c>
      <c r="R304" s="100">
        <v>999</v>
      </c>
      <c r="S304" s="103"/>
    </row>
    <row r="305" spans="1:19" x14ac:dyDescent="0.25">
      <c r="A305" s="497">
        <v>303</v>
      </c>
      <c r="B305" s="100">
        <v>8.3800000000000008</v>
      </c>
      <c r="C305" s="214">
        <v>28.645099999999999</v>
      </c>
      <c r="D305" s="215">
        <v>33.178899999999999</v>
      </c>
      <c r="E305" s="215">
        <v>-53.743899999999996</v>
      </c>
      <c r="F305" s="216" t="s">
        <v>589</v>
      </c>
      <c r="G305" s="215">
        <v>3.5999999999999997E-2</v>
      </c>
      <c r="H305" s="215">
        <v>4.5620000000000003</v>
      </c>
      <c r="I305" s="100">
        <v>0.4</v>
      </c>
      <c r="J305" s="100">
        <v>53.8</v>
      </c>
      <c r="K305" s="100">
        <v>0.25</v>
      </c>
      <c r="L305" s="100">
        <v>0.43</v>
      </c>
      <c r="M305" s="217">
        <v>8.7274999999999991E-3</v>
      </c>
      <c r="N305" s="217">
        <v>1.248E-2</v>
      </c>
      <c r="O305" s="100" t="s">
        <v>246</v>
      </c>
      <c r="P305" s="218">
        <f>(K305*AU)/(C305*pc)/Photometry!$AB$19</f>
        <v>0.17748613451558526</v>
      </c>
      <c r="Q305" s="522" t="s">
        <v>87</v>
      </c>
      <c r="R305" s="100">
        <v>999</v>
      </c>
      <c r="S305" s="103"/>
    </row>
    <row r="306" spans="1:19" x14ac:dyDescent="0.25">
      <c r="A306" s="497">
        <v>304</v>
      </c>
      <c r="B306" s="100">
        <v>7.82</v>
      </c>
      <c r="C306" s="214">
        <v>136.9863</v>
      </c>
      <c r="D306" s="215">
        <v>11.418200000000001</v>
      </c>
      <c r="E306" s="215">
        <v>7.8449999999999998</v>
      </c>
      <c r="F306" s="216" t="s">
        <v>590</v>
      </c>
      <c r="G306" s="215">
        <v>2.2999999999999998</v>
      </c>
      <c r="H306" s="215">
        <v>12.965999999999999</v>
      </c>
      <c r="I306" s="100">
        <v>0.4</v>
      </c>
      <c r="J306" s="100">
        <v>356</v>
      </c>
      <c r="K306" s="100">
        <v>1.19</v>
      </c>
      <c r="L306" s="100">
        <v>0.04</v>
      </c>
      <c r="M306" s="217">
        <v>8.6870000000000003E-3</v>
      </c>
      <c r="N306" s="217">
        <v>9.0345000000000009E-3</v>
      </c>
      <c r="O306" s="100" t="s">
        <v>281</v>
      </c>
      <c r="P306" s="218">
        <f>(K306*AU)/(C306*pc)/Photometry!$AB$19</f>
        <v>0.17666258904596285</v>
      </c>
      <c r="Q306" s="522" t="s">
        <v>86</v>
      </c>
      <c r="R306" s="100">
        <v>999</v>
      </c>
      <c r="S306" s="103"/>
    </row>
    <row r="307" spans="1:19" x14ac:dyDescent="0.25">
      <c r="A307" s="497">
        <v>305</v>
      </c>
      <c r="B307" s="100">
        <v>8.35</v>
      </c>
      <c r="C307" s="214">
        <v>193.79839999999999</v>
      </c>
      <c r="D307" s="215">
        <v>325.85379999999998</v>
      </c>
      <c r="E307" s="215">
        <v>-7.4082999999999997</v>
      </c>
      <c r="F307" s="216" t="s">
        <v>591</v>
      </c>
      <c r="G307" s="215">
        <v>2.2000000000000002</v>
      </c>
      <c r="H307" s="215">
        <v>12.959</v>
      </c>
      <c r="I307" s="100">
        <v>0.4</v>
      </c>
      <c r="J307" s="100">
        <v>610</v>
      </c>
      <c r="K307" s="100">
        <v>1.68</v>
      </c>
      <c r="L307" s="100">
        <v>0.23</v>
      </c>
      <c r="M307" s="217">
        <v>8.6688000000000008E-3</v>
      </c>
      <c r="N307" s="217">
        <v>1.0663000000000001E-2</v>
      </c>
      <c r="O307" s="100" t="s">
        <v>323</v>
      </c>
      <c r="P307" s="218">
        <f>(K307*AU)/(C307*pc)/Photometry!$AB$19</f>
        <v>0.17629250934259144</v>
      </c>
      <c r="Q307" s="522" t="s">
        <v>87</v>
      </c>
      <c r="R307" s="100">
        <v>999</v>
      </c>
      <c r="S307" s="103"/>
    </row>
    <row r="308" spans="1:19" x14ac:dyDescent="0.25">
      <c r="A308" s="497">
        <v>306</v>
      </c>
      <c r="B308" s="100">
        <v>7.1769999999999996</v>
      </c>
      <c r="C308" s="214">
        <v>59.0319</v>
      </c>
      <c r="D308" s="215">
        <v>286.33659999999998</v>
      </c>
      <c r="E308" s="215">
        <v>25.9207</v>
      </c>
      <c r="F308" s="216" t="s">
        <v>505</v>
      </c>
      <c r="G308" s="215">
        <v>0.15</v>
      </c>
      <c r="H308" s="215">
        <v>11.319000000000001</v>
      </c>
      <c r="I308" s="100">
        <v>0.4</v>
      </c>
      <c r="J308" s="100">
        <v>110.9</v>
      </c>
      <c r="K308" s="100">
        <v>0.51</v>
      </c>
      <c r="L308" s="100">
        <v>0.35</v>
      </c>
      <c r="M308" s="217">
        <v>8.6394000000000002E-3</v>
      </c>
      <c r="N308" s="217">
        <v>1.1663E-2</v>
      </c>
      <c r="O308" s="100" t="s">
        <v>506</v>
      </c>
      <c r="P308" s="218">
        <f>(K308*AU)/(C308*pc)/Photometry!$AB$19</f>
        <v>0.17569450528438485</v>
      </c>
      <c r="Q308" s="522" t="s">
        <v>87</v>
      </c>
      <c r="R308" s="100">
        <v>999</v>
      </c>
      <c r="S308" s="103"/>
    </row>
    <row r="309" spans="1:19" x14ac:dyDescent="0.25">
      <c r="A309" s="497">
        <v>307</v>
      </c>
      <c r="B309" s="100">
        <v>7.96</v>
      </c>
      <c r="C309" s="214">
        <v>125.94459999999999</v>
      </c>
      <c r="D309" s="215">
        <v>76.898099999999999</v>
      </c>
      <c r="E309" s="215">
        <v>-13.986499999999999</v>
      </c>
      <c r="F309" s="216" t="s">
        <v>592</v>
      </c>
      <c r="G309" s="215">
        <v>1.3</v>
      </c>
      <c r="H309" s="215">
        <v>12.885999999999999</v>
      </c>
      <c r="I309" s="100">
        <v>0.4</v>
      </c>
      <c r="J309" s="100">
        <v>326.60000000000002</v>
      </c>
      <c r="K309" s="100">
        <v>1.06</v>
      </c>
      <c r="L309" s="100">
        <v>0.22</v>
      </c>
      <c r="M309" s="217">
        <v>8.4163999999999992E-3</v>
      </c>
      <c r="N309" s="217">
        <v>1.0267999999999999E-2</v>
      </c>
      <c r="O309" s="100" t="s">
        <v>411</v>
      </c>
      <c r="P309" s="218">
        <f>(K309*AU)/(C309*pc)/Photometry!$AB$19</f>
        <v>0.17115952747862584</v>
      </c>
      <c r="Q309" s="522" t="s">
        <v>87</v>
      </c>
      <c r="R309" s="100">
        <v>999</v>
      </c>
      <c r="S309" s="103"/>
    </row>
    <row r="310" spans="1:19" x14ac:dyDescent="0.25">
      <c r="A310" s="497">
        <v>308</v>
      </c>
      <c r="B310" s="100">
        <v>8.5399999999999991</v>
      </c>
      <c r="C310" s="214">
        <v>107.7586</v>
      </c>
      <c r="D310" s="215">
        <v>324.53500000000003</v>
      </c>
      <c r="E310" s="215">
        <v>-31.737500000000001</v>
      </c>
      <c r="F310" s="216" t="s">
        <v>593</v>
      </c>
      <c r="G310" s="215">
        <v>1.37</v>
      </c>
      <c r="H310" s="215">
        <v>12.897</v>
      </c>
      <c r="I310" s="100">
        <v>0.4</v>
      </c>
      <c r="J310" s="100">
        <v>279.8</v>
      </c>
      <c r="K310" s="100">
        <v>0.9</v>
      </c>
      <c r="L310" s="100">
        <v>0.27</v>
      </c>
      <c r="M310" s="217">
        <v>8.352E-3</v>
      </c>
      <c r="N310" s="217">
        <v>1.0607E-2</v>
      </c>
      <c r="O310" s="100" t="s">
        <v>250</v>
      </c>
      <c r="P310" s="218">
        <f>(K310*AU)/(C310*pc)/Photometry!$AB$19</f>
        <v>0.16984991507429203</v>
      </c>
      <c r="Q310" s="522" t="s">
        <v>84</v>
      </c>
      <c r="R310" s="100">
        <v>999</v>
      </c>
      <c r="S310" s="103"/>
    </row>
    <row r="311" spans="1:19" x14ac:dyDescent="0.25">
      <c r="A311" s="497">
        <v>309</v>
      </c>
      <c r="B311" s="100">
        <v>6.0570000000000004</v>
      </c>
      <c r="C311" s="214">
        <v>139.47</v>
      </c>
      <c r="D311" s="215">
        <v>280.90050000000002</v>
      </c>
      <c r="E311" s="215">
        <v>36.556600000000003</v>
      </c>
      <c r="F311" s="216" t="s">
        <v>594</v>
      </c>
      <c r="G311" s="215">
        <v>2.7</v>
      </c>
      <c r="H311" s="215">
        <v>13.007999999999999</v>
      </c>
      <c r="I311" s="100">
        <v>0.4</v>
      </c>
      <c r="J311" s="100">
        <v>323.60000000000002</v>
      </c>
      <c r="K311" s="100">
        <v>1.1599999999999999</v>
      </c>
      <c r="L311" s="100">
        <v>0.21</v>
      </c>
      <c r="M311" s="217">
        <v>8.3172000000000003E-3</v>
      </c>
      <c r="N311" s="217">
        <v>1.0064E-2</v>
      </c>
      <c r="O311" s="100" t="s">
        <v>595</v>
      </c>
      <c r="P311" s="218">
        <f>(K311*AU)/(C311*pc)/Photometry!$AB$19</f>
        <v>0.16914219153373125</v>
      </c>
      <c r="Q311" s="522" t="s">
        <v>86</v>
      </c>
      <c r="R311" s="100">
        <v>999</v>
      </c>
      <c r="S311" s="103"/>
    </row>
    <row r="312" spans="1:19" x14ac:dyDescent="0.25">
      <c r="A312" s="497">
        <v>310</v>
      </c>
      <c r="B312" s="100">
        <v>8.35</v>
      </c>
      <c r="C312" s="214">
        <v>159.23570000000001</v>
      </c>
      <c r="D312" s="215">
        <v>4.8211000000000004</v>
      </c>
      <c r="E312" s="215">
        <v>14.0548</v>
      </c>
      <c r="F312" s="216" t="s">
        <v>596</v>
      </c>
      <c r="G312" s="215">
        <v>3.1</v>
      </c>
      <c r="H312" s="215">
        <v>13.05</v>
      </c>
      <c r="I312" s="100">
        <v>0.4</v>
      </c>
      <c r="J312" s="100">
        <v>431.8</v>
      </c>
      <c r="K312" s="100">
        <v>1.31</v>
      </c>
      <c r="L312" s="100">
        <v>0.1</v>
      </c>
      <c r="M312" s="217">
        <v>8.2267999999999994E-3</v>
      </c>
      <c r="N312" s="217">
        <v>9.0495000000000003E-3</v>
      </c>
      <c r="O312" s="100" t="s">
        <v>323</v>
      </c>
      <c r="P312" s="218">
        <f>(K312*AU)/(C312*pc)/Photometry!$AB$19</f>
        <v>0.16730372834921398</v>
      </c>
      <c r="Q312" s="522" t="s">
        <v>87</v>
      </c>
      <c r="R312" s="100">
        <v>999</v>
      </c>
      <c r="S312" s="103"/>
    </row>
    <row r="313" spans="1:19" x14ac:dyDescent="0.25">
      <c r="A313" s="497">
        <v>311</v>
      </c>
      <c r="B313" s="100">
        <v>5.71</v>
      </c>
      <c r="C313" s="214">
        <v>15.857900000000001</v>
      </c>
      <c r="D313" s="215">
        <v>300.90589999999997</v>
      </c>
      <c r="E313" s="215">
        <v>29.896799999999999</v>
      </c>
      <c r="F313" s="216" t="s">
        <v>253</v>
      </c>
      <c r="G313" s="215">
        <v>5.7000000000000002E-2</v>
      </c>
      <c r="H313" s="215">
        <v>8.5</v>
      </c>
      <c r="I313" s="100">
        <v>0.4</v>
      </c>
      <c r="J313" s="100">
        <v>17.100000000000001</v>
      </c>
      <c r="K313" s="100">
        <v>0.13</v>
      </c>
      <c r="L313" s="100">
        <v>0.01</v>
      </c>
      <c r="M313" s="217">
        <v>8.1977999999999999E-3</v>
      </c>
      <c r="N313" s="217">
        <v>8.2798000000000004E-3</v>
      </c>
      <c r="O313" s="100" t="s">
        <v>254</v>
      </c>
      <c r="P313" s="218">
        <f>(K313*AU)/(C313*pc)/Photometry!$AB$19</f>
        <v>0.16671414231029602</v>
      </c>
      <c r="Q313" s="522" t="s">
        <v>86</v>
      </c>
      <c r="R313" s="100">
        <v>999</v>
      </c>
      <c r="S313" s="103"/>
    </row>
    <row r="314" spans="1:19" x14ac:dyDescent="0.25">
      <c r="A314" s="497">
        <v>312</v>
      </c>
      <c r="B314" s="100">
        <v>8.1</v>
      </c>
      <c r="C314" s="214">
        <v>55.035800000000002</v>
      </c>
      <c r="D314" s="215">
        <v>242.90190000000001</v>
      </c>
      <c r="E314" s="215">
        <v>-27.078199999999999</v>
      </c>
      <c r="F314" s="216" t="s">
        <v>597</v>
      </c>
      <c r="G314" s="215">
        <v>5.76</v>
      </c>
      <c r="H314" s="215">
        <v>13.074</v>
      </c>
      <c r="I314" s="100">
        <v>0.4</v>
      </c>
      <c r="J314" s="100">
        <v>103.9</v>
      </c>
      <c r="K314" s="100">
        <v>0.45</v>
      </c>
      <c r="L314" s="100">
        <v>0.31</v>
      </c>
      <c r="M314" s="217">
        <v>8.1764999999999997E-3</v>
      </c>
      <c r="N314" s="217">
        <v>1.0711E-2</v>
      </c>
      <c r="O314" s="100" t="s">
        <v>256</v>
      </c>
      <c r="P314" s="218">
        <f>(K314*AU)/(C314*pc)/Photometry!$AB$19</f>
        <v>0.16628075778424781</v>
      </c>
      <c r="Q314" s="522" t="s">
        <v>86</v>
      </c>
      <c r="R314" s="100">
        <v>999</v>
      </c>
      <c r="S314" s="103"/>
    </row>
    <row r="315" spans="1:19" x14ac:dyDescent="0.25">
      <c r="A315" s="497">
        <v>313</v>
      </c>
      <c r="B315" s="100">
        <v>8</v>
      </c>
      <c r="C315" s="214">
        <v>127.06480000000001</v>
      </c>
      <c r="D315" s="215">
        <v>283.92039999999997</v>
      </c>
      <c r="E315" s="215">
        <v>4.2652999999999999</v>
      </c>
      <c r="F315" s="216" t="s">
        <v>598</v>
      </c>
      <c r="G315" s="215">
        <v>0.61</v>
      </c>
      <c r="H315" s="215">
        <v>12.734999999999999</v>
      </c>
      <c r="I315" s="100">
        <v>0.4</v>
      </c>
      <c r="J315" s="100">
        <v>297.3</v>
      </c>
      <c r="K315" s="100">
        <v>1.03</v>
      </c>
      <c r="L315" s="100">
        <v>0.33</v>
      </c>
      <c r="M315" s="217">
        <v>8.1060999999999998E-3</v>
      </c>
      <c r="N315" s="217">
        <v>1.0781000000000001E-2</v>
      </c>
      <c r="O315" s="100" t="s">
        <v>237</v>
      </c>
      <c r="P315" s="218">
        <f>(K315*AU)/(C315*pc)/Photometry!$AB$19</f>
        <v>0.16484915772005349</v>
      </c>
      <c r="Q315" s="522" t="s">
        <v>86</v>
      </c>
      <c r="R315" s="100">
        <v>999</v>
      </c>
      <c r="S315" s="103"/>
    </row>
    <row r="316" spans="1:19" x14ac:dyDescent="0.25">
      <c r="A316" s="497">
        <v>314</v>
      </c>
      <c r="B316" s="100">
        <v>5.7969999999999997</v>
      </c>
      <c r="C316" s="214">
        <v>97.087400000000002</v>
      </c>
      <c r="D316" s="215">
        <v>181.31299999999999</v>
      </c>
      <c r="E316" s="215">
        <v>76.905699999999996</v>
      </c>
      <c r="F316" s="216" t="s">
        <v>599</v>
      </c>
      <c r="G316" s="215">
        <v>6.3</v>
      </c>
      <c r="H316" s="215">
        <v>13.055999999999999</v>
      </c>
      <c r="I316" s="100">
        <v>0.4</v>
      </c>
      <c r="J316" s="100">
        <v>198.2</v>
      </c>
      <c r="K316" s="100">
        <v>0.78</v>
      </c>
      <c r="L316" s="100">
        <v>0.03</v>
      </c>
      <c r="M316" s="217">
        <v>8.0339999999999995E-3</v>
      </c>
      <c r="N316" s="217">
        <v>8.2749999999999994E-3</v>
      </c>
      <c r="O316" s="100" t="s">
        <v>277</v>
      </c>
      <c r="P316" s="218">
        <f>(K316*AU)/(C316*pc)/Photometry!$AB$19</f>
        <v>0.16338286105153357</v>
      </c>
      <c r="Q316" s="522" t="s">
        <v>86</v>
      </c>
      <c r="R316" s="100">
        <v>999</v>
      </c>
      <c r="S316" s="103"/>
    </row>
    <row r="317" spans="1:19" x14ac:dyDescent="0.25">
      <c r="A317" s="497">
        <v>315</v>
      </c>
      <c r="B317" s="100">
        <v>7.94</v>
      </c>
      <c r="C317" s="214">
        <v>32.383400000000002</v>
      </c>
      <c r="D317" s="215">
        <v>51.802</v>
      </c>
      <c r="E317" s="215">
        <v>-58.323700000000002</v>
      </c>
      <c r="F317" s="216" t="s">
        <v>600</v>
      </c>
      <c r="G317" s="215">
        <v>6.5000000000000002E-2</v>
      </c>
      <c r="H317" s="215">
        <v>9.0030000000000001</v>
      </c>
      <c r="I317" s="100">
        <v>0.4</v>
      </c>
      <c r="J317" s="100">
        <v>53.9</v>
      </c>
      <c r="K317" s="100">
        <v>0.26</v>
      </c>
      <c r="L317" s="100">
        <v>0.24</v>
      </c>
      <c r="M317" s="217">
        <v>8.0288000000000009E-3</v>
      </c>
      <c r="N317" s="217">
        <v>9.9556999999999996E-3</v>
      </c>
      <c r="O317" s="100" t="s">
        <v>318</v>
      </c>
      <c r="P317" s="218">
        <f>(K317*AU)/(C317*pc)/Photometry!$AB$19</f>
        <v>0.16327724682043535</v>
      </c>
      <c r="Q317" s="522" t="s">
        <v>87</v>
      </c>
      <c r="R317" s="100">
        <v>999</v>
      </c>
      <c r="S317" s="103"/>
    </row>
    <row r="318" spans="1:19" x14ac:dyDescent="0.25">
      <c r="A318" s="497">
        <v>316</v>
      </c>
      <c r="B318" s="100">
        <v>8.35</v>
      </c>
      <c r="C318" s="214">
        <v>185.52879999999999</v>
      </c>
      <c r="D318" s="215">
        <v>253.4316</v>
      </c>
      <c r="E318" s="215">
        <v>11.973699999999999</v>
      </c>
      <c r="F318" s="216" t="s">
        <v>601</v>
      </c>
      <c r="G318" s="215">
        <v>1.5</v>
      </c>
      <c r="H318" s="215">
        <v>12.909000000000001</v>
      </c>
      <c r="I318" s="100">
        <v>0.4</v>
      </c>
      <c r="J318" s="100">
        <v>689</v>
      </c>
      <c r="K318" s="100">
        <v>1.48</v>
      </c>
      <c r="L318" s="100">
        <v>0.22</v>
      </c>
      <c r="M318" s="217">
        <v>7.9772000000000003E-3</v>
      </c>
      <c r="N318" s="217">
        <v>9.7321999999999999E-3</v>
      </c>
      <c r="O318" s="100" t="s">
        <v>323</v>
      </c>
      <c r="P318" s="218">
        <f>(K318*AU)/(C318*pc)/Photometry!$AB$19</f>
        <v>0.16222775000500922</v>
      </c>
      <c r="Q318" s="522" t="s">
        <v>87</v>
      </c>
      <c r="R318" s="100">
        <v>999</v>
      </c>
      <c r="S318" s="103"/>
    </row>
    <row r="319" spans="1:19" x14ac:dyDescent="0.25">
      <c r="A319" s="497">
        <v>317</v>
      </c>
      <c r="B319" s="100">
        <v>7.7670000000000003</v>
      </c>
      <c r="C319" s="214">
        <v>19.316199999999998</v>
      </c>
      <c r="D319" s="215">
        <v>303.49939999999998</v>
      </c>
      <c r="E319" s="215">
        <v>-0.86687000000000003</v>
      </c>
      <c r="F319" s="216" t="s">
        <v>602</v>
      </c>
      <c r="G319" s="215">
        <v>0.73299999999999998</v>
      </c>
      <c r="H319" s="215">
        <v>12.794</v>
      </c>
      <c r="I319" s="100">
        <v>0.4</v>
      </c>
      <c r="J319" s="100">
        <v>24.4</v>
      </c>
      <c r="K319" s="100">
        <v>0.15</v>
      </c>
      <c r="L319" s="100">
        <v>0.01</v>
      </c>
      <c r="M319" s="217">
        <v>7.7654999999999998E-3</v>
      </c>
      <c r="N319" s="217">
        <v>7.8431999999999998E-3</v>
      </c>
      <c r="O319" s="100" t="s">
        <v>578</v>
      </c>
      <c r="P319" s="218">
        <f>(K319*AU)/(C319*pc)/Photometry!$AB$19</f>
        <v>0.15792261640940947</v>
      </c>
      <c r="Q319" s="522" t="s">
        <v>87</v>
      </c>
      <c r="R319" s="100">
        <v>999</v>
      </c>
      <c r="S319" s="103"/>
    </row>
    <row r="320" spans="1:19" x14ac:dyDescent="0.25">
      <c r="A320" s="497">
        <v>318</v>
      </c>
      <c r="B320" s="100">
        <v>6.92</v>
      </c>
      <c r="C320" s="214">
        <v>37.4251</v>
      </c>
      <c r="D320" s="215">
        <v>275.01639999999998</v>
      </c>
      <c r="E320" s="215">
        <v>-9.5957000000000008</v>
      </c>
      <c r="F320" s="216" t="s">
        <v>340</v>
      </c>
      <c r="G320" s="215">
        <v>7.6589999999999998</v>
      </c>
      <c r="H320" s="215">
        <v>12.958</v>
      </c>
      <c r="I320" s="100">
        <v>0.4</v>
      </c>
      <c r="J320" s="100">
        <v>58.1</v>
      </c>
      <c r="K320" s="100">
        <v>0.28999999999999998</v>
      </c>
      <c r="L320" s="100">
        <v>0.53</v>
      </c>
      <c r="M320" s="217">
        <v>7.7488000000000001E-3</v>
      </c>
      <c r="N320" s="217">
        <v>1.1856E-2</v>
      </c>
      <c r="O320" s="100" t="s">
        <v>341</v>
      </c>
      <c r="P320" s="218">
        <f>(K320*AU)/(C320*pc)/Photometry!$AB$19</f>
        <v>0.1575831557778703</v>
      </c>
      <c r="Q320" s="522" t="s">
        <v>86</v>
      </c>
      <c r="R320" s="100">
        <v>999</v>
      </c>
      <c r="S320" s="103"/>
    </row>
    <row r="321" spans="1:19" x14ac:dyDescent="0.25">
      <c r="A321" s="497">
        <v>319</v>
      </c>
      <c r="B321" s="100">
        <v>5.476</v>
      </c>
      <c r="C321" s="214">
        <v>134.77090000000001</v>
      </c>
      <c r="D321" s="215">
        <v>210.5949</v>
      </c>
      <c r="E321" s="215">
        <v>-27.4298</v>
      </c>
      <c r="F321" s="216" t="s">
        <v>603</v>
      </c>
      <c r="G321" s="215">
        <v>3.71</v>
      </c>
      <c r="H321" s="215">
        <v>13.116</v>
      </c>
      <c r="I321" s="100">
        <v>0.4</v>
      </c>
      <c r="J321" s="100">
        <v>345</v>
      </c>
      <c r="K321" s="100">
        <v>1.02</v>
      </c>
      <c r="L321" s="100">
        <v>0.68</v>
      </c>
      <c r="M321" s="217">
        <v>7.5684000000000003E-3</v>
      </c>
      <c r="N321" s="217">
        <v>1.2715000000000001E-2</v>
      </c>
      <c r="O321" s="100" t="s">
        <v>604</v>
      </c>
      <c r="P321" s="218">
        <f>(K321*AU)/(C321*pc)/Photometry!$AB$19</f>
        <v>0.1539142421175087</v>
      </c>
      <c r="Q321" s="522" t="s">
        <v>88</v>
      </c>
      <c r="R321" s="100">
        <v>999</v>
      </c>
      <c r="S321" s="103"/>
    </row>
    <row r="322" spans="1:19" x14ac:dyDescent="0.25">
      <c r="A322" s="497">
        <v>320</v>
      </c>
      <c r="B322" s="100">
        <v>9.9510000000000005</v>
      </c>
      <c r="C322" s="214">
        <v>9.2738999999999994</v>
      </c>
      <c r="D322" s="215">
        <v>70.732399999999998</v>
      </c>
      <c r="E322" s="215">
        <v>18.958200000000001</v>
      </c>
      <c r="F322" s="216" t="s">
        <v>605</v>
      </c>
      <c r="G322" s="215">
        <v>2.5999999999999999E-2</v>
      </c>
      <c r="H322" s="215">
        <v>1.7350000000000001</v>
      </c>
      <c r="I322" s="100">
        <v>0.4</v>
      </c>
      <c r="J322" s="100">
        <v>8.8000000000000007</v>
      </c>
      <c r="K322" s="100">
        <v>7.0000000000000007E-2</v>
      </c>
      <c r="L322" s="100">
        <v>0</v>
      </c>
      <c r="M322" s="217">
        <v>7.5481000000000003E-3</v>
      </c>
      <c r="N322" s="217">
        <v>7.5481000000000003E-3</v>
      </c>
      <c r="O322" s="100" t="s">
        <v>606</v>
      </c>
      <c r="P322" s="218">
        <f>(K322*AU)/(C322*pc)/Photometry!$AB$19</f>
        <v>0.15350071276458341</v>
      </c>
      <c r="Q322" s="522" t="s">
        <v>89</v>
      </c>
      <c r="R322" s="100">
        <v>999</v>
      </c>
      <c r="S322" s="103"/>
    </row>
    <row r="323" spans="1:19" x14ac:dyDescent="0.25">
      <c r="A323" s="497">
        <v>321</v>
      </c>
      <c r="B323" s="100">
        <v>7.52</v>
      </c>
      <c r="C323" s="214">
        <v>45.106000000000002</v>
      </c>
      <c r="D323" s="215">
        <v>209.3218</v>
      </c>
      <c r="E323" s="215">
        <v>-56.04</v>
      </c>
      <c r="F323" s="216" t="s">
        <v>607</v>
      </c>
      <c r="G323" s="215">
        <v>1.22</v>
      </c>
      <c r="H323" s="215">
        <v>12.874000000000001</v>
      </c>
      <c r="I323" s="100">
        <v>0.4</v>
      </c>
      <c r="J323" s="100">
        <v>63.3</v>
      </c>
      <c r="K323" s="100">
        <v>0.33</v>
      </c>
      <c r="L323" s="100">
        <v>0.03</v>
      </c>
      <c r="M323" s="217">
        <v>7.3160999999999999E-3</v>
      </c>
      <c r="N323" s="217">
        <v>7.5355999999999999E-3</v>
      </c>
      <c r="O323" s="100" t="s">
        <v>367</v>
      </c>
      <c r="P323" s="218">
        <f>(K323*AU)/(C323*pc)/Photometry!$AB$19</f>
        <v>0.14878336928107916</v>
      </c>
      <c r="Q323" s="522" t="s">
        <v>85</v>
      </c>
      <c r="R323" s="100">
        <v>999</v>
      </c>
      <c r="S323" s="103"/>
    </row>
    <row r="324" spans="1:19" x14ac:dyDescent="0.25">
      <c r="A324" s="497">
        <v>322</v>
      </c>
      <c r="B324" s="100">
        <v>6.5839999999999996</v>
      </c>
      <c r="C324" s="214">
        <v>17.838000000000001</v>
      </c>
      <c r="D324" s="215">
        <v>256.11599999999999</v>
      </c>
      <c r="E324" s="215">
        <v>-28.582699999999999</v>
      </c>
      <c r="F324" s="216" t="s">
        <v>608</v>
      </c>
      <c r="G324" s="215">
        <v>1.9E-2</v>
      </c>
      <c r="H324" s="215">
        <v>1.613</v>
      </c>
      <c r="I324" s="100">
        <v>0.4</v>
      </c>
      <c r="J324" s="100">
        <v>18.600000000000001</v>
      </c>
      <c r="K324" s="100">
        <v>0.13</v>
      </c>
      <c r="L324" s="100">
        <v>0.38</v>
      </c>
      <c r="M324" s="217">
        <v>7.2877999999999997E-3</v>
      </c>
      <c r="N324" s="217">
        <v>1.0057E-2</v>
      </c>
      <c r="O324" s="100" t="s">
        <v>566</v>
      </c>
      <c r="P324" s="218">
        <f>(K324*AU)/(C324*pc)/Photometry!$AB$19</f>
        <v>0.14820810614095994</v>
      </c>
      <c r="Q324" s="522" t="s">
        <v>87</v>
      </c>
      <c r="R324" s="100">
        <v>999</v>
      </c>
      <c r="S324" s="103"/>
    </row>
    <row r="325" spans="1:19" x14ac:dyDescent="0.25">
      <c r="A325" s="497">
        <v>323</v>
      </c>
      <c r="B325" s="100">
        <v>9.85</v>
      </c>
      <c r="C325" s="214">
        <v>111.9821</v>
      </c>
      <c r="D325" s="215">
        <v>38.545999999999999</v>
      </c>
      <c r="E325" s="215">
        <v>-12.3843</v>
      </c>
      <c r="F325" s="216" t="s">
        <v>609</v>
      </c>
      <c r="G325" s="215">
        <v>2.93</v>
      </c>
      <c r="H325" s="215">
        <v>13.032</v>
      </c>
      <c r="I325" s="100">
        <v>0.4</v>
      </c>
      <c r="J325" s="100">
        <v>290</v>
      </c>
      <c r="K325" s="100">
        <v>0.81</v>
      </c>
      <c r="L325" s="100">
        <v>0.27</v>
      </c>
      <c r="M325" s="217">
        <v>7.2332999999999998E-3</v>
      </c>
      <c r="N325" s="217">
        <v>9.1862999999999997E-3</v>
      </c>
      <c r="O325" s="100" t="s">
        <v>610</v>
      </c>
      <c r="P325" s="218">
        <f>(K325*AU)/(C325*pc)/Photometry!$AB$19</f>
        <v>0.14709949315713983</v>
      </c>
      <c r="Q325" s="522" t="s">
        <v>84</v>
      </c>
      <c r="R325" s="100">
        <v>999</v>
      </c>
      <c r="S325" s="103"/>
    </row>
    <row r="326" spans="1:19" x14ac:dyDescent="0.25">
      <c r="A326" s="497">
        <v>324</v>
      </c>
      <c r="B326" s="100">
        <v>6.42</v>
      </c>
      <c r="C326" s="214">
        <v>32.851500000000001</v>
      </c>
      <c r="D326" s="215">
        <v>29.29</v>
      </c>
      <c r="E326" s="215">
        <v>-10.2424</v>
      </c>
      <c r="F326" s="216" t="s">
        <v>306</v>
      </c>
      <c r="G326" s="215">
        <v>7.9000000000000001E-2</v>
      </c>
      <c r="H326" s="215">
        <v>9.9339999999999993</v>
      </c>
      <c r="I326" s="100">
        <v>0.4</v>
      </c>
      <c r="J326" s="100">
        <v>37.9</v>
      </c>
      <c r="K326" s="100">
        <v>0.23</v>
      </c>
      <c r="L326" s="100">
        <v>0.3</v>
      </c>
      <c r="M326" s="217">
        <v>7.0012E-3</v>
      </c>
      <c r="N326" s="217">
        <v>9.1015999999999996E-3</v>
      </c>
      <c r="O326" s="100" t="s">
        <v>307</v>
      </c>
      <c r="P326" s="218">
        <f>(K326*AU)/(C326*pc)/Photometry!$AB$19</f>
        <v>0.14237947813851423</v>
      </c>
      <c r="Q326" s="522" t="s">
        <v>87</v>
      </c>
      <c r="R326" s="100">
        <v>999</v>
      </c>
      <c r="S326" s="103"/>
    </row>
    <row r="327" spans="1:19" x14ac:dyDescent="0.25">
      <c r="A327" s="497">
        <v>325</v>
      </c>
      <c r="B327" s="100">
        <v>7.484</v>
      </c>
      <c r="C327" s="214">
        <v>38.565399999999997</v>
      </c>
      <c r="D327" s="215">
        <v>73.909899999999993</v>
      </c>
      <c r="E327" s="215">
        <v>-23.241900000000001</v>
      </c>
      <c r="F327" s="216" t="s">
        <v>502</v>
      </c>
      <c r="G327" s="215">
        <v>0.05</v>
      </c>
      <c r="H327" s="215">
        <v>7.7469999999999999</v>
      </c>
      <c r="I327" s="100">
        <v>0.4</v>
      </c>
      <c r="J327" s="100">
        <v>51.3</v>
      </c>
      <c r="K327" s="100">
        <v>0.27</v>
      </c>
      <c r="L327" s="100">
        <v>0.11</v>
      </c>
      <c r="M327" s="217">
        <v>7.0010999999999997E-3</v>
      </c>
      <c r="N327" s="217">
        <v>7.7711999999999998E-3</v>
      </c>
      <c r="O327" s="100" t="s">
        <v>266</v>
      </c>
      <c r="P327" s="218">
        <f>(K327*AU)/(C327*pc)/Photometry!$AB$19</f>
        <v>0.14237727905213954</v>
      </c>
      <c r="Q327" s="522" t="s">
        <v>85</v>
      </c>
      <c r="R327" s="100">
        <v>999</v>
      </c>
      <c r="S327" s="103"/>
    </row>
    <row r="328" spans="1:19" x14ac:dyDescent="0.25">
      <c r="A328" s="497">
        <v>326</v>
      </c>
      <c r="B328" s="100">
        <v>8.9600000000000009</v>
      </c>
      <c r="C328" s="214">
        <v>25.920200000000001</v>
      </c>
      <c r="D328" s="215">
        <v>176.17070000000001</v>
      </c>
      <c r="E328" s="215">
        <v>30.959299999999999</v>
      </c>
      <c r="F328" s="216" t="s">
        <v>420</v>
      </c>
      <c r="G328" s="215">
        <v>0.41</v>
      </c>
      <c r="H328" s="215">
        <v>12.52</v>
      </c>
      <c r="I328" s="100">
        <v>0.4</v>
      </c>
      <c r="J328" s="100">
        <v>32</v>
      </c>
      <c r="K328" s="100">
        <v>0.18</v>
      </c>
      <c r="L328" s="100">
        <v>0.05</v>
      </c>
      <c r="M328" s="217">
        <v>6.9443999999999999E-3</v>
      </c>
      <c r="N328" s="217">
        <v>7.2915999999999996E-3</v>
      </c>
      <c r="O328" s="100" t="s">
        <v>421</v>
      </c>
      <c r="P328" s="218">
        <f>(K328*AU)/(C328*pc)/Photometry!$AB$19</f>
        <v>0.14122413452461485</v>
      </c>
      <c r="Q328" s="522" t="s">
        <v>88</v>
      </c>
      <c r="R328" s="100">
        <v>999</v>
      </c>
      <c r="S328" s="103"/>
    </row>
    <row r="329" spans="1:19" x14ac:dyDescent="0.25">
      <c r="A329" s="497">
        <v>327</v>
      </c>
      <c r="B329" s="100">
        <v>9.8130000000000006</v>
      </c>
      <c r="C329" s="214">
        <v>8.8826000000000001</v>
      </c>
      <c r="D329" s="215">
        <v>173.8623</v>
      </c>
      <c r="E329" s="215">
        <v>-32.54</v>
      </c>
      <c r="F329" s="216" t="s">
        <v>240</v>
      </c>
      <c r="G329" s="215">
        <v>1.7999999999999999E-2</v>
      </c>
      <c r="H329" s="215">
        <v>1.591</v>
      </c>
      <c r="I329" s="100">
        <v>0.4</v>
      </c>
      <c r="J329" s="100">
        <v>7.4</v>
      </c>
      <c r="K329" s="100">
        <v>0.06</v>
      </c>
      <c r="L329" s="100">
        <v>0.08</v>
      </c>
      <c r="M329" s="217">
        <v>6.7548E-3</v>
      </c>
      <c r="N329" s="217">
        <v>7.2951999999999999E-3</v>
      </c>
      <c r="O329" s="100" t="s">
        <v>235</v>
      </c>
      <c r="P329" s="218">
        <f>(K329*AU)/(C329*pc)/Photometry!$AB$19</f>
        <v>0.1373681058738403</v>
      </c>
      <c r="Q329" s="522" t="s">
        <v>89</v>
      </c>
      <c r="R329" s="100">
        <v>999</v>
      </c>
      <c r="S329" s="103"/>
    </row>
    <row r="330" spans="1:19" x14ac:dyDescent="0.25">
      <c r="A330" s="497">
        <v>328</v>
      </c>
      <c r="B330" s="100">
        <v>8.1270000000000007</v>
      </c>
      <c r="C330" s="214">
        <v>34.352499999999999</v>
      </c>
      <c r="D330" s="215">
        <v>97.305000000000007</v>
      </c>
      <c r="E330" s="215">
        <v>10.9339</v>
      </c>
      <c r="F330" s="216" t="s">
        <v>611</v>
      </c>
      <c r="G330" s="215">
        <v>0.47</v>
      </c>
      <c r="H330" s="215">
        <v>12.584</v>
      </c>
      <c r="I330" s="100">
        <v>0.4</v>
      </c>
      <c r="J330" s="100">
        <v>43.6</v>
      </c>
      <c r="K330" s="100">
        <v>0.23</v>
      </c>
      <c r="L330" s="100">
        <v>0.38</v>
      </c>
      <c r="M330" s="217">
        <v>6.6953000000000004E-3</v>
      </c>
      <c r="N330" s="217">
        <v>9.2394999999999994E-3</v>
      </c>
      <c r="O330" s="100" t="s">
        <v>264</v>
      </c>
      <c r="P330" s="218">
        <f>(K330*AU)/(C330*pc)/Photometry!$AB$19</f>
        <v>0.13615834149093661</v>
      </c>
      <c r="Q330" s="522" t="s">
        <v>88</v>
      </c>
      <c r="R330" s="100">
        <v>999</v>
      </c>
      <c r="S330" s="103"/>
    </row>
    <row r="331" spans="1:19" x14ac:dyDescent="0.25">
      <c r="A331" s="497">
        <v>329</v>
      </c>
      <c r="B331" s="100">
        <v>7.53</v>
      </c>
      <c r="C331" s="214">
        <v>17.956499999999998</v>
      </c>
      <c r="D331" s="215">
        <v>171.69280000000001</v>
      </c>
      <c r="E331" s="215">
        <v>3.0063</v>
      </c>
      <c r="F331" s="216" t="s">
        <v>245</v>
      </c>
      <c r="G331" s="215">
        <v>0.109</v>
      </c>
      <c r="H331" s="215">
        <v>10.727</v>
      </c>
      <c r="I331" s="100">
        <v>0.4</v>
      </c>
      <c r="J331" s="100">
        <v>17</v>
      </c>
      <c r="K331" s="100">
        <v>0.12</v>
      </c>
      <c r="L331" s="100">
        <v>0.25</v>
      </c>
      <c r="M331" s="217">
        <v>6.6828E-3</v>
      </c>
      <c r="N331" s="217">
        <v>8.3534999999999998E-3</v>
      </c>
      <c r="O331" s="100" t="s">
        <v>246</v>
      </c>
      <c r="P331" s="218">
        <f>(K331*AU)/(C331*pc)/Photometry!$AB$19</f>
        <v>0.1359046514894299</v>
      </c>
      <c r="Q331" s="522" t="s">
        <v>87</v>
      </c>
      <c r="R331" s="100">
        <v>999</v>
      </c>
      <c r="S331" s="103"/>
    </row>
    <row r="332" spans="1:19" x14ac:dyDescent="0.25">
      <c r="A332" s="497">
        <v>330</v>
      </c>
      <c r="B332" s="100">
        <v>8.0749999999999993</v>
      </c>
      <c r="C332" s="214">
        <v>25.9</v>
      </c>
      <c r="D332" s="215">
        <v>86.132999999999996</v>
      </c>
      <c r="E332" s="215">
        <v>-70.143600000000006</v>
      </c>
      <c r="F332" s="216" t="s">
        <v>612</v>
      </c>
      <c r="G332" s="215">
        <v>1.6E-2</v>
      </c>
      <c r="H332" s="215">
        <v>1.5469999999999999</v>
      </c>
      <c r="I332" s="100">
        <v>0.4</v>
      </c>
      <c r="J332" s="100">
        <v>33.9</v>
      </c>
      <c r="K332" s="100">
        <v>0.17</v>
      </c>
      <c r="L332" s="100">
        <v>0.2</v>
      </c>
      <c r="M332" s="217">
        <v>6.5636999999999996E-3</v>
      </c>
      <c r="N332" s="217">
        <v>7.8764000000000004E-3</v>
      </c>
      <c r="O332" s="100" t="s">
        <v>261</v>
      </c>
      <c r="P332" s="218">
        <f>(K332*AU)/(C332*pc)/Photometry!$AB$19</f>
        <v>0.13348237408619407</v>
      </c>
      <c r="Q332" s="522" t="s">
        <v>87</v>
      </c>
      <c r="R332" s="100">
        <v>999</v>
      </c>
      <c r="S332" s="103"/>
    </row>
    <row r="333" spans="1:19" x14ac:dyDescent="0.25">
      <c r="A333" s="497">
        <v>331</v>
      </c>
      <c r="B333" s="100">
        <v>9</v>
      </c>
      <c r="C333" s="214">
        <v>100.70489999999999</v>
      </c>
      <c r="D333" s="215">
        <v>129.31870000000001</v>
      </c>
      <c r="E333" s="215">
        <v>-41.319099999999999</v>
      </c>
      <c r="F333" s="216" t="s">
        <v>571</v>
      </c>
      <c r="G333" s="215">
        <v>2.9</v>
      </c>
      <c r="H333" s="215">
        <v>13.029</v>
      </c>
      <c r="I333" s="100">
        <v>0.4</v>
      </c>
      <c r="J333" s="100">
        <v>188.3</v>
      </c>
      <c r="K333" s="100">
        <v>0.66</v>
      </c>
      <c r="L333" s="100">
        <v>0.19</v>
      </c>
      <c r="M333" s="217">
        <v>6.5538000000000003E-3</v>
      </c>
      <c r="N333" s="217">
        <v>7.7990000000000004E-3</v>
      </c>
      <c r="O333" s="100" t="s">
        <v>341</v>
      </c>
      <c r="P333" s="218">
        <f>(K333*AU)/(C333*pc)/Photometry!$AB$19</f>
        <v>0.13328095563954401</v>
      </c>
      <c r="Q333" s="522" t="s">
        <v>86</v>
      </c>
      <c r="R333" s="100">
        <v>999</v>
      </c>
      <c r="S333" s="103"/>
    </row>
    <row r="334" spans="1:19" x14ac:dyDescent="0.25">
      <c r="A334" s="497">
        <v>332</v>
      </c>
      <c r="B334" s="100">
        <v>8.7100000000000009</v>
      </c>
      <c r="C334" s="214">
        <v>243.9024</v>
      </c>
      <c r="D334" s="215">
        <v>176.59809999999999</v>
      </c>
      <c r="E334" s="215">
        <v>14.124000000000001</v>
      </c>
      <c r="F334" s="216" t="s">
        <v>613</v>
      </c>
      <c r="G334" s="215">
        <v>2.6</v>
      </c>
      <c r="H334" s="215">
        <v>12.997</v>
      </c>
      <c r="I334" s="100">
        <v>0.4</v>
      </c>
      <c r="J334" s="100">
        <v>520</v>
      </c>
      <c r="K334" s="100">
        <v>1.57</v>
      </c>
      <c r="L334" s="100">
        <v>0.68</v>
      </c>
      <c r="M334" s="217">
        <v>6.437E-3</v>
      </c>
      <c r="N334" s="217">
        <v>1.0814000000000001E-2</v>
      </c>
      <c r="O334" s="100" t="s">
        <v>614</v>
      </c>
      <c r="P334" s="218">
        <f>(K334*AU)/(C334*pc)/Photometry!$AB$19</f>
        <v>0.13090563557792714</v>
      </c>
      <c r="Q334" s="522" t="s">
        <v>87</v>
      </c>
      <c r="R334" s="100">
        <v>999</v>
      </c>
      <c r="S334" s="103"/>
    </row>
    <row r="335" spans="1:19" x14ac:dyDescent="0.25">
      <c r="A335" s="497">
        <v>333</v>
      </c>
      <c r="B335" s="100">
        <v>5.95</v>
      </c>
      <c r="C335" s="214">
        <v>12.4938</v>
      </c>
      <c r="D335" s="215">
        <v>124.5998</v>
      </c>
      <c r="E335" s="215">
        <v>-12.632199999999999</v>
      </c>
      <c r="F335" s="216" t="s">
        <v>384</v>
      </c>
      <c r="G335" s="215">
        <v>3.3000000000000002E-2</v>
      </c>
      <c r="H335" s="215">
        <v>3.87</v>
      </c>
      <c r="I335" s="100">
        <v>0.4</v>
      </c>
      <c r="J335" s="100">
        <v>8.6999999999999993</v>
      </c>
      <c r="K335" s="100">
        <v>0.08</v>
      </c>
      <c r="L335" s="100">
        <v>0.1</v>
      </c>
      <c r="M335" s="217">
        <v>6.4032000000000004E-3</v>
      </c>
      <c r="N335" s="217">
        <v>7.0435000000000003E-3</v>
      </c>
      <c r="O335" s="100" t="s">
        <v>385</v>
      </c>
      <c r="P335" s="218">
        <f>(K335*AU)/(C335*pc)/Photometry!$AB$19</f>
        <v>0.13021775464470098</v>
      </c>
      <c r="Q335" s="522" t="s">
        <v>86</v>
      </c>
      <c r="R335" s="100">
        <v>999</v>
      </c>
      <c r="S335" s="103"/>
    </row>
    <row r="336" spans="1:19" x14ac:dyDescent="0.25">
      <c r="A336" s="497">
        <v>334</v>
      </c>
      <c r="B336" s="100">
        <v>8.69</v>
      </c>
      <c r="C336" s="214">
        <v>43.9754</v>
      </c>
      <c r="D336" s="215">
        <v>85.007199999999997</v>
      </c>
      <c r="E336" s="215">
        <v>6.0606</v>
      </c>
      <c r="F336" s="216" t="s">
        <v>322</v>
      </c>
      <c r="G336" s="215">
        <v>2.8130000000000002</v>
      </c>
      <c r="H336" s="215">
        <v>13.02</v>
      </c>
      <c r="I336" s="100">
        <v>0.4</v>
      </c>
      <c r="J336" s="100">
        <v>55</v>
      </c>
      <c r="K336" s="100">
        <v>0.28000000000000003</v>
      </c>
      <c r="L336" s="100">
        <v>0.68</v>
      </c>
      <c r="M336" s="217">
        <v>6.3671999999999999E-3</v>
      </c>
      <c r="N336" s="217">
        <v>1.0697E-2</v>
      </c>
      <c r="O336" s="100" t="s">
        <v>323</v>
      </c>
      <c r="P336" s="218">
        <f>(K336*AU)/(C336*pc)/Photometry!$AB$19</f>
        <v>0.12948605448568698</v>
      </c>
      <c r="Q336" s="522" t="s">
        <v>87</v>
      </c>
      <c r="R336" s="100">
        <v>999</v>
      </c>
      <c r="S336" s="103"/>
    </row>
    <row r="337" spans="1:19" x14ac:dyDescent="0.25">
      <c r="A337" s="497">
        <v>335</v>
      </c>
      <c r="B337" s="100">
        <v>8.2539999999999996</v>
      </c>
      <c r="C337" s="214">
        <v>157.97790000000001</v>
      </c>
      <c r="D337" s="215">
        <v>166.18520000000001</v>
      </c>
      <c r="E337" s="215">
        <v>-2.5131999999999999</v>
      </c>
      <c r="F337" s="216" t="s">
        <v>615</v>
      </c>
      <c r="G337" s="215">
        <v>0.9</v>
      </c>
      <c r="H337" s="215">
        <v>12.824</v>
      </c>
      <c r="I337" s="100">
        <v>0.4</v>
      </c>
      <c r="J337" s="100">
        <v>361.1</v>
      </c>
      <c r="K337" s="100">
        <v>0.99</v>
      </c>
      <c r="L337" s="100">
        <v>0.28000000000000003</v>
      </c>
      <c r="M337" s="217">
        <v>6.2667E-3</v>
      </c>
      <c r="N337" s="217">
        <v>8.0213999999999997E-3</v>
      </c>
      <c r="O337" s="100" t="s">
        <v>323</v>
      </c>
      <c r="P337" s="218">
        <f>(K337*AU)/(C337*pc)/Photometry!$AB$19</f>
        <v>0.12744230657818001</v>
      </c>
      <c r="Q337" s="522" t="s">
        <v>87</v>
      </c>
      <c r="R337" s="100">
        <v>999</v>
      </c>
      <c r="S337" s="103"/>
    </row>
    <row r="338" spans="1:19" x14ac:dyDescent="0.25">
      <c r="A338" s="497">
        <v>336</v>
      </c>
      <c r="B338" s="100">
        <v>6.4379999999999997</v>
      </c>
      <c r="C338" s="214">
        <v>122.24939999999999</v>
      </c>
      <c r="D338" s="215">
        <v>173.76560000000001</v>
      </c>
      <c r="E338" s="215">
        <v>20.441500000000001</v>
      </c>
      <c r="F338" s="216" t="s">
        <v>616</v>
      </c>
      <c r="G338" s="215">
        <v>1.7</v>
      </c>
      <c r="H338" s="215">
        <v>12.923</v>
      </c>
      <c r="I338" s="100">
        <v>0.4</v>
      </c>
      <c r="J338" s="100">
        <v>157.6</v>
      </c>
      <c r="K338" s="100">
        <v>0.76</v>
      </c>
      <c r="L338" s="100">
        <v>0.09</v>
      </c>
      <c r="M338" s="217">
        <v>6.2167999999999998E-3</v>
      </c>
      <c r="N338" s="217">
        <v>6.7762999999999999E-3</v>
      </c>
      <c r="O338" s="100" t="s">
        <v>277</v>
      </c>
      <c r="P338" s="218">
        <f>(K338*AU)/(C338*pc)/Photometry!$AB$19</f>
        <v>0.12642752061204121</v>
      </c>
      <c r="Q338" s="522" t="s">
        <v>87</v>
      </c>
      <c r="R338" s="100">
        <v>999</v>
      </c>
      <c r="S338" s="103"/>
    </row>
    <row r="339" spans="1:19" x14ac:dyDescent="0.25">
      <c r="A339" s="497">
        <v>337</v>
      </c>
      <c r="B339" s="100">
        <v>6.0739999999999998</v>
      </c>
      <c r="C339" s="214">
        <v>17.727399999999999</v>
      </c>
      <c r="D339" s="215">
        <v>301.38650000000001</v>
      </c>
      <c r="E339" s="215">
        <v>-67.320899999999995</v>
      </c>
      <c r="F339" s="216" t="s">
        <v>617</v>
      </c>
      <c r="G339" s="215">
        <v>3.2000000000000001E-2</v>
      </c>
      <c r="H339" s="215">
        <v>3.5470000000000002</v>
      </c>
      <c r="I339" s="100">
        <v>0.4</v>
      </c>
      <c r="J339" s="100">
        <v>14.3</v>
      </c>
      <c r="K339" s="100">
        <v>0.11</v>
      </c>
      <c r="L339" s="100">
        <v>0.23</v>
      </c>
      <c r="M339" s="217">
        <v>6.2050999999999999E-3</v>
      </c>
      <c r="N339" s="217">
        <v>7.6322999999999998E-3</v>
      </c>
      <c r="O339" s="100" t="s">
        <v>367</v>
      </c>
      <c r="P339" s="218">
        <f>(K339*AU)/(C339*pc)/Photometry!$AB$19</f>
        <v>0.12618926360309193</v>
      </c>
      <c r="Q339" s="522" t="s">
        <v>85</v>
      </c>
      <c r="R339" s="100">
        <v>999</v>
      </c>
      <c r="S339" s="103"/>
    </row>
    <row r="340" spans="1:19" x14ac:dyDescent="0.25">
      <c r="A340" s="497">
        <v>338</v>
      </c>
      <c r="B340" s="100">
        <v>7.4859999999999998</v>
      </c>
      <c r="C340" s="214">
        <v>42.194099999999999</v>
      </c>
      <c r="D340" s="215">
        <v>161.56299999999999</v>
      </c>
      <c r="E340" s="215">
        <v>-41.464399999999998</v>
      </c>
      <c r="F340" s="216" t="s">
        <v>618</v>
      </c>
      <c r="G340" s="215">
        <v>3.2000000000000001E-2</v>
      </c>
      <c r="H340" s="215">
        <v>3.593</v>
      </c>
      <c r="I340" s="100">
        <v>0.4</v>
      </c>
      <c r="J340" s="100">
        <v>46</v>
      </c>
      <c r="K340" s="100">
        <v>0.26</v>
      </c>
      <c r="L340" s="100">
        <v>0.24</v>
      </c>
      <c r="M340" s="217">
        <v>6.1619999999999999E-3</v>
      </c>
      <c r="N340" s="217">
        <v>7.6408999999999999E-3</v>
      </c>
      <c r="O340" s="100" t="s">
        <v>619</v>
      </c>
      <c r="P340" s="218">
        <f>(K340*AU)/(C340*pc)/Photometry!$AB$19</f>
        <v>0.12531307445080914</v>
      </c>
      <c r="Q340" s="522" t="s">
        <v>85</v>
      </c>
      <c r="R340" s="100">
        <v>999</v>
      </c>
      <c r="S340" s="103"/>
    </row>
    <row r="341" spans="1:19" x14ac:dyDescent="0.25">
      <c r="A341" s="497">
        <v>339</v>
      </c>
      <c r="B341" s="100">
        <v>7.1470000000000002</v>
      </c>
      <c r="C341" s="214">
        <v>12.9955</v>
      </c>
      <c r="D341" s="215">
        <v>88.517700000000005</v>
      </c>
      <c r="E341" s="215">
        <v>-60.023499999999999</v>
      </c>
      <c r="F341" s="216" t="s">
        <v>577</v>
      </c>
      <c r="G341" s="215">
        <v>2.1999999999999999E-2</v>
      </c>
      <c r="H341" s="215">
        <v>1.6559999999999999</v>
      </c>
      <c r="I341" s="100">
        <v>0.4</v>
      </c>
      <c r="J341" s="100">
        <v>9.6</v>
      </c>
      <c r="K341" s="100">
        <v>0.08</v>
      </c>
      <c r="L341" s="100">
        <v>0</v>
      </c>
      <c r="M341" s="217">
        <v>6.156E-3</v>
      </c>
      <c r="N341" s="217">
        <v>6.156E-3</v>
      </c>
      <c r="O341" s="100" t="s">
        <v>578</v>
      </c>
      <c r="P341" s="218">
        <f>(K341*AU)/(C341*pc)/Photometry!$AB$19</f>
        <v>0.12519061082528302</v>
      </c>
      <c r="Q341" s="522" t="s">
        <v>87</v>
      </c>
      <c r="R341" s="100">
        <v>999</v>
      </c>
      <c r="S341" s="103"/>
    </row>
    <row r="342" spans="1:19" x14ac:dyDescent="0.25">
      <c r="A342" s="497">
        <v>340</v>
      </c>
      <c r="B342" s="100">
        <v>6.74</v>
      </c>
      <c r="C342" s="214">
        <v>52.328600000000002</v>
      </c>
      <c r="D342" s="215">
        <v>287.26830000000001</v>
      </c>
      <c r="E342" s="215">
        <v>34.600499999999997</v>
      </c>
      <c r="F342" s="216" t="s">
        <v>620</v>
      </c>
      <c r="G342" s="215">
        <v>6.2919999999999998</v>
      </c>
      <c r="H342" s="215">
        <v>13.055999999999999</v>
      </c>
      <c r="I342" s="100">
        <v>0.4</v>
      </c>
      <c r="J342" s="100">
        <v>71.5</v>
      </c>
      <c r="K342" s="100">
        <v>0.32</v>
      </c>
      <c r="L342" s="100">
        <v>0.12</v>
      </c>
      <c r="M342" s="217">
        <v>6.1152000000000003E-3</v>
      </c>
      <c r="N342" s="217">
        <v>6.8490000000000001E-3</v>
      </c>
      <c r="O342" s="100" t="s">
        <v>233</v>
      </c>
      <c r="P342" s="218">
        <f>(K342*AU)/(C342*pc)/Photometry!$AB$19</f>
        <v>0.12436140718306742</v>
      </c>
      <c r="Q342" s="522" t="s">
        <v>85</v>
      </c>
      <c r="R342" s="100">
        <v>999</v>
      </c>
      <c r="S342" s="103"/>
    </row>
    <row r="343" spans="1:19" x14ac:dyDescent="0.25">
      <c r="A343" s="497">
        <v>341</v>
      </c>
      <c r="B343" s="100">
        <v>5.649</v>
      </c>
      <c r="C343" s="214">
        <v>14.8126</v>
      </c>
      <c r="D343" s="215">
        <v>230.45060000000001</v>
      </c>
      <c r="E343" s="215">
        <v>-48.317599999999999</v>
      </c>
      <c r="F343" s="216" t="s">
        <v>464</v>
      </c>
      <c r="G343" s="215">
        <v>1.7000000000000001E-2</v>
      </c>
      <c r="H343" s="215">
        <v>1.556</v>
      </c>
      <c r="I343" s="100">
        <v>0.4</v>
      </c>
      <c r="J343" s="100">
        <v>11.6</v>
      </c>
      <c r="K343" s="100">
        <v>0.09</v>
      </c>
      <c r="L343" s="100">
        <v>0.18</v>
      </c>
      <c r="M343" s="217">
        <v>6.0759000000000004E-3</v>
      </c>
      <c r="N343" s="217">
        <v>7.1695999999999999E-3</v>
      </c>
      <c r="O343" s="100" t="s">
        <v>312</v>
      </c>
      <c r="P343" s="218">
        <f>(K343*AU)/(C343*pc)/Photometry!$AB$19</f>
        <v>0.12356229870869806</v>
      </c>
      <c r="Q343" s="522" t="s">
        <v>86</v>
      </c>
      <c r="R343" s="100">
        <v>999</v>
      </c>
      <c r="S343" s="103"/>
    </row>
    <row r="344" spans="1:19" x14ac:dyDescent="0.25">
      <c r="A344" s="497">
        <v>342</v>
      </c>
      <c r="B344" s="100">
        <v>6.5650000000000004</v>
      </c>
      <c r="C344" s="214">
        <v>125.3133</v>
      </c>
      <c r="D344" s="215">
        <v>242.5163</v>
      </c>
      <c r="E344" s="215">
        <v>26.742699999999999</v>
      </c>
      <c r="F344" s="216" t="s">
        <v>621</v>
      </c>
      <c r="G344" s="215">
        <v>2.9</v>
      </c>
      <c r="H344" s="215">
        <v>13.029</v>
      </c>
      <c r="I344" s="100">
        <v>0.4</v>
      </c>
      <c r="J344" s="100">
        <v>176.3</v>
      </c>
      <c r="K344" s="100">
        <v>0.76</v>
      </c>
      <c r="L344" s="100">
        <v>0.11</v>
      </c>
      <c r="M344" s="217">
        <v>6.0648000000000004E-3</v>
      </c>
      <c r="N344" s="217">
        <v>6.7318999999999999E-3</v>
      </c>
      <c r="O344" s="100" t="s">
        <v>411</v>
      </c>
      <c r="P344" s="218">
        <f>(K344*AU)/(C344*pc)/Photometry!$AB$19</f>
        <v>0.1233363780086365</v>
      </c>
      <c r="Q344" s="522" t="s">
        <v>87</v>
      </c>
      <c r="R344" s="100">
        <v>999</v>
      </c>
      <c r="S344" s="103"/>
    </row>
    <row r="345" spans="1:19" x14ac:dyDescent="0.25">
      <c r="A345" s="497">
        <v>343</v>
      </c>
      <c r="B345" s="100">
        <v>4.74</v>
      </c>
      <c r="C345" s="214">
        <v>8.5550999999999995</v>
      </c>
      <c r="D345" s="215">
        <v>199.60130000000001</v>
      </c>
      <c r="E345" s="215">
        <v>-18.311199999999999</v>
      </c>
      <c r="F345" s="216" t="s">
        <v>372</v>
      </c>
      <c r="G345" s="215">
        <v>1.6E-2</v>
      </c>
      <c r="H345" s="215">
        <v>1.5429999999999999</v>
      </c>
      <c r="I345" s="100">
        <v>0.4</v>
      </c>
      <c r="J345" s="100">
        <v>4.2</v>
      </c>
      <c r="K345" s="100">
        <v>0.05</v>
      </c>
      <c r="L345" s="100">
        <v>0.12</v>
      </c>
      <c r="M345" s="217">
        <v>5.8444999999999999E-3</v>
      </c>
      <c r="N345" s="217">
        <v>6.5458000000000001E-3</v>
      </c>
      <c r="O345" s="100" t="s">
        <v>373</v>
      </c>
      <c r="P345" s="218">
        <f>(K345*AU)/(C345*pc)/Photometry!$AB$19</f>
        <v>0.11885560827605501</v>
      </c>
      <c r="Q345" s="522" t="s">
        <v>86</v>
      </c>
      <c r="R345" s="100">
        <v>999</v>
      </c>
      <c r="S345" s="103"/>
    </row>
    <row r="346" spans="1:19" x14ac:dyDescent="0.25">
      <c r="A346" s="497">
        <v>344</v>
      </c>
      <c r="B346" s="100">
        <v>5.15</v>
      </c>
      <c r="C346" s="214">
        <v>15.511100000000001</v>
      </c>
      <c r="D346" s="215">
        <v>266.03629999999998</v>
      </c>
      <c r="E346" s="215">
        <v>-51.834099999999999</v>
      </c>
      <c r="F346" s="216" t="s">
        <v>243</v>
      </c>
      <c r="G346" s="215">
        <v>3.3000000000000002E-2</v>
      </c>
      <c r="H346" s="215">
        <v>3.919</v>
      </c>
      <c r="I346" s="100">
        <v>0.4</v>
      </c>
      <c r="J346" s="100">
        <v>9.6</v>
      </c>
      <c r="K346" s="100">
        <v>0.09</v>
      </c>
      <c r="L346" s="100">
        <v>0.17</v>
      </c>
      <c r="M346" s="217">
        <v>5.8022999999999998E-3</v>
      </c>
      <c r="N346" s="217">
        <v>6.7886999999999999E-3</v>
      </c>
      <c r="O346" s="100" t="s">
        <v>244</v>
      </c>
      <c r="P346" s="218">
        <f>(K346*AU)/(C346*pc)/Photometry!$AB$19</f>
        <v>0.11799800825553705</v>
      </c>
      <c r="Q346" s="522" t="s">
        <v>86</v>
      </c>
      <c r="R346" s="100">
        <v>999</v>
      </c>
      <c r="S346" s="103"/>
    </row>
    <row r="347" spans="1:19" x14ac:dyDescent="0.25">
      <c r="A347" s="497">
        <v>345</v>
      </c>
      <c r="B347" s="100">
        <v>10.237</v>
      </c>
      <c r="C347" s="214">
        <v>23.015000000000001</v>
      </c>
      <c r="D347" s="215">
        <v>41.678699999999999</v>
      </c>
      <c r="E347" s="215">
        <v>-23.086600000000001</v>
      </c>
      <c r="F347" s="216" t="s">
        <v>622</v>
      </c>
      <c r="G347" s="215">
        <v>0.35</v>
      </c>
      <c r="H347" s="215">
        <v>12.345000000000001</v>
      </c>
      <c r="I347" s="100">
        <v>0.4</v>
      </c>
      <c r="J347" s="100">
        <v>57.4</v>
      </c>
      <c r="K347" s="100">
        <v>0.13</v>
      </c>
      <c r="L347" s="100">
        <v>0.16</v>
      </c>
      <c r="M347" s="217">
        <v>5.6484999999999999E-3</v>
      </c>
      <c r="N347" s="217">
        <v>6.5522999999999996E-3</v>
      </c>
      <c r="O347" s="100" t="s">
        <v>623</v>
      </c>
      <c r="P347" s="218">
        <f>(K347*AU)/(C347*pc)/Photometry!$AB$19</f>
        <v>0.11487013675178986</v>
      </c>
      <c r="Q347" s="522" t="s">
        <v>89</v>
      </c>
      <c r="R347" s="100">
        <v>999</v>
      </c>
      <c r="S347" s="103"/>
    </row>
    <row r="348" spans="1:19" x14ac:dyDescent="0.25">
      <c r="A348" s="497">
        <v>346</v>
      </c>
      <c r="B348" s="100">
        <v>8.3000000000000007</v>
      </c>
      <c r="C348" s="214">
        <v>42.955300000000001</v>
      </c>
      <c r="D348" s="215">
        <v>245.75059999999999</v>
      </c>
      <c r="E348" s="215">
        <v>-61.688800000000001</v>
      </c>
      <c r="F348" s="216" t="s">
        <v>400</v>
      </c>
      <c r="G348" s="215">
        <v>2.12</v>
      </c>
      <c r="H348" s="215">
        <v>12.952999999999999</v>
      </c>
      <c r="I348" s="100">
        <v>0.4</v>
      </c>
      <c r="J348" s="100">
        <v>44.2</v>
      </c>
      <c r="K348" s="100">
        <v>0.24</v>
      </c>
      <c r="L348" s="100">
        <v>0.47</v>
      </c>
      <c r="M348" s="217">
        <v>5.5871999999999996E-3</v>
      </c>
      <c r="N348" s="217">
        <v>8.2132000000000004E-3</v>
      </c>
      <c r="O348" s="100" t="s">
        <v>401</v>
      </c>
      <c r="P348" s="218">
        <f>(K348*AU)/(C348*pc)/Photometry!$AB$19</f>
        <v>0.113623784467572</v>
      </c>
      <c r="Q348" s="522" t="s">
        <v>87</v>
      </c>
      <c r="R348" s="100">
        <v>999</v>
      </c>
      <c r="S348" s="103"/>
    </row>
    <row r="349" spans="1:19" x14ac:dyDescent="0.25">
      <c r="A349" s="497">
        <v>347</v>
      </c>
      <c r="B349" s="100">
        <v>8.44</v>
      </c>
      <c r="C349" s="214">
        <v>226.75739999999999</v>
      </c>
      <c r="D349" s="215">
        <v>67.856099999999998</v>
      </c>
      <c r="E349" s="215">
        <v>4.5753000000000004</v>
      </c>
      <c r="F349" s="216" t="s">
        <v>624</v>
      </c>
      <c r="G349" s="215">
        <v>1.7</v>
      </c>
      <c r="H349" s="215">
        <v>12.923</v>
      </c>
      <c r="I349" s="100">
        <v>0.4</v>
      </c>
      <c r="J349" s="100">
        <v>387.1</v>
      </c>
      <c r="K349" s="100">
        <v>1.24</v>
      </c>
      <c r="L349" s="100">
        <v>0.17</v>
      </c>
      <c r="M349" s="217">
        <v>5.4684E-3</v>
      </c>
      <c r="N349" s="217">
        <v>6.398E-3</v>
      </c>
      <c r="O349" s="100" t="s">
        <v>323</v>
      </c>
      <c r="P349" s="218">
        <f>(K349*AU)/(C349*pc)/Photometry!$AB$19</f>
        <v>0.11120773141775953</v>
      </c>
      <c r="Q349" s="522" t="s">
        <v>87</v>
      </c>
      <c r="R349" s="100">
        <v>999</v>
      </c>
      <c r="S349" s="103"/>
    </row>
    <row r="350" spans="1:19" x14ac:dyDescent="0.25">
      <c r="A350" s="497">
        <v>348</v>
      </c>
      <c r="B350" s="100">
        <v>6.5519999999999996</v>
      </c>
      <c r="C350" s="214">
        <v>22.055599999999998</v>
      </c>
      <c r="D350" s="215">
        <v>11.163600000000001</v>
      </c>
      <c r="E350" s="215">
        <v>-65.649500000000003</v>
      </c>
      <c r="F350" s="216" t="s">
        <v>625</v>
      </c>
      <c r="G350" s="215">
        <v>4.1000000000000002E-2</v>
      </c>
      <c r="H350" s="215">
        <v>5.601</v>
      </c>
      <c r="I350" s="100">
        <v>0.4</v>
      </c>
      <c r="J350" s="100">
        <v>15.6</v>
      </c>
      <c r="K350" s="100">
        <v>0.12</v>
      </c>
      <c r="L350" s="100">
        <v>0.27</v>
      </c>
      <c r="M350" s="217">
        <v>5.4408E-3</v>
      </c>
      <c r="N350" s="217">
        <v>6.9097999999999998E-3</v>
      </c>
      <c r="O350" s="100" t="s">
        <v>626</v>
      </c>
      <c r="P350" s="218">
        <f>(K350*AU)/(C350*pc)/Photometry!$AB$19</f>
        <v>0.11064636076415732</v>
      </c>
      <c r="Q350" s="522" t="s">
        <v>86</v>
      </c>
      <c r="R350" s="100">
        <v>999</v>
      </c>
      <c r="S350" s="103"/>
    </row>
    <row r="351" spans="1:19" x14ac:dyDescent="0.25">
      <c r="A351" s="497">
        <v>349</v>
      </c>
      <c r="B351" s="100">
        <v>5.78</v>
      </c>
      <c r="C351" s="214">
        <v>25.779800000000002</v>
      </c>
      <c r="D351" s="215">
        <v>39.244199999999999</v>
      </c>
      <c r="E351" s="215">
        <v>-34.578000000000003</v>
      </c>
      <c r="F351" s="216" t="s">
        <v>627</v>
      </c>
      <c r="G351" s="215">
        <v>6.9000000000000006E-2</v>
      </c>
      <c r="H351" s="215">
        <v>9.282</v>
      </c>
      <c r="I351" s="100">
        <v>0.4</v>
      </c>
      <c r="J351" s="100">
        <v>17.2</v>
      </c>
      <c r="K351" s="100">
        <v>0.14000000000000001</v>
      </c>
      <c r="L351" s="100">
        <v>0.2</v>
      </c>
      <c r="M351" s="217">
        <v>5.4305999999999998E-3</v>
      </c>
      <c r="N351" s="217">
        <v>6.5167000000000003E-3</v>
      </c>
      <c r="O351" s="100" t="s">
        <v>233</v>
      </c>
      <c r="P351" s="218">
        <f>(K351*AU)/(C351*pc)/Photometry!$AB$19</f>
        <v>0.11043920124341303</v>
      </c>
      <c r="Q351" s="522" t="s">
        <v>85</v>
      </c>
      <c r="R351" s="100">
        <v>999</v>
      </c>
      <c r="S351" s="103"/>
    </row>
    <row r="352" spans="1:19" x14ac:dyDescent="0.25">
      <c r="A352" s="497">
        <v>350</v>
      </c>
      <c r="B352" s="100">
        <v>8.02</v>
      </c>
      <c r="C352" s="214">
        <v>51.203299999999999</v>
      </c>
      <c r="D352" s="215">
        <v>184.80619999999999</v>
      </c>
      <c r="E352" s="215">
        <v>-3.3197999999999999</v>
      </c>
      <c r="F352" s="216" t="s">
        <v>628</v>
      </c>
      <c r="G352" s="215">
        <v>0.21</v>
      </c>
      <c r="H352" s="215">
        <v>11.741</v>
      </c>
      <c r="I352" s="100">
        <v>0.4</v>
      </c>
      <c r="J352" s="100">
        <v>48.1</v>
      </c>
      <c r="K352" s="100">
        <v>0.27</v>
      </c>
      <c r="L352" s="100">
        <v>0.05</v>
      </c>
      <c r="M352" s="217">
        <v>5.2731000000000002E-3</v>
      </c>
      <c r="N352" s="217">
        <v>5.5367999999999997E-3</v>
      </c>
      <c r="O352" s="100" t="s">
        <v>281</v>
      </c>
      <c r="P352" s="218">
        <f>(K352*AU)/(C352*pc)/Photometry!$AB$19</f>
        <v>0.10723599294493485</v>
      </c>
      <c r="Q352" s="522" t="s">
        <v>86</v>
      </c>
      <c r="R352" s="100">
        <v>999</v>
      </c>
      <c r="S352" s="103"/>
    </row>
    <row r="353" spans="1:19" x14ac:dyDescent="0.25">
      <c r="A353" s="497">
        <v>351</v>
      </c>
      <c r="B353" s="100">
        <v>7.9790000000000001</v>
      </c>
      <c r="C353" s="214">
        <v>68.823099999999997</v>
      </c>
      <c r="D353" s="215">
        <v>268.4187</v>
      </c>
      <c r="E353" s="215">
        <v>56.392000000000003</v>
      </c>
      <c r="F353" s="216" t="s">
        <v>441</v>
      </c>
      <c r="G353" s="215">
        <v>0.77</v>
      </c>
      <c r="H353" s="215">
        <v>12.8</v>
      </c>
      <c r="I353" s="100">
        <v>0.4</v>
      </c>
      <c r="J353" s="100">
        <v>75.2</v>
      </c>
      <c r="K353" s="100">
        <v>0.36</v>
      </c>
      <c r="L353" s="100">
        <v>0.73</v>
      </c>
      <c r="M353" s="217">
        <v>5.2307999999999999E-3</v>
      </c>
      <c r="N353" s="217">
        <v>9.0492999999999997E-3</v>
      </c>
      <c r="O353" s="100" t="s">
        <v>349</v>
      </c>
      <c r="P353" s="218">
        <f>(K353*AU)/(C353*pc)/Photometry!$AB$19</f>
        <v>0.10637584798432274</v>
      </c>
      <c r="Q353" s="522" t="s">
        <v>86</v>
      </c>
      <c r="R353" s="100">
        <v>999</v>
      </c>
      <c r="S353" s="103"/>
    </row>
    <row r="354" spans="1:19" x14ac:dyDescent="0.25">
      <c r="A354" s="497">
        <v>352</v>
      </c>
      <c r="B354" s="100">
        <v>8.76</v>
      </c>
      <c r="C354" s="214">
        <v>66.050200000000004</v>
      </c>
      <c r="D354" s="215">
        <v>188.03</v>
      </c>
      <c r="E354" s="215">
        <v>74.489599999999996</v>
      </c>
      <c r="F354" s="216" t="s">
        <v>629</v>
      </c>
      <c r="G354" s="215">
        <v>0.77</v>
      </c>
      <c r="H354" s="215">
        <v>12.8</v>
      </c>
      <c r="I354" s="100">
        <v>0.4</v>
      </c>
      <c r="J354" s="100">
        <v>68.3</v>
      </c>
      <c r="K354" s="100">
        <v>0.33</v>
      </c>
      <c r="L354" s="100">
        <v>0.12</v>
      </c>
      <c r="M354" s="217">
        <v>4.9962000000000001E-3</v>
      </c>
      <c r="N354" s="217">
        <v>5.5957000000000003E-3</v>
      </c>
      <c r="O354" s="100" t="s">
        <v>266</v>
      </c>
      <c r="P354" s="218">
        <f>(K354*AU)/(C354*pc)/Photometry!$AB$19</f>
        <v>0.10160488014861964</v>
      </c>
      <c r="Q354" s="522" t="s">
        <v>85</v>
      </c>
      <c r="R354" s="100">
        <v>999</v>
      </c>
      <c r="S354" s="103"/>
    </row>
    <row r="355" spans="1:19" x14ac:dyDescent="0.25">
      <c r="A355" s="497">
        <v>353</v>
      </c>
      <c r="B355" s="100">
        <v>6.42</v>
      </c>
      <c r="C355" s="214">
        <v>120.62730000000001</v>
      </c>
      <c r="D355" s="215">
        <v>77.403000000000006</v>
      </c>
      <c r="E355" s="215">
        <v>69.639399999999995</v>
      </c>
      <c r="F355" s="216" t="s">
        <v>630</v>
      </c>
      <c r="G355" s="215">
        <v>3.04</v>
      </c>
      <c r="H355" s="215">
        <v>13.044</v>
      </c>
      <c r="I355" s="100">
        <v>0.4</v>
      </c>
      <c r="J355" s="100">
        <v>157.5</v>
      </c>
      <c r="K355" s="100">
        <v>0.59</v>
      </c>
      <c r="L355" s="100">
        <v>0.01</v>
      </c>
      <c r="M355" s="217">
        <v>4.8910999999999998E-3</v>
      </c>
      <c r="N355" s="217">
        <v>4.9399999999999999E-3</v>
      </c>
      <c r="O355" s="100" t="s">
        <v>305</v>
      </c>
      <c r="P355" s="218">
        <f>(K355*AU)/(C355*pc)/Photometry!$AB$19</f>
        <v>9.9467492428971238E-2</v>
      </c>
      <c r="Q355" s="522" t="s">
        <v>87</v>
      </c>
      <c r="R355" s="100">
        <v>999</v>
      </c>
      <c r="S355" s="103"/>
    </row>
    <row r="356" spans="1:19" x14ac:dyDescent="0.25">
      <c r="A356" s="497">
        <v>354</v>
      </c>
      <c r="B356" s="100">
        <v>8.44</v>
      </c>
      <c r="C356" s="214">
        <v>35.373199999999997</v>
      </c>
      <c r="D356" s="215">
        <v>50.012300000000003</v>
      </c>
      <c r="E356" s="215">
        <v>-28.783799999999999</v>
      </c>
      <c r="F356" s="216" t="s">
        <v>579</v>
      </c>
      <c r="G356" s="215">
        <v>3.7999999999999999E-2</v>
      </c>
      <c r="H356" s="215">
        <v>5.0010000000000003</v>
      </c>
      <c r="I356" s="100">
        <v>0.4</v>
      </c>
      <c r="J356" s="100">
        <v>29.1</v>
      </c>
      <c r="K356" s="100">
        <v>0.17</v>
      </c>
      <c r="L356" s="100">
        <v>0.11</v>
      </c>
      <c r="M356" s="217">
        <v>4.8059000000000001E-3</v>
      </c>
      <c r="N356" s="217">
        <v>5.3344999999999998E-3</v>
      </c>
      <c r="O356" s="100" t="s">
        <v>580</v>
      </c>
      <c r="P356" s="218">
        <f>(K356*AU)/(C356*pc)/Photometry!$AB$19</f>
        <v>9.7734824353816627E-2</v>
      </c>
      <c r="Q356" s="522" t="s">
        <v>87</v>
      </c>
      <c r="R356" s="100">
        <v>999</v>
      </c>
      <c r="S356" s="103"/>
    </row>
    <row r="357" spans="1:19" x14ac:dyDescent="0.25">
      <c r="A357" s="497">
        <v>355</v>
      </c>
      <c r="B357" s="100">
        <v>7.17</v>
      </c>
      <c r="C357" s="214">
        <v>37.9651</v>
      </c>
      <c r="D357" s="215">
        <v>203.10650000000001</v>
      </c>
      <c r="E357" s="215">
        <v>-47.2714</v>
      </c>
      <c r="F357" s="216" t="s">
        <v>631</v>
      </c>
      <c r="G357" s="215">
        <v>0.17799999999999999</v>
      </c>
      <c r="H357" s="215">
        <v>11.516</v>
      </c>
      <c r="I357" s="100">
        <v>0.4</v>
      </c>
      <c r="J357" s="100">
        <v>25.8</v>
      </c>
      <c r="K357" s="100">
        <v>0.18</v>
      </c>
      <c r="L357" s="100">
        <v>0.42</v>
      </c>
      <c r="M357" s="217">
        <v>4.7412000000000001E-3</v>
      </c>
      <c r="N357" s="217">
        <v>6.7324999999999998E-3</v>
      </c>
      <c r="O357" s="100" t="s">
        <v>266</v>
      </c>
      <c r="P357" s="218">
        <f>(K357*AU)/(C357*pc)/Photometry!$AB$19</f>
        <v>9.6419021988745482E-2</v>
      </c>
      <c r="Q357" s="522" t="s">
        <v>85</v>
      </c>
      <c r="R357" s="100">
        <v>999</v>
      </c>
      <c r="S357" s="103"/>
    </row>
    <row r="358" spans="1:19" x14ac:dyDescent="0.25">
      <c r="A358" s="497">
        <v>356</v>
      </c>
      <c r="B358" s="100">
        <v>6.46</v>
      </c>
      <c r="C358" s="214">
        <v>23.245000000000001</v>
      </c>
      <c r="D358" s="215">
        <v>4.6744000000000003</v>
      </c>
      <c r="E358" s="215">
        <v>-8.0530000000000008</v>
      </c>
      <c r="F358" s="216" t="s">
        <v>632</v>
      </c>
      <c r="G358" s="215">
        <v>1.9E-2</v>
      </c>
      <c r="H358" s="215">
        <v>1.599</v>
      </c>
      <c r="I358" s="100">
        <v>0.4</v>
      </c>
      <c r="J358" s="100">
        <v>13.5</v>
      </c>
      <c r="K358" s="100">
        <v>0.11</v>
      </c>
      <c r="L358" s="100">
        <v>0</v>
      </c>
      <c r="M358" s="217">
        <v>4.7321999999999998E-3</v>
      </c>
      <c r="N358" s="217">
        <v>4.7321999999999998E-3</v>
      </c>
      <c r="O358" s="100" t="s">
        <v>266</v>
      </c>
      <c r="P358" s="218">
        <f>(K358*AU)/(C358*pc)/Photometry!$AB$19</f>
        <v>9.623607449332984E-2</v>
      </c>
      <c r="Q358" s="522" t="s">
        <v>85</v>
      </c>
      <c r="R358" s="100">
        <v>999</v>
      </c>
      <c r="S358" s="103"/>
    </row>
    <row r="359" spans="1:19" x14ac:dyDescent="0.25">
      <c r="A359" s="497">
        <v>357</v>
      </c>
      <c r="B359" s="100">
        <v>9.39</v>
      </c>
      <c r="C359" s="214">
        <v>53.134999999999998</v>
      </c>
      <c r="D359" s="215">
        <v>178.22069999999999</v>
      </c>
      <c r="E359" s="215">
        <v>-50.2928</v>
      </c>
      <c r="F359" s="216" t="s">
        <v>633</v>
      </c>
      <c r="G359" s="215">
        <v>9.8000000000000004E-2</v>
      </c>
      <c r="H359" s="215">
        <v>10.539</v>
      </c>
      <c r="I359" s="100">
        <v>0.4</v>
      </c>
      <c r="J359" s="100">
        <v>47.8</v>
      </c>
      <c r="K359" s="100">
        <v>0.25</v>
      </c>
      <c r="L359" s="100">
        <v>0</v>
      </c>
      <c r="M359" s="217">
        <v>4.705E-3</v>
      </c>
      <c r="N359" s="217">
        <v>4.705E-3</v>
      </c>
      <c r="O359" s="100" t="s">
        <v>634</v>
      </c>
      <c r="P359" s="218">
        <f>(K359*AU)/(C359*pc)/Photometry!$AB$19</f>
        <v>9.568284693351635E-2</v>
      </c>
      <c r="Q359" s="522" t="s">
        <v>87</v>
      </c>
      <c r="R359" s="100">
        <v>999</v>
      </c>
      <c r="S359" s="103"/>
    </row>
    <row r="360" spans="1:19" x14ac:dyDescent="0.25">
      <c r="A360" s="497">
        <v>358</v>
      </c>
      <c r="B360" s="100">
        <v>7.94</v>
      </c>
      <c r="C360" s="214">
        <v>32.383400000000002</v>
      </c>
      <c r="D360" s="215">
        <v>51.802</v>
      </c>
      <c r="E360" s="215">
        <v>-58.323700000000002</v>
      </c>
      <c r="F360" s="216" t="s">
        <v>600</v>
      </c>
      <c r="G360" s="215">
        <v>3.2000000000000001E-2</v>
      </c>
      <c r="H360" s="215">
        <v>3.6859999999999999</v>
      </c>
      <c r="I360" s="100">
        <v>0.4</v>
      </c>
      <c r="J360" s="100">
        <v>22.7</v>
      </c>
      <c r="K360" s="100">
        <v>0.15</v>
      </c>
      <c r="L360" s="100">
        <v>0.26</v>
      </c>
      <c r="M360" s="217">
        <v>4.6319999999999998E-3</v>
      </c>
      <c r="N360" s="217">
        <v>5.8363E-3</v>
      </c>
      <c r="O360" s="100" t="s">
        <v>318</v>
      </c>
      <c r="P360" s="218">
        <f>(K360*AU)/(C360*pc)/Photometry!$AB$19</f>
        <v>9.4198411627174239E-2</v>
      </c>
      <c r="Q360" s="522" t="s">
        <v>87</v>
      </c>
      <c r="R360" s="100">
        <v>999</v>
      </c>
      <c r="S360" s="103"/>
    </row>
    <row r="361" spans="1:19" x14ac:dyDescent="0.25">
      <c r="A361" s="497">
        <v>359</v>
      </c>
      <c r="B361" s="100">
        <v>8.3699999999999992</v>
      </c>
      <c r="C361" s="214">
        <v>43.802</v>
      </c>
      <c r="D361" s="215">
        <v>46.908000000000001</v>
      </c>
      <c r="E361" s="215">
        <v>-72.321899999999999</v>
      </c>
      <c r="F361" s="216" t="s">
        <v>635</v>
      </c>
      <c r="G361" s="215">
        <v>4.2000000000000003E-2</v>
      </c>
      <c r="H361" s="215">
        <v>5.9930000000000003</v>
      </c>
      <c r="I361" s="100">
        <v>0.4</v>
      </c>
      <c r="J361" s="100">
        <v>33.799999999999997</v>
      </c>
      <c r="K361" s="100">
        <v>0.2</v>
      </c>
      <c r="L361" s="100">
        <v>0.16</v>
      </c>
      <c r="M361" s="217">
        <v>4.5659999999999997E-3</v>
      </c>
      <c r="N361" s="217">
        <v>5.2966000000000003E-3</v>
      </c>
      <c r="O361" s="100" t="s">
        <v>237</v>
      </c>
      <c r="P361" s="218">
        <f>(K361*AU)/(C361*pc)/Photometry!$AB$19</f>
        <v>9.2856181394683171E-2</v>
      </c>
      <c r="Q361" s="522" t="s">
        <v>86</v>
      </c>
      <c r="R361" s="100">
        <v>999</v>
      </c>
      <c r="S361" s="103"/>
    </row>
    <row r="362" spans="1:19" x14ac:dyDescent="0.25">
      <c r="A362" s="497">
        <v>360</v>
      </c>
      <c r="B362" s="100">
        <v>7.61</v>
      </c>
      <c r="C362" s="214">
        <v>64.433000000000007</v>
      </c>
      <c r="D362" s="215">
        <v>130.60470000000001</v>
      </c>
      <c r="E362" s="215">
        <v>4.5781000000000001</v>
      </c>
      <c r="F362" s="216" t="s">
        <v>376</v>
      </c>
      <c r="G362" s="215">
        <v>1.88</v>
      </c>
      <c r="H362" s="215">
        <v>12.936</v>
      </c>
      <c r="I362" s="100">
        <v>0.4</v>
      </c>
      <c r="J362" s="100">
        <v>51.7</v>
      </c>
      <c r="K362" s="100">
        <v>0.28999999999999998</v>
      </c>
      <c r="L362" s="100">
        <v>0.64</v>
      </c>
      <c r="M362" s="217">
        <v>4.5008000000000001E-3</v>
      </c>
      <c r="N362" s="217">
        <v>7.3813000000000004E-3</v>
      </c>
      <c r="O362" s="100" t="s">
        <v>287</v>
      </c>
      <c r="P362" s="218">
        <f>(K362*AU)/(C362*pc)/Photometry!$AB$19</f>
        <v>9.1530199793620856E-2</v>
      </c>
      <c r="Q362" s="522" t="s">
        <v>85</v>
      </c>
      <c r="R362" s="100">
        <v>999</v>
      </c>
      <c r="S362" s="103"/>
    </row>
    <row r="363" spans="1:19" x14ac:dyDescent="0.25">
      <c r="A363" s="497">
        <v>361</v>
      </c>
      <c r="B363" s="100">
        <v>8.9700000000000006</v>
      </c>
      <c r="C363" s="214">
        <v>118.4834</v>
      </c>
      <c r="D363" s="215">
        <v>293.01729999999998</v>
      </c>
      <c r="E363" s="215">
        <v>16.474299999999999</v>
      </c>
      <c r="F363" s="216" t="s">
        <v>636</v>
      </c>
      <c r="G363" s="215">
        <v>1.08</v>
      </c>
      <c r="H363" s="215">
        <v>12.853</v>
      </c>
      <c r="I363" s="100">
        <v>0.4</v>
      </c>
      <c r="J363" s="100">
        <v>141.6</v>
      </c>
      <c r="K363" s="100">
        <v>0.53</v>
      </c>
      <c r="L363" s="100">
        <v>0.1</v>
      </c>
      <c r="M363" s="217">
        <v>4.4732000000000001E-3</v>
      </c>
      <c r="N363" s="217">
        <v>4.9205000000000004E-3</v>
      </c>
      <c r="O363" s="100" t="s">
        <v>321</v>
      </c>
      <c r="P363" s="218">
        <f>(K363*AU)/(C363*pc)/Photometry!$AB$19</f>
        <v>9.0968938368094346E-2</v>
      </c>
      <c r="Q363" s="522" t="s">
        <v>84</v>
      </c>
      <c r="R363" s="100">
        <v>999</v>
      </c>
      <c r="S363" s="103"/>
    </row>
    <row r="364" spans="1:19" x14ac:dyDescent="0.25">
      <c r="A364" s="497">
        <v>362</v>
      </c>
      <c r="B364" s="100">
        <v>4.0999999999999996</v>
      </c>
      <c r="C364" s="214">
        <v>13.4916</v>
      </c>
      <c r="D364" s="215">
        <v>24.199300000000001</v>
      </c>
      <c r="E364" s="215">
        <v>41.405500000000004</v>
      </c>
      <c r="F364" s="216" t="s">
        <v>241</v>
      </c>
      <c r="G364" s="215">
        <v>0.62</v>
      </c>
      <c r="H364" s="215">
        <v>12.744999999999999</v>
      </c>
      <c r="I364" s="100">
        <v>0.4</v>
      </c>
      <c r="J364" s="100">
        <v>4.5999999999999996</v>
      </c>
      <c r="K364" s="100">
        <v>0.06</v>
      </c>
      <c r="L364" s="100">
        <v>0.01</v>
      </c>
      <c r="M364" s="217">
        <v>4.4472000000000001E-3</v>
      </c>
      <c r="N364" s="217">
        <v>4.4917000000000004E-3</v>
      </c>
      <c r="O364" s="100" t="s">
        <v>242</v>
      </c>
      <c r="P364" s="218">
        <f>(K364*AU)/(C364*pc)/Photometry!$AB$19</f>
        <v>9.0440417536465215E-2</v>
      </c>
      <c r="Q364" s="522" t="s">
        <v>85</v>
      </c>
      <c r="R364" s="100">
        <v>999</v>
      </c>
      <c r="S364" s="103"/>
    </row>
    <row r="365" spans="1:19" x14ac:dyDescent="0.25">
      <c r="A365" s="497">
        <v>363</v>
      </c>
      <c r="B365" s="100">
        <v>8.02</v>
      </c>
      <c r="C365" s="214">
        <v>47.370899999999999</v>
      </c>
      <c r="D365" s="215">
        <v>322.05090000000001</v>
      </c>
      <c r="E365" s="215">
        <v>-21.726299999999998</v>
      </c>
      <c r="F365" s="216" t="s">
        <v>332</v>
      </c>
      <c r="G365" s="215">
        <v>5.3999999999999999E-2</v>
      </c>
      <c r="H365" s="215">
        <v>8.3040000000000003</v>
      </c>
      <c r="I365" s="100">
        <v>0.4</v>
      </c>
      <c r="J365" s="100">
        <v>34.9</v>
      </c>
      <c r="K365" s="100">
        <v>0.21</v>
      </c>
      <c r="L365" s="100">
        <v>0.17</v>
      </c>
      <c r="M365" s="217">
        <v>4.4330999999999997E-3</v>
      </c>
      <c r="N365" s="217">
        <v>5.1866999999999998E-3</v>
      </c>
      <c r="O365" s="100" t="s">
        <v>299</v>
      </c>
      <c r="P365" s="218">
        <f>(K365*AU)/(C365*pc)/Photometry!$AB$19</f>
        <v>9.0153465108799041E-2</v>
      </c>
      <c r="Q365" s="522" t="s">
        <v>86</v>
      </c>
      <c r="R365" s="100">
        <v>999</v>
      </c>
      <c r="S365" s="103"/>
    </row>
    <row r="366" spans="1:19" x14ac:dyDescent="0.25">
      <c r="A366" s="497">
        <v>364</v>
      </c>
      <c r="B366" s="100">
        <v>9.1780000000000008</v>
      </c>
      <c r="C366" s="214">
        <v>310.55900000000003</v>
      </c>
      <c r="D366" s="215">
        <v>5.3055000000000003</v>
      </c>
      <c r="E366" s="215">
        <v>-8.2812000000000001</v>
      </c>
      <c r="F366" s="216" t="s">
        <v>637</v>
      </c>
      <c r="G366" s="215">
        <v>6.1</v>
      </c>
      <c r="H366" s="215">
        <v>13.063000000000001</v>
      </c>
      <c r="I366" s="100">
        <v>0.4</v>
      </c>
      <c r="J366" s="100">
        <v>533</v>
      </c>
      <c r="K366" s="100">
        <v>1.3</v>
      </c>
      <c r="L366" s="100">
        <v>0.64</v>
      </c>
      <c r="M366" s="217">
        <v>4.1859999999999996E-3</v>
      </c>
      <c r="N366" s="217">
        <v>6.8649999999999996E-3</v>
      </c>
      <c r="O366" s="100" t="s">
        <v>354</v>
      </c>
      <c r="P366" s="218">
        <f>(K366*AU)/(C366*pc)/Photometry!$AB$19</f>
        <v>8.5128307256992816E-2</v>
      </c>
      <c r="Q366" s="522" t="s">
        <v>87</v>
      </c>
      <c r="R366" s="100">
        <v>999</v>
      </c>
      <c r="S366" s="103"/>
    </row>
    <row r="367" spans="1:19" x14ac:dyDescent="0.25">
      <c r="A367" s="497">
        <v>365</v>
      </c>
      <c r="B367" s="100">
        <v>8.1300000000000008</v>
      </c>
      <c r="C367" s="214">
        <v>21.519300000000001</v>
      </c>
      <c r="D367" s="215">
        <v>340.83879999999999</v>
      </c>
      <c r="E367" s="215">
        <v>-6.4008000000000003</v>
      </c>
      <c r="F367" s="216" t="s">
        <v>638</v>
      </c>
      <c r="G367" s="215">
        <v>0.01</v>
      </c>
      <c r="H367" s="215">
        <v>1.365</v>
      </c>
      <c r="I367" s="100">
        <v>0.4</v>
      </c>
      <c r="J367" s="100">
        <v>10.9</v>
      </c>
      <c r="K367" s="100">
        <v>0.09</v>
      </c>
      <c r="L367" s="100">
        <v>0.38</v>
      </c>
      <c r="M367" s="217">
        <v>4.1822999999999999E-3</v>
      </c>
      <c r="N367" s="217">
        <v>5.7716E-3</v>
      </c>
      <c r="O367" s="100" t="s">
        <v>323</v>
      </c>
      <c r="P367" s="218">
        <f>(K367*AU)/(C367*pc)/Photometry!$AB$19</f>
        <v>8.505290162098493E-2</v>
      </c>
      <c r="Q367" s="522" t="s">
        <v>87</v>
      </c>
      <c r="R367" s="100">
        <v>999</v>
      </c>
      <c r="S367" s="103"/>
    </row>
    <row r="368" spans="1:19" x14ac:dyDescent="0.25">
      <c r="A368" s="497">
        <v>366</v>
      </c>
      <c r="B368" s="100">
        <v>8.0749999999999993</v>
      </c>
      <c r="C368" s="214">
        <v>25.9</v>
      </c>
      <c r="D368" s="215">
        <v>86.132999999999996</v>
      </c>
      <c r="E368" s="215">
        <v>-70.143600000000006</v>
      </c>
      <c r="F368" s="216" t="s">
        <v>612</v>
      </c>
      <c r="G368" s="215">
        <v>1.9E-2</v>
      </c>
      <c r="H368" s="215">
        <v>1.601</v>
      </c>
      <c r="I368" s="100">
        <v>0.4</v>
      </c>
      <c r="J368" s="100">
        <v>14</v>
      </c>
      <c r="K368" s="100">
        <v>0.1</v>
      </c>
      <c r="L368" s="100">
        <v>0.11</v>
      </c>
      <c r="M368" s="217">
        <v>3.8609999999999998E-3</v>
      </c>
      <c r="N368" s="217">
        <v>4.2856999999999999E-3</v>
      </c>
      <c r="O368" s="100" t="s">
        <v>261</v>
      </c>
      <c r="P368" s="218">
        <f>(K368*AU)/(C368*pc)/Photometry!$AB$19</f>
        <v>7.8519043580114148E-2</v>
      </c>
      <c r="Q368" s="522" t="s">
        <v>87</v>
      </c>
      <c r="R368" s="100">
        <v>999</v>
      </c>
      <c r="S368" s="103"/>
    </row>
    <row r="369" spans="1:19" x14ac:dyDescent="0.25">
      <c r="A369" s="497">
        <v>367</v>
      </c>
      <c r="B369" s="100">
        <v>7.1470000000000002</v>
      </c>
      <c r="C369" s="214">
        <v>12.9955</v>
      </c>
      <c r="D369" s="215">
        <v>88.517700000000005</v>
      </c>
      <c r="E369" s="215">
        <v>-60.023499999999999</v>
      </c>
      <c r="F369" s="216" t="s">
        <v>577</v>
      </c>
      <c r="G369" s="215">
        <v>1.2999999999999999E-2</v>
      </c>
      <c r="H369" s="215">
        <v>1.4730000000000001</v>
      </c>
      <c r="I369" s="100">
        <v>0.4</v>
      </c>
      <c r="J369" s="100">
        <v>4.3</v>
      </c>
      <c r="K369" s="100">
        <v>0.05</v>
      </c>
      <c r="L369" s="100">
        <v>0</v>
      </c>
      <c r="M369" s="217">
        <v>3.8474999999999998E-3</v>
      </c>
      <c r="N369" s="217">
        <v>3.8474999999999998E-3</v>
      </c>
      <c r="O369" s="100" t="s">
        <v>578</v>
      </c>
      <c r="P369" s="218">
        <f>(K369*AU)/(C369*pc)/Photometry!$AB$19</f>
        <v>7.8244131765801875E-2</v>
      </c>
      <c r="Q369" s="522" t="s">
        <v>88</v>
      </c>
      <c r="R369" s="100">
        <v>999</v>
      </c>
      <c r="S369" s="103"/>
    </row>
    <row r="370" spans="1:19" x14ac:dyDescent="0.25">
      <c r="A370" s="497">
        <v>368</v>
      </c>
      <c r="B370" s="100">
        <v>7.45</v>
      </c>
      <c r="C370" s="214">
        <v>39.698300000000003</v>
      </c>
      <c r="D370" s="215">
        <v>176.21029999999999</v>
      </c>
      <c r="E370" s="215">
        <v>-58.703699999999998</v>
      </c>
      <c r="F370" s="216" t="s">
        <v>639</v>
      </c>
      <c r="G370" s="215">
        <v>0.17199999999999999</v>
      </c>
      <c r="H370" s="215">
        <v>11.474</v>
      </c>
      <c r="I370" s="100">
        <v>0.4</v>
      </c>
      <c r="J370" s="100">
        <v>20.7</v>
      </c>
      <c r="K370" s="100">
        <v>0.15</v>
      </c>
      <c r="L370" s="100">
        <v>0.11</v>
      </c>
      <c r="M370" s="217">
        <v>3.7785000000000002E-3</v>
      </c>
      <c r="N370" s="217">
        <v>4.1941000000000001E-3</v>
      </c>
      <c r="O370" s="100" t="s">
        <v>341</v>
      </c>
      <c r="P370" s="218">
        <f>(K370*AU)/(C370*pc)/Photometry!$AB$19</f>
        <v>7.6841195796480813E-2</v>
      </c>
      <c r="Q370" s="522" t="s">
        <v>86</v>
      </c>
      <c r="R370" s="100">
        <v>999</v>
      </c>
      <c r="S370" s="103"/>
    </row>
    <row r="371" spans="1:19" x14ac:dyDescent="0.25">
      <c r="A371" s="497">
        <v>369</v>
      </c>
      <c r="B371" s="100">
        <v>6.8540000000000001</v>
      </c>
      <c r="C371" s="214">
        <v>26.4971</v>
      </c>
      <c r="D371" s="215">
        <v>228.81270000000001</v>
      </c>
      <c r="E371" s="215">
        <v>-70.519599999999997</v>
      </c>
      <c r="F371" s="216" t="s">
        <v>405</v>
      </c>
      <c r="G371" s="215">
        <v>2.9000000000000001E-2</v>
      </c>
      <c r="H371" s="215">
        <v>1.774</v>
      </c>
      <c r="I371" s="100">
        <v>0.4</v>
      </c>
      <c r="J371" s="100">
        <v>12.1</v>
      </c>
      <c r="K371" s="100">
        <v>0.1</v>
      </c>
      <c r="L371" s="100">
        <v>0.15</v>
      </c>
      <c r="M371" s="217">
        <v>3.774E-3</v>
      </c>
      <c r="N371" s="217">
        <v>4.3401000000000004E-3</v>
      </c>
      <c r="O371" s="100" t="s">
        <v>406</v>
      </c>
      <c r="P371" s="218">
        <f>(K371*AU)/(C371*pc)/Photometry!$AB$19</f>
        <v>7.6749652932772139E-2</v>
      </c>
      <c r="Q371" s="522" t="s">
        <v>86</v>
      </c>
      <c r="R371" s="100">
        <v>999</v>
      </c>
      <c r="S371" s="103"/>
    </row>
    <row r="372" spans="1:19" x14ac:dyDescent="0.25">
      <c r="A372" s="497">
        <v>370</v>
      </c>
      <c r="B372" s="100">
        <v>6.88</v>
      </c>
      <c r="C372" s="214">
        <v>38.520800000000001</v>
      </c>
      <c r="D372" s="215">
        <v>307.07760000000002</v>
      </c>
      <c r="E372" s="215">
        <v>18.769500000000001</v>
      </c>
      <c r="F372" s="216" t="s">
        <v>640</v>
      </c>
      <c r="G372" s="215">
        <v>3.7</v>
      </c>
      <c r="H372" s="215">
        <v>13.115</v>
      </c>
      <c r="I372" s="100">
        <v>0.4</v>
      </c>
      <c r="J372" s="100">
        <v>18.2</v>
      </c>
      <c r="K372" s="100">
        <v>0.14000000000000001</v>
      </c>
      <c r="L372" s="100">
        <v>0.01</v>
      </c>
      <c r="M372" s="217">
        <v>3.6343999999999999E-3</v>
      </c>
      <c r="N372" s="217">
        <v>3.6706999999999998E-3</v>
      </c>
      <c r="O372" s="100" t="s">
        <v>244</v>
      </c>
      <c r="P372" s="218">
        <f>(K372*AU)/(C372*pc)/Photometry!$AB$19</f>
        <v>7.3910731869923252E-2</v>
      </c>
      <c r="Q372" s="522" t="s">
        <v>86</v>
      </c>
      <c r="R372" s="100">
        <v>999</v>
      </c>
      <c r="S372" s="103"/>
    </row>
    <row r="373" spans="1:19" x14ac:dyDescent="0.25">
      <c r="A373" s="497">
        <v>371</v>
      </c>
      <c r="B373" s="100">
        <v>8.35</v>
      </c>
      <c r="C373" s="214">
        <v>52.356000000000002</v>
      </c>
      <c r="D373" s="215">
        <v>23.334099999999999</v>
      </c>
      <c r="E373" s="215">
        <v>29.2651</v>
      </c>
      <c r="F373" s="216" t="s">
        <v>554</v>
      </c>
      <c r="G373" s="215">
        <v>0.7</v>
      </c>
      <c r="H373" s="215">
        <v>12.788</v>
      </c>
      <c r="I373" s="100">
        <v>0.4</v>
      </c>
      <c r="J373" s="100">
        <v>30.1</v>
      </c>
      <c r="K373" s="100">
        <v>0.19</v>
      </c>
      <c r="L373" s="100">
        <v>0.2</v>
      </c>
      <c r="M373" s="217">
        <v>3.6289999999999998E-3</v>
      </c>
      <c r="N373" s="217">
        <v>4.3547999999999998E-3</v>
      </c>
      <c r="O373" s="100" t="s">
        <v>299</v>
      </c>
      <c r="P373" s="218">
        <f>(K373*AU)/(C373*pc)/Photometry!$AB$19</f>
        <v>7.3800942290805582E-2</v>
      </c>
      <c r="Q373" s="522" t="s">
        <v>86</v>
      </c>
      <c r="R373" s="100">
        <v>999</v>
      </c>
      <c r="S373" s="103"/>
    </row>
    <row r="374" spans="1:19" x14ac:dyDescent="0.25">
      <c r="A374" s="497">
        <v>372</v>
      </c>
      <c r="B374" s="100">
        <v>7.1849999999999996</v>
      </c>
      <c r="C374" s="214">
        <v>16.8095</v>
      </c>
      <c r="D374" s="215">
        <v>20.496300000000002</v>
      </c>
      <c r="E374" s="215">
        <v>76.710300000000004</v>
      </c>
      <c r="F374" s="216" t="s">
        <v>641</v>
      </c>
      <c r="G374" s="215">
        <v>2.9000000000000001E-2</v>
      </c>
      <c r="H374" s="215">
        <v>1.7709999999999999</v>
      </c>
      <c r="I374" s="100">
        <v>0.4</v>
      </c>
      <c r="J374" s="100">
        <v>5.4</v>
      </c>
      <c r="K374" s="100">
        <v>0.06</v>
      </c>
      <c r="L374" s="100">
        <v>0.17</v>
      </c>
      <c r="M374" s="217">
        <v>3.5693999999999999E-3</v>
      </c>
      <c r="N374" s="217">
        <v>4.1761999999999997E-3</v>
      </c>
      <c r="O374" s="100" t="s">
        <v>323</v>
      </c>
      <c r="P374" s="218">
        <f>(K374*AU)/(C374*pc)/Photometry!$AB$19</f>
        <v>7.2589067922006839E-2</v>
      </c>
      <c r="Q374" s="522" t="s">
        <v>87</v>
      </c>
      <c r="R374" s="100">
        <v>999</v>
      </c>
      <c r="S374" s="103"/>
    </row>
    <row r="375" spans="1:19" x14ac:dyDescent="0.25">
      <c r="A375" s="497">
        <v>373</v>
      </c>
      <c r="B375" s="100">
        <v>6.18</v>
      </c>
      <c r="C375" s="214">
        <v>19.856999999999999</v>
      </c>
      <c r="D375" s="215">
        <v>344.56479999999999</v>
      </c>
      <c r="E375" s="215">
        <v>-2.3954</v>
      </c>
      <c r="F375" s="216" t="s">
        <v>247</v>
      </c>
      <c r="G375" s="215">
        <v>1.33</v>
      </c>
      <c r="H375" s="215">
        <v>12.891</v>
      </c>
      <c r="I375" s="100">
        <v>0.4</v>
      </c>
      <c r="J375" s="100">
        <v>7.1</v>
      </c>
      <c r="K375" s="100">
        <v>7.0000000000000007E-2</v>
      </c>
      <c r="L375" s="100">
        <v>0.13</v>
      </c>
      <c r="M375" s="217">
        <v>3.5252E-3</v>
      </c>
      <c r="N375" s="217">
        <v>3.9835000000000001E-3</v>
      </c>
      <c r="O375" s="100" t="s">
        <v>248</v>
      </c>
      <c r="P375" s="218">
        <f>(K375*AU)/(C375*pc)/Photometry!$AB$19</f>
        <v>7.1690097200356045E-2</v>
      </c>
      <c r="Q375" s="522" t="s">
        <v>86</v>
      </c>
      <c r="R375" s="100">
        <v>999</v>
      </c>
      <c r="S375" s="103"/>
    </row>
    <row r="376" spans="1:19" x14ac:dyDescent="0.25">
      <c r="A376" s="497">
        <v>374</v>
      </c>
      <c r="B376" s="100">
        <v>8.3800000000000008</v>
      </c>
      <c r="C376" s="214">
        <v>28.645099999999999</v>
      </c>
      <c r="D376" s="215">
        <v>33.178899999999999</v>
      </c>
      <c r="E376" s="215">
        <v>-53.743899999999996</v>
      </c>
      <c r="F376" s="216" t="s">
        <v>589</v>
      </c>
      <c r="G376" s="215">
        <v>3.2000000000000001E-2</v>
      </c>
      <c r="H376" s="215">
        <v>3.7549999999999999</v>
      </c>
      <c r="I376" s="100">
        <v>0.4</v>
      </c>
      <c r="J376" s="100">
        <v>14.2</v>
      </c>
      <c r="K376" s="100">
        <v>0.1</v>
      </c>
      <c r="L376" s="100">
        <v>0.17</v>
      </c>
      <c r="M376" s="217">
        <v>3.4910000000000002E-3</v>
      </c>
      <c r="N376" s="217">
        <v>4.0844999999999996E-3</v>
      </c>
      <c r="O376" s="100" t="s">
        <v>246</v>
      </c>
      <c r="P376" s="218">
        <f>(K376*AU)/(C376*pc)/Photometry!$AB$19</f>
        <v>7.0994453806234106E-2</v>
      </c>
      <c r="Q376" s="522" t="s">
        <v>87</v>
      </c>
      <c r="R376" s="100">
        <v>999</v>
      </c>
      <c r="S376" s="103"/>
    </row>
    <row r="377" spans="1:19" x14ac:dyDescent="0.25">
      <c r="A377" s="497">
        <v>375</v>
      </c>
      <c r="B377" s="100">
        <v>7.72</v>
      </c>
      <c r="C377" s="214">
        <v>41.373600000000003</v>
      </c>
      <c r="D377" s="215">
        <v>16.167300000000001</v>
      </c>
      <c r="E377" s="215">
        <v>-39.488199999999999</v>
      </c>
      <c r="F377" s="216" t="s">
        <v>642</v>
      </c>
      <c r="G377" s="215">
        <v>0.39</v>
      </c>
      <c r="H377" s="215">
        <v>12.496</v>
      </c>
      <c r="I377" s="100">
        <v>0.4</v>
      </c>
      <c r="J377" s="100">
        <v>22</v>
      </c>
      <c r="K377" s="100">
        <v>0.14000000000000001</v>
      </c>
      <c r="L377" s="100">
        <v>0.17</v>
      </c>
      <c r="M377" s="217">
        <v>3.3838000000000002E-3</v>
      </c>
      <c r="N377" s="217">
        <v>3.9589999999999998E-3</v>
      </c>
      <c r="O377" s="100" t="s">
        <v>643</v>
      </c>
      <c r="P377" s="218">
        <f>(K377*AU)/(C377*pc)/Photometry!$AB$19</f>
        <v>6.8814425629264542E-2</v>
      </c>
      <c r="Q377" s="522" t="s">
        <v>85</v>
      </c>
      <c r="R377" s="100">
        <v>999</v>
      </c>
      <c r="S377" s="103"/>
    </row>
    <row r="378" spans="1:19" x14ac:dyDescent="0.25">
      <c r="A378" s="497">
        <v>376</v>
      </c>
      <c r="B378" s="100">
        <v>7.484</v>
      </c>
      <c r="C378" s="214">
        <v>38.565399999999997</v>
      </c>
      <c r="D378" s="215">
        <v>73.909899999999993</v>
      </c>
      <c r="E378" s="215">
        <v>-23.241900000000001</v>
      </c>
      <c r="F378" s="216" t="s">
        <v>502</v>
      </c>
      <c r="G378" s="215">
        <v>3.5999999999999997E-2</v>
      </c>
      <c r="H378" s="215">
        <v>4.6319999999999997</v>
      </c>
      <c r="I378" s="100">
        <v>0.4</v>
      </c>
      <c r="J378" s="100">
        <v>16.5</v>
      </c>
      <c r="K378" s="100">
        <v>0.13</v>
      </c>
      <c r="L378" s="100">
        <v>0.13</v>
      </c>
      <c r="M378" s="217">
        <v>3.3709E-3</v>
      </c>
      <c r="N378" s="217">
        <v>3.8091000000000002E-3</v>
      </c>
      <c r="O378" s="100" t="s">
        <v>266</v>
      </c>
      <c r="P378" s="218">
        <f>(K378*AU)/(C378*pc)/Photometry!$AB$19</f>
        <v>6.8552023247326455E-2</v>
      </c>
      <c r="Q378" s="522" t="s">
        <v>85</v>
      </c>
      <c r="R378" s="100">
        <v>999</v>
      </c>
      <c r="S378" s="103"/>
    </row>
    <row r="379" spans="1:19" x14ac:dyDescent="0.25">
      <c r="A379" s="497">
        <v>377</v>
      </c>
      <c r="B379" s="100">
        <v>5.9379999999999997</v>
      </c>
      <c r="C379" s="214">
        <v>39.277299999999997</v>
      </c>
      <c r="D379" s="215">
        <v>86.645499999999998</v>
      </c>
      <c r="E379" s="215">
        <v>1.1681999999999999</v>
      </c>
      <c r="F379" s="216" t="s">
        <v>311</v>
      </c>
      <c r="G379" s="215">
        <v>0.78</v>
      </c>
      <c r="H379" s="215">
        <v>12.802</v>
      </c>
      <c r="I379" s="100">
        <v>0.4</v>
      </c>
      <c r="J379" s="100">
        <v>14.3</v>
      </c>
      <c r="K379" s="100">
        <v>0.13</v>
      </c>
      <c r="L379" s="100">
        <v>0.25</v>
      </c>
      <c r="M379" s="217">
        <v>3.3097999999999999E-3</v>
      </c>
      <c r="N379" s="217">
        <v>4.1373E-3</v>
      </c>
      <c r="O379" s="100" t="s">
        <v>312</v>
      </c>
      <c r="P379" s="218">
        <f>(K379*AU)/(C379*pc)/Photometry!$AB$19</f>
        <v>6.7309519680386481E-2</v>
      </c>
      <c r="Q379" s="522" t="s">
        <v>86</v>
      </c>
      <c r="R379" s="100">
        <v>999</v>
      </c>
      <c r="S379" s="103"/>
    </row>
    <row r="380" spans="1:19" x14ac:dyDescent="0.25">
      <c r="A380" s="497">
        <v>378</v>
      </c>
      <c r="B380" s="100">
        <v>7.56</v>
      </c>
      <c r="C380" s="214">
        <v>561.79780000000005</v>
      </c>
      <c r="D380" s="215">
        <v>32.417400000000001</v>
      </c>
      <c r="E380" s="215">
        <v>32.316400000000002</v>
      </c>
      <c r="F380" s="216" t="s">
        <v>644</v>
      </c>
      <c r="G380" s="215">
        <v>14</v>
      </c>
      <c r="H380" s="215">
        <v>12.452999999999999</v>
      </c>
      <c r="I380" s="100">
        <v>0.4</v>
      </c>
      <c r="J380" s="100">
        <v>471.6</v>
      </c>
      <c r="K380" s="100">
        <v>1.85</v>
      </c>
      <c r="L380" s="100">
        <v>0.27</v>
      </c>
      <c r="M380" s="217">
        <v>3.2929999999999999E-3</v>
      </c>
      <c r="N380" s="217">
        <v>4.1821000000000002E-3</v>
      </c>
      <c r="O380" s="100" t="s">
        <v>645</v>
      </c>
      <c r="P380" s="218">
        <f>(K380*AU)/(C380*pc)/Photometry!$AB$19</f>
        <v>6.6967865896612064E-2</v>
      </c>
      <c r="Q380" s="522" t="s">
        <v>87</v>
      </c>
      <c r="R380" s="100">
        <v>999</v>
      </c>
      <c r="S380" s="103"/>
    </row>
    <row r="381" spans="1:19" x14ac:dyDescent="0.25">
      <c r="A381" s="497">
        <v>379</v>
      </c>
      <c r="B381" s="100">
        <v>8.1300000000000008</v>
      </c>
      <c r="C381" s="214">
        <v>21.519300000000001</v>
      </c>
      <c r="D381" s="215">
        <v>340.83879999999999</v>
      </c>
      <c r="E381" s="215">
        <v>-6.4008000000000003</v>
      </c>
      <c r="F381" s="216" t="s">
        <v>638</v>
      </c>
      <c r="G381" s="215">
        <v>8.9999999999999993E-3</v>
      </c>
      <c r="H381" s="215">
        <v>1.3280000000000001</v>
      </c>
      <c r="I381" s="100">
        <v>0.4</v>
      </c>
      <c r="J381" s="100">
        <v>7.3</v>
      </c>
      <c r="K381" s="100">
        <v>7.0000000000000007E-2</v>
      </c>
      <c r="L381" s="100">
        <v>0.34</v>
      </c>
      <c r="M381" s="217">
        <v>3.2529E-3</v>
      </c>
      <c r="N381" s="217">
        <v>4.3588999999999998E-3</v>
      </c>
      <c r="O381" s="100" t="s">
        <v>323</v>
      </c>
      <c r="P381" s="218">
        <f>(K381*AU)/(C381*pc)/Photometry!$AB$19</f>
        <v>6.6152256816321614E-2</v>
      </c>
      <c r="Q381" s="522" t="s">
        <v>87</v>
      </c>
      <c r="R381" s="100">
        <v>999</v>
      </c>
      <c r="S381" s="103"/>
    </row>
    <row r="382" spans="1:19" x14ac:dyDescent="0.25">
      <c r="A382" s="497">
        <v>380</v>
      </c>
      <c r="B382" s="100">
        <v>5.46</v>
      </c>
      <c r="C382" s="214">
        <v>15.607900000000001</v>
      </c>
      <c r="D382" s="215">
        <v>344.36660000000001</v>
      </c>
      <c r="E382" s="215">
        <v>20.768799999999999</v>
      </c>
      <c r="F382" s="216" t="s">
        <v>646</v>
      </c>
      <c r="G382" s="215">
        <v>0.46800000000000003</v>
      </c>
      <c r="H382" s="215">
        <v>12.582000000000001</v>
      </c>
      <c r="I382" s="100">
        <v>0.4</v>
      </c>
      <c r="J382" s="100">
        <v>4.2</v>
      </c>
      <c r="K382" s="100">
        <v>0.05</v>
      </c>
      <c r="L382" s="100">
        <v>0</v>
      </c>
      <c r="M382" s="217">
        <v>3.2035000000000002E-3</v>
      </c>
      <c r="N382" s="217">
        <v>3.2035000000000002E-3</v>
      </c>
      <c r="O382" s="100" t="s">
        <v>647</v>
      </c>
      <c r="P382" s="218">
        <f>(K382*AU)/(C382*pc)/Photometry!$AB$19</f>
        <v>6.5147881160340482E-2</v>
      </c>
      <c r="Q382" s="522" t="s">
        <v>86</v>
      </c>
      <c r="R382" s="100">
        <v>999</v>
      </c>
      <c r="S382" s="103"/>
    </row>
    <row r="383" spans="1:19" x14ac:dyDescent="0.25">
      <c r="A383" s="497">
        <v>381</v>
      </c>
      <c r="B383" s="100">
        <v>4.49</v>
      </c>
      <c r="C383" s="214">
        <v>15.617699999999999</v>
      </c>
      <c r="D383" s="215">
        <v>206.81559999999999</v>
      </c>
      <c r="E383" s="215">
        <v>17.456900000000001</v>
      </c>
      <c r="F383" s="216" t="s">
        <v>648</v>
      </c>
      <c r="G383" s="215">
        <v>5.95</v>
      </c>
      <c r="H383" s="215">
        <v>13.068</v>
      </c>
      <c r="I383" s="100">
        <v>0.4</v>
      </c>
      <c r="J383" s="100">
        <v>3.3</v>
      </c>
      <c r="K383" s="100">
        <v>0.05</v>
      </c>
      <c r="L383" s="100">
        <v>0.02</v>
      </c>
      <c r="M383" s="217">
        <v>3.2014999999999999E-3</v>
      </c>
      <c r="N383" s="217">
        <v>3.2655000000000002E-3</v>
      </c>
      <c r="O383" s="100" t="s">
        <v>649</v>
      </c>
      <c r="P383" s="218">
        <f>(K383*AU)/(C383*pc)/Photometry!$AB$19</f>
        <v>6.5107001310210744E-2</v>
      </c>
      <c r="Q383" s="522" t="s">
        <v>84</v>
      </c>
      <c r="R383" s="100">
        <v>999</v>
      </c>
      <c r="S383" s="103"/>
    </row>
    <row r="384" spans="1:19" x14ac:dyDescent="0.25">
      <c r="A384" s="497">
        <v>382</v>
      </c>
      <c r="B384" s="100">
        <v>8.17</v>
      </c>
      <c r="C384" s="214">
        <v>34.831099999999999</v>
      </c>
      <c r="D384" s="215">
        <v>103.7139</v>
      </c>
      <c r="E384" s="215">
        <v>-55.259300000000003</v>
      </c>
      <c r="F384" s="216" t="s">
        <v>565</v>
      </c>
      <c r="G384" s="215">
        <v>4.1000000000000002E-2</v>
      </c>
      <c r="H384" s="215">
        <v>5.7850000000000001</v>
      </c>
      <c r="I384" s="100">
        <v>0.4</v>
      </c>
      <c r="J384" s="100">
        <v>14.1</v>
      </c>
      <c r="K384" s="100">
        <v>0.11</v>
      </c>
      <c r="L384" s="100">
        <v>0.15</v>
      </c>
      <c r="M384" s="217">
        <v>3.1581000000000001E-3</v>
      </c>
      <c r="N384" s="217">
        <v>3.6318000000000001E-3</v>
      </c>
      <c r="O384" s="100" t="s">
        <v>566</v>
      </c>
      <c r="P384" s="218">
        <f>(K384*AU)/(C384*pc)/Photometry!$AB$19</f>
        <v>6.4224430224639834E-2</v>
      </c>
      <c r="Q384" s="522" t="s">
        <v>87</v>
      </c>
      <c r="R384" s="100">
        <v>999</v>
      </c>
      <c r="S384" s="103"/>
    </row>
    <row r="385" spans="1:19" x14ac:dyDescent="0.25">
      <c r="A385" s="497">
        <v>383</v>
      </c>
      <c r="B385" s="100">
        <v>6.5030000000000001</v>
      </c>
      <c r="C385" s="214">
        <v>25.654199999999999</v>
      </c>
      <c r="D385" s="215">
        <v>166.9768</v>
      </c>
      <c r="E385" s="215">
        <v>-30.174600000000002</v>
      </c>
      <c r="F385" s="216" t="s">
        <v>524</v>
      </c>
      <c r="G385" s="215">
        <v>2.8000000000000001E-2</v>
      </c>
      <c r="H385" s="215">
        <v>1.7629999999999999</v>
      </c>
      <c r="I385" s="100">
        <v>0.4</v>
      </c>
      <c r="J385" s="100">
        <v>8.1</v>
      </c>
      <c r="K385" s="100">
        <v>0.08</v>
      </c>
      <c r="L385" s="100">
        <v>0.1</v>
      </c>
      <c r="M385" s="217">
        <v>3.1183999999999999E-3</v>
      </c>
      <c r="N385" s="217">
        <v>3.4302E-3</v>
      </c>
      <c r="O385" s="100" t="s">
        <v>266</v>
      </c>
      <c r="P385" s="218">
        <f>(K385*AU)/(C385*pc)/Photometry!$AB$19</f>
        <v>6.341708503792616E-2</v>
      </c>
      <c r="Q385" s="522" t="s">
        <v>85</v>
      </c>
      <c r="R385" s="100">
        <v>999</v>
      </c>
      <c r="S385" s="103"/>
    </row>
    <row r="386" spans="1:19" x14ac:dyDescent="0.25">
      <c r="A386" s="497">
        <v>384</v>
      </c>
      <c r="B386" s="100">
        <v>8.11</v>
      </c>
      <c r="C386" s="214">
        <v>251.25630000000001</v>
      </c>
      <c r="D386" s="215">
        <v>15.138299999999999</v>
      </c>
      <c r="E386" s="215">
        <v>20.2925</v>
      </c>
      <c r="F386" s="216" t="s">
        <v>650</v>
      </c>
      <c r="G386" s="215">
        <v>7.6</v>
      </c>
      <c r="H386" s="215">
        <v>12.962999999999999</v>
      </c>
      <c r="I386" s="100">
        <v>0.4</v>
      </c>
      <c r="J386" s="100">
        <v>177.1</v>
      </c>
      <c r="K386" s="100">
        <v>0.76</v>
      </c>
      <c r="L386" s="100">
        <v>7.0000000000000007E-2</v>
      </c>
      <c r="M386" s="217">
        <v>3.0247999999999998E-3</v>
      </c>
      <c r="N386" s="217">
        <v>3.2364999999999998E-3</v>
      </c>
      <c r="O386" s="100" t="s">
        <v>281</v>
      </c>
      <c r="P386" s="218">
        <f>(K386*AU)/(C386*pc)/Photometry!$AB$19</f>
        <v>6.1513635830463431E-2</v>
      </c>
      <c r="Q386" s="522" t="s">
        <v>86</v>
      </c>
      <c r="R386" s="100">
        <v>999</v>
      </c>
      <c r="S386" s="103"/>
    </row>
    <row r="387" spans="1:19" x14ac:dyDescent="0.25">
      <c r="A387" s="497">
        <v>385</v>
      </c>
      <c r="B387" s="100">
        <v>8.3800000000000008</v>
      </c>
      <c r="C387" s="214">
        <v>26.759399999999999</v>
      </c>
      <c r="D387" s="215">
        <v>291.28989999999999</v>
      </c>
      <c r="E387" s="215">
        <v>-66.468800000000002</v>
      </c>
      <c r="F387" s="216" t="s">
        <v>290</v>
      </c>
      <c r="G387" s="215">
        <v>2.4E-2</v>
      </c>
      <c r="H387" s="215">
        <v>1.6930000000000001</v>
      </c>
      <c r="I387" s="100">
        <v>0.4</v>
      </c>
      <c r="J387" s="100">
        <v>9.4</v>
      </c>
      <c r="K387" s="100">
        <v>0.08</v>
      </c>
      <c r="L387" s="100">
        <v>0.4</v>
      </c>
      <c r="M387" s="217">
        <v>2.9895999999999998E-3</v>
      </c>
      <c r="N387" s="217">
        <v>4.1853999999999997E-3</v>
      </c>
      <c r="O387" s="100" t="s">
        <v>291</v>
      </c>
      <c r="P387" s="218">
        <f>(K387*AU)/(C387*pc)/Photometry!$AB$19</f>
        <v>6.0797872260961207E-2</v>
      </c>
      <c r="Q387" s="522" t="s">
        <v>88</v>
      </c>
      <c r="R387" s="100">
        <v>999</v>
      </c>
      <c r="S387" s="103"/>
    </row>
    <row r="388" spans="1:19" x14ac:dyDescent="0.25">
      <c r="A388" s="497">
        <v>386</v>
      </c>
      <c r="B388" s="100">
        <v>8.02</v>
      </c>
      <c r="C388" s="214">
        <v>80.385900000000007</v>
      </c>
      <c r="D388" s="215">
        <v>94.894499999999994</v>
      </c>
      <c r="E388" s="215">
        <v>41.092300000000002</v>
      </c>
      <c r="F388" s="216" t="s">
        <v>651</v>
      </c>
      <c r="G388" s="215">
        <v>2.4900000000000002</v>
      </c>
      <c r="H388" s="215">
        <v>12.984999999999999</v>
      </c>
      <c r="I388" s="100">
        <v>0.4</v>
      </c>
      <c r="J388" s="100">
        <v>37</v>
      </c>
      <c r="K388" s="100">
        <v>0.24</v>
      </c>
      <c r="L388" s="100">
        <v>0.14000000000000001</v>
      </c>
      <c r="M388" s="217">
        <v>2.9856000000000001E-3</v>
      </c>
      <c r="N388" s="217">
        <v>3.4036000000000001E-3</v>
      </c>
      <c r="O388" s="100" t="s">
        <v>287</v>
      </c>
      <c r="P388" s="218">
        <f>(K388*AU)/(C388*pc)/Photometry!$AB$19</f>
        <v>6.0716416049828331E-2</v>
      </c>
      <c r="Q388" s="522" t="s">
        <v>85</v>
      </c>
      <c r="R388" s="100">
        <v>999</v>
      </c>
      <c r="S388" s="103"/>
    </row>
    <row r="389" spans="1:19" x14ac:dyDescent="0.25">
      <c r="A389" s="497">
        <v>387</v>
      </c>
      <c r="B389" s="100">
        <v>7.407</v>
      </c>
      <c r="C389" s="214">
        <v>483.09179999999998</v>
      </c>
      <c r="D389" s="215">
        <v>166.44149999999999</v>
      </c>
      <c r="E389" s="215">
        <v>44.301600000000001</v>
      </c>
      <c r="F389" s="216" t="s">
        <v>652</v>
      </c>
      <c r="G389" s="215">
        <v>4</v>
      </c>
      <c r="H389" s="215">
        <v>13.135</v>
      </c>
      <c r="I389" s="100">
        <v>0.4</v>
      </c>
      <c r="J389" s="100">
        <v>647.29999999999995</v>
      </c>
      <c r="K389" s="100">
        <v>1.4</v>
      </c>
      <c r="L389" s="100">
        <v>0.3</v>
      </c>
      <c r="M389" s="217">
        <v>2.898E-3</v>
      </c>
      <c r="N389" s="217">
        <v>3.7674000000000002E-3</v>
      </c>
      <c r="O389" s="100" t="s">
        <v>614</v>
      </c>
      <c r="P389" s="218">
        <f>(K389*AU)/(C389*pc)/Photometry!$AB$19</f>
        <v>5.893497923613978E-2</v>
      </c>
      <c r="Q389" s="522" t="s">
        <v>87</v>
      </c>
      <c r="R389" s="100">
        <v>999</v>
      </c>
      <c r="S389" s="103"/>
    </row>
    <row r="390" spans="1:19" x14ac:dyDescent="0.25">
      <c r="A390" s="497">
        <v>388</v>
      </c>
      <c r="B390" s="100">
        <v>9.0299999999999994</v>
      </c>
      <c r="C390" s="214">
        <v>27.956399999999999</v>
      </c>
      <c r="D390" s="215">
        <v>215.3466</v>
      </c>
      <c r="E390" s="215">
        <v>-40.393900000000002</v>
      </c>
      <c r="F390" s="216" t="s">
        <v>653</v>
      </c>
      <c r="G390" s="215">
        <v>4.2000000000000003E-2</v>
      </c>
      <c r="H390" s="215">
        <v>5.9470000000000001</v>
      </c>
      <c r="I390" s="100">
        <v>0.4</v>
      </c>
      <c r="J390" s="100">
        <v>9.6999999999999993</v>
      </c>
      <c r="K390" s="100">
        <v>0.08</v>
      </c>
      <c r="L390" s="100">
        <v>0</v>
      </c>
      <c r="M390" s="217">
        <v>2.8616000000000002E-3</v>
      </c>
      <c r="N390" s="217">
        <v>2.8616000000000002E-3</v>
      </c>
      <c r="O390" s="100" t="s">
        <v>431</v>
      </c>
      <c r="P390" s="218">
        <f>(K390*AU)/(C390*pc)/Photometry!$AB$19</f>
        <v>5.81947097258576E-2</v>
      </c>
      <c r="Q390" s="522" t="s">
        <v>88</v>
      </c>
      <c r="R390" s="100">
        <v>999</v>
      </c>
      <c r="S390" s="103"/>
    </row>
    <row r="391" spans="1:19" x14ac:dyDescent="0.25">
      <c r="A391" s="497">
        <v>389</v>
      </c>
      <c r="B391" s="100">
        <v>8.0399999999999991</v>
      </c>
      <c r="C391" s="214">
        <v>31.7058</v>
      </c>
      <c r="D391" s="215">
        <v>221.88630000000001</v>
      </c>
      <c r="E391" s="215">
        <v>-0.28148000000000001</v>
      </c>
      <c r="F391" s="216" t="s">
        <v>654</v>
      </c>
      <c r="G391" s="215">
        <v>1.02</v>
      </c>
      <c r="H391" s="215">
        <v>12.843999999999999</v>
      </c>
      <c r="I391" s="100">
        <v>0.4</v>
      </c>
      <c r="J391" s="100">
        <v>10.7</v>
      </c>
      <c r="K391" s="100">
        <v>0.09</v>
      </c>
      <c r="L391" s="100">
        <v>0.04</v>
      </c>
      <c r="M391" s="217">
        <v>2.8386000000000002E-3</v>
      </c>
      <c r="N391" s="217">
        <v>2.9521E-3</v>
      </c>
      <c r="O391" s="100" t="s">
        <v>261</v>
      </c>
      <c r="P391" s="218">
        <f>(K391*AU)/(C391*pc)/Photometry!$AB$19</f>
        <v>5.7726942889075844E-2</v>
      </c>
      <c r="Q391" s="522" t="s">
        <v>87</v>
      </c>
      <c r="R391" s="100">
        <v>999</v>
      </c>
      <c r="S391" s="103"/>
    </row>
    <row r="392" spans="1:19" x14ac:dyDescent="0.25">
      <c r="A392" s="497">
        <v>390</v>
      </c>
      <c r="B392" s="100">
        <v>6.3739999999999997</v>
      </c>
      <c r="C392" s="214">
        <v>21.881799999999998</v>
      </c>
      <c r="D392" s="215">
        <v>96.1828</v>
      </c>
      <c r="E392" s="215">
        <v>-28.780100000000001</v>
      </c>
      <c r="F392" s="216" t="s">
        <v>655</v>
      </c>
      <c r="G392" s="215">
        <v>0.04</v>
      </c>
      <c r="H392" s="215">
        <v>5.4850000000000003</v>
      </c>
      <c r="I392" s="100">
        <v>0.4</v>
      </c>
      <c r="J392" s="100">
        <v>5.9</v>
      </c>
      <c r="K392" s="100">
        <v>0.06</v>
      </c>
      <c r="L392" s="100">
        <v>0.3</v>
      </c>
      <c r="M392" s="217">
        <v>2.7420000000000001E-3</v>
      </c>
      <c r="N392" s="217">
        <v>3.5645999999999998E-3</v>
      </c>
      <c r="O392" s="100" t="s">
        <v>424</v>
      </c>
      <c r="P392" s="218">
        <f>(K392*AU)/(C392*pc)/Photometry!$AB$19</f>
        <v>5.5762594358552492E-2</v>
      </c>
      <c r="Q392" s="522" t="s">
        <v>85</v>
      </c>
      <c r="R392" s="100">
        <v>999</v>
      </c>
      <c r="S392" s="103"/>
    </row>
    <row r="393" spans="1:19" x14ac:dyDescent="0.25">
      <c r="A393" s="497">
        <v>391</v>
      </c>
      <c r="B393" s="100">
        <v>9.42</v>
      </c>
      <c r="C393" s="214">
        <v>43.878900000000002</v>
      </c>
      <c r="D393" s="215">
        <v>65.195999999999998</v>
      </c>
      <c r="E393" s="215">
        <v>-59.410800000000002</v>
      </c>
      <c r="F393" s="216" t="s">
        <v>656</v>
      </c>
      <c r="G393" s="215">
        <v>0.62</v>
      </c>
      <c r="H393" s="215">
        <v>12.744999999999999</v>
      </c>
      <c r="I393" s="100">
        <v>0.4</v>
      </c>
      <c r="J393" s="100">
        <v>18</v>
      </c>
      <c r="K393" s="100">
        <v>0.12</v>
      </c>
      <c r="L393" s="100">
        <v>0.05</v>
      </c>
      <c r="M393" s="217">
        <v>2.7347999999999999E-3</v>
      </c>
      <c r="N393" s="217">
        <v>2.8714999999999999E-3</v>
      </c>
      <c r="O393" s="100" t="s">
        <v>246</v>
      </c>
      <c r="P393" s="218">
        <f>(K393*AU)/(C393*pc)/Photometry!$AB$19</f>
        <v>5.5616067733465238E-2</v>
      </c>
      <c r="Q393" s="522" t="s">
        <v>87</v>
      </c>
      <c r="R393" s="100">
        <v>999</v>
      </c>
      <c r="S393" s="103"/>
    </row>
    <row r="394" spans="1:19" x14ac:dyDescent="0.25">
      <c r="A394" s="497">
        <v>392</v>
      </c>
      <c r="B394" s="100">
        <v>8.9600000000000009</v>
      </c>
      <c r="C394" s="214">
        <v>25.920200000000001</v>
      </c>
      <c r="D394" s="215">
        <v>176.17070000000001</v>
      </c>
      <c r="E394" s="215">
        <v>30.959299999999999</v>
      </c>
      <c r="F394" s="216" t="s">
        <v>420</v>
      </c>
      <c r="G394" s="215">
        <v>3.5999999999999997E-2</v>
      </c>
      <c r="H394" s="215">
        <v>4.5620000000000003</v>
      </c>
      <c r="I394" s="100">
        <v>0.4</v>
      </c>
      <c r="J394" s="100">
        <v>8.1</v>
      </c>
      <c r="K394" s="100">
        <v>7.0000000000000007E-2</v>
      </c>
      <c r="L394" s="100">
        <v>0.19</v>
      </c>
      <c r="M394" s="217">
        <v>2.7006E-3</v>
      </c>
      <c r="N394" s="217">
        <v>3.2136999999999999E-3</v>
      </c>
      <c r="O394" s="100" t="s">
        <v>421</v>
      </c>
      <c r="P394" s="218">
        <f>(K394*AU)/(C394*pc)/Photometry!$AB$19</f>
        <v>5.4920496759572446E-2</v>
      </c>
      <c r="Q394" s="522" t="s">
        <v>88</v>
      </c>
      <c r="R394" s="100">
        <v>999</v>
      </c>
      <c r="S394" s="103"/>
    </row>
    <row r="395" spans="1:19" x14ac:dyDescent="0.25">
      <c r="A395" s="497">
        <v>393</v>
      </c>
      <c r="B395" s="100">
        <v>7.0030000000000001</v>
      </c>
      <c r="C395" s="214">
        <v>38.0807</v>
      </c>
      <c r="D395" s="215">
        <v>186.44280000000001</v>
      </c>
      <c r="E395" s="215">
        <v>-64.022099999999995</v>
      </c>
      <c r="F395" s="216" t="s">
        <v>657</v>
      </c>
      <c r="G395" s="215">
        <v>0.26100000000000001</v>
      </c>
      <c r="H395" s="215">
        <v>12.01</v>
      </c>
      <c r="I395" s="100">
        <v>0.4</v>
      </c>
      <c r="J395" s="100">
        <v>10.9</v>
      </c>
      <c r="K395" s="100">
        <v>0.1</v>
      </c>
      <c r="L395" s="100">
        <v>0.53</v>
      </c>
      <c r="M395" s="217">
        <v>2.6259999999999999E-3</v>
      </c>
      <c r="N395" s="217">
        <v>4.0178000000000002E-3</v>
      </c>
      <c r="O395" s="100" t="s">
        <v>658</v>
      </c>
      <c r="P395" s="218">
        <f>(K395*AU)/(C395*pc)/Photometry!$AB$19</f>
        <v>5.3403514870392514E-2</v>
      </c>
      <c r="Q395" s="522" t="s">
        <v>85</v>
      </c>
      <c r="R395" s="100">
        <v>999</v>
      </c>
      <c r="S395" s="103"/>
    </row>
    <row r="396" spans="1:19" x14ac:dyDescent="0.25">
      <c r="A396" s="497">
        <v>394</v>
      </c>
      <c r="B396" s="100">
        <v>7.4859999999999998</v>
      </c>
      <c r="C396" s="214">
        <v>42.194099999999999</v>
      </c>
      <c r="D396" s="215">
        <v>161.56299999999999</v>
      </c>
      <c r="E396" s="215">
        <v>-41.464399999999998</v>
      </c>
      <c r="F396" s="216" t="s">
        <v>618</v>
      </c>
      <c r="G396" s="215">
        <v>2.5999999999999999E-2</v>
      </c>
      <c r="H396" s="215">
        <v>1.732</v>
      </c>
      <c r="I396" s="100">
        <v>0.4</v>
      </c>
      <c r="J396" s="100">
        <v>13.2</v>
      </c>
      <c r="K396" s="100">
        <v>0.11</v>
      </c>
      <c r="L396" s="100">
        <v>0.15</v>
      </c>
      <c r="M396" s="217">
        <v>2.6069999999999999E-3</v>
      </c>
      <c r="N396" s="217">
        <v>2.9979999999999998E-3</v>
      </c>
      <c r="O396" s="100" t="s">
        <v>619</v>
      </c>
      <c r="P396" s="218">
        <f>(K396*AU)/(C396*pc)/Photometry!$AB$19</f>
        <v>5.3017069959957717E-2</v>
      </c>
      <c r="Q396" s="522" t="s">
        <v>86</v>
      </c>
      <c r="R396" s="100">
        <v>999</v>
      </c>
      <c r="S396" s="103"/>
    </row>
    <row r="397" spans="1:19" x14ac:dyDescent="0.25">
      <c r="A397" s="497">
        <v>395</v>
      </c>
      <c r="B397" s="100">
        <v>6.46</v>
      </c>
      <c r="C397" s="214">
        <v>23.245000000000001</v>
      </c>
      <c r="D397" s="215">
        <v>4.6744000000000003</v>
      </c>
      <c r="E397" s="215">
        <v>-8.0530000000000008</v>
      </c>
      <c r="F397" s="216" t="s">
        <v>632</v>
      </c>
      <c r="G397" s="215">
        <v>2.4E-2</v>
      </c>
      <c r="H397" s="215">
        <v>1.6950000000000001</v>
      </c>
      <c r="I397" s="100">
        <v>0.4</v>
      </c>
      <c r="J397" s="100">
        <v>5.8</v>
      </c>
      <c r="K397" s="100">
        <v>0.06</v>
      </c>
      <c r="L397" s="100">
        <v>0.14000000000000001</v>
      </c>
      <c r="M397" s="217">
        <v>2.5812000000000001E-3</v>
      </c>
      <c r="N397" s="217">
        <v>2.9426000000000001E-3</v>
      </c>
      <c r="O397" s="100" t="s">
        <v>266</v>
      </c>
      <c r="P397" s="218">
        <f>(K397*AU)/(C397*pc)/Photometry!$AB$19</f>
        <v>5.2492404269089001E-2</v>
      </c>
      <c r="Q397" s="522" t="s">
        <v>85</v>
      </c>
      <c r="R397" s="100">
        <v>999</v>
      </c>
      <c r="S397" s="103"/>
    </row>
    <row r="398" spans="1:19" x14ac:dyDescent="0.25">
      <c r="A398" s="497">
        <v>396</v>
      </c>
      <c r="B398" s="100">
        <v>8.7100000000000009</v>
      </c>
      <c r="C398" s="214">
        <v>243.9024</v>
      </c>
      <c r="D398" s="215">
        <v>176.59809999999999</v>
      </c>
      <c r="E398" s="215">
        <v>14.124000000000001</v>
      </c>
      <c r="F398" s="216" t="s">
        <v>613</v>
      </c>
      <c r="G398" s="215">
        <v>5.9</v>
      </c>
      <c r="H398" s="215">
        <v>13.07</v>
      </c>
      <c r="I398" s="100">
        <v>0.4</v>
      </c>
      <c r="J398" s="100">
        <v>127.6</v>
      </c>
      <c r="K398" s="100">
        <v>0.61</v>
      </c>
      <c r="L398" s="100">
        <v>0.05</v>
      </c>
      <c r="M398" s="217">
        <v>2.5010000000000002E-3</v>
      </c>
      <c r="N398" s="217">
        <v>2.6259999999999999E-3</v>
      </c>
      <c r="O398" s="100" t="s">
        <v>614</v>
      </c>
      <c r="P398" s="218">
        <f>(K398*AU)/(C398*pc)/Photometry!$AB$19</f>
        <v>5.0861425288239212E-2</v>
      </c>
      <c r="Q398" s="522" t="s">
        <v>87</v>
      </c>
      <c r="R398" s="100">
        <v>999</v>
      </c>
      <c r="S398" s="103"/>
    </row>
    <row r="399" spans="1:19" x14ac:dyDescent="0.25">
      <c r="A399" s="497">
        <v>397</v>
      </c>
      <c r="B399" s="100">
        <v>9.1199999999999992</v>
      </c>
      <c r="C399" s="214">
        <v>29.429099999999998</v>
      </c>
      <c r="D399" s="215">
        <v>267.65980000000002</v>
      </c>
      <c r="E399" s="215">
        <v>-40.318399999999997</v>
      </c>
      <c r="F399" s="216" t="s">
        <v>659</v>
      </c>
      <c r="G399" s="215">
        <v>14.4</v>
      </c>
      <c r="H399" s="215">
        <v>12.422000000000001</v>
      </c>
      <c r="I399" s="100">
        <v>0.4</v>
      </c>
      <c r="J399" s="100">
        <v>8.4</v>
      </c>
      <c r="K399" s="100">
        <v>7.0000000000000007E-2</v>
      </c>
      <c r="L399" s="100">
        <v>0.28000000000000003</v>
      </c>
      <c r="M399" s="217">
        <v>2.3785999999999998E-3</v>
      </c>
      <c r="N399" s="217">
        <v>3.0446000000000002E-3</v>
      </c>
      <c r="O399" s="100" t="s">
        <v>295</v>
      </c>
      <c r="P399" s="218">
        <f>(K399*AU)/(C399*pc)/Photometry!$AB$19</f>
        <v>4.8372198269993637E-2</v>
      </c>
      <c r="Q399" s="522" t="s">
        <v>88</v>
      </c>
      <c r="R399" s="100">
        <v>999</v>
      </c>
      <c r="S399" s="103"/>
    </row>
    <row r="400" spans="1:19" x14ac:dyDescent="0.25">
      <c r="A400" s="497">
        <v>398</v>
      </c>
      <c r="B400" s="100">
        <v>8.2200000000000006</v>
      </c>
      <c r="C400" s="214">
        <v>98.425200000000004</v>
      </c>
      <c r="D400" s="215">
        <v>359.97430000000003</v>
      </c>
      <c r="E400" s="215">
        <v>-22.428100000000001</v>
      </c>
      <c r="F400" s="216" t="s">
        <v>660</v>
      </c>
      <c r="G400" s="215">
        <v>0.71</v>
      </c>
      <c r="H400" s="215">
        <v>12.79</v>
      </c>
      <c r="I400" s="100">
        <v>0.4</v>
      </c>
      <c r="J400" s="100">
        <v>26.7</v>
      </c>
      <c r="K400" s="100">
        <v>0.23</v>
      </c>
      <c r="L400" s="100">
        <v>0.05</v>
      </c>
      <c r="M400" s="217">
        <v>2.3368E-3</v>
      </c>
      <c r="N400" s="217">
        <v>2.4535999999999998E-3</v>
      </c>
      <c r="O400" s="100" t="s">
        <v>367</v>
      </c>
      <c r="P400" s="218">
        <f>(K400*AU)/(C400*pc)/Photometry!$AB$19</f>
        <v>4.7522173448135231E-2</v>
      </c>
      <c r="Q400" s="522" t="s">
        <v>85</v>
      </c>
      <c r="R400" s="100">
        <v>999</v>
      </c>
      <c r="S400" s="103"/>
    </row>
    <row r="401" spans="1:19" x14ac:dyDescent="0.25">
      <c r="A401" s="497">
        <v>399</v>
      </c>
      <c r="B401" s="100">
        <v>8.3699999999999992</v>
      </c>
      <c r="C401" s="214">
        <v>43.802</v>
      </c>
      <c r="D401" s="215">
        <v>46.908000000000001</v>
      </c>
      <c r="E401" s="215">
        <v>-72.321899999999999</v>
      </c>
      <c r="F401" s="216" t="s">
        <v>635</v>
      </c>
      <c r="G401" s="215">
        <v>3.7999999999999999E-2</v>
      </c>
      <c r="H401" s="215">
        <v>4.9779999999999998</v>
      </c>
      <c r="I401" s="100">
        <v>0.4</v>
      </c>
      <c r="J401" s="100">
        <v>11.8</v>
      </c>
      <c r="K401" s="100">
        <v>0.1</v>
      </c>
      <c r="L401" s="100">
        <v>0.4</v>
      </c>
      <c r="M401" s="217">
        <v>2.2829999999999999E-3</v>
      </c>
      <c r="N401" s="217">
        <v>3.1962000000000002E-3</v>
      </c>
      <c r="O401" s="100" t="s">
        <v>237</v>
      </c>
      <c r="P401" s="218">
        <f>(K401*AU)/(C401*pc)/Photometry!$AB$19</f>
        <v>4.6428090697341586E-2</v>
      </c>
      <c r="Q401" s="522" t="s">
        <v>86</v>
      </c>
      <c r="R401" s="100">
        <v>999</v>
      </c>
      <c r="S401" s="103"/>
    </row>
    <row r="402" spans="1:19" x14ac:dyDescent="0.25">
      <c r="A402" s="497">
        <v>400</v>
      </c>
      <c r="B402" s="100">
        <v>8.42</v>
      </c>
      <c r="C402" s="214">
        <v>24.473800000000001</v>
      </c>
      <c r="D402" s="215">
        <v>259.4187</v>
      </c>
      <c r="E402" s="215">
        <v>29.2272</v>
      </c>
      <c r="F402" s="216" t="s">
        <v>661</v>
      </c>
      <c r="G402" s="215">
        <v>1.2999999999999999E-2</v>
      </c>
      <c r="H402" s="215">
        <v>1.47</v>
      </c>
      <c r="I402" s="100">
        <v>0.4</v>
      </c>
      <c r="J402" s="100">
        <v>4.5999999999999996</v>
      </c>
      <c r="K402" s="100">
        <v>0.05</v>
      </c>
      <c r="L402" s="100">
        <v>0</v>
      </c>
      <c r="M402" s="217">
        <v>2.0430000000000001E-3</v>
      </c>
      <c r="N402" s="217">
        <v>2.0430000000000001E-3</v>
      </c>
      <c r="O402" s="100" t="s">
        <v>614</v>
      </c>
      <c r="P402" s="218">
        <f>(K402*AU)/(C402*pc)/Photometry!$AB$19</f>
        <v>4.1547353266042801E-2</v>
      </c>
      <c r="Q402" s="522" t="s">
        <v>87</v>
      </c>
      <c r="R402" s="100">
        <v>999</v>
      </c>
      <c r="S402" s="103"/>
    </row>
    <row r="403" spans="1:19" x14ac:dyDescent="0.25">
      <c r="A403" s="497">
        <v>401</v>
      </c>
      <c r="B403" s="100">
        <v>8.0749999999999993</v>
      </c>
      <c r="C403" s="214">
        <v>25.9</v>
      </c>
      <c r="D403" s="215">
        <v>86.132999999999996</v>
      </c>
      <c r="E403" s="215">
        <v>-70.143600000000006</v>
      </c>
      <c r="F403" s="216" t="s">
        <v>612</v>
      </c>
      <c r="G403" s="215">
        <v>1.2E-2</v>
      </c>
      <c r="H403" s="215">
        <v>1.43</v>
      </c>
      <c r="I403" s="100">
        <v>0.4</v>
      </c>
      <c r="J403" s="100">
        <v>5.6</v>
      </c>
      <c r="K403" s="100">
        <v>0.05</v>
      </c>
      <c r="L403" s="100">
        <v>0.2</v>
      </c>
      <c r="M403" s="217">
        <v>1.9304999999999999E-3</v>
      </c>
      <c r="N403" s="217">
        <v>2.3165999999999998E-3</v>
      </c>
      <c r="O403" s="100" t="s">
        <v>261</v>
      </c>
      <c r="P403" s="218">
        <f>(K403*AU)/(C403*pc)/Photometry!$AB$19</f>
        <v>3.9259521790057074E-2</v>
      </c>
      <c r="Q403" s="522" t="s">
        <v>87</v>
      </c>
      <c r="R403" s="100">
        <v>999</v>
      </c>
      <c r="S403" s="103"/>
    </row>
    <row r="404" spans="1:19" x14ac:dyDescent="0.25">
      <c r="A404" s="497">
        <v>402</v>
      </c>
      <c r="B404" s="100">
        <v>10.042</v>
      </c>
      <c r="C404" s="214">
        <v>10.4145</v>
      </c>
      <c r="D404" s="215">
        <v>33.087499999999999</v>
      </c>
      <c r="E404" s="215">
        <v>3.5756000000000001</v>
      </c>
      <c r="F404" s="216" t="s">
        <v>449</v>
      </c>
      <c r="G404" s="215">
        <v>2.1000000000000001E-2</v>
      </c>
      <c r="H404" s="215">
        <v>1.645</v>
      </c>
      <c r="I404" s="100">
        <v>0.4</v>
      </c>
      <c r="J404" s="100">
        <v>1.9</v>
      </c>
      <c r="K404" s="100">
        <v>0.02</v>
      </c>
      <c r="L404" s="100">
        <v>0.21</v>
      </c>
      <c r="M404" s="217">
        <v>1.9204000000000001E-3</v>
      </c>
      <c r="N404" s="217">
        <v>2.3237000000000002E-3</v>
      </c>
      <c r="O404" s="100" t="s">
        <v>450</v>
      </c>
      <c r="P404" s="218">
        <f>(K404*AU)/(C404*pc)/Photometry!$AB$19</f>
        <v>3.9054073238752825E-2</v>
      </c>
      <c r="Q404" s="522" t="s">
        <v>90</v>
      </c>
      <c r="R404" s="100">
        <v>999</v>
      </c>
      <c r="S404" s="103"/>
    </row>
    <row r="405" spans="1:19" x14ac:dyDescent="0.25">
      <c r="A405" s="497">
        <v>403</v>
      </c>
      <c r="B405" s="100">
        <v>6.2539999999999996</v>
      </c>
      <c r="C405" s="214">
        <v>27.548200000000001</v>
      </c>
      <c r="D405" s="215">
        <v>288.88850000000002</v>
      </c>
      <c r="E405" s="215">
        <v>-24.179400000000001</v>
      </c>
      <c r="F405" s="216" t="s">
        <v>662</v>
      </c>
      <c r="G405" s="215">
        <v>0.95</v>
      </c>
      <c r="H405" s="215">
        <v>12.833</v>
      </c>
      <c r="I405" s="100">
        <v>0.4</v>
      </c>
      <c r="J405" s="100">
        <v>3.1</v>
      </c>
      <c r="K405" s="100">
        <v>0.05</v>
      </c>
      <c r="L405" s="100">
        <v>0.02</v>
      </c>
      <c r="M405" s="217">
        <v>1.815E-3</v>
      </c>
      <c r="N405" s="217">
        <v>1.8513E-3</v>
      </c>
      <c r="O405" s="100" t="s">
        <v>321</v>
      </c>
      <c r="P405" s="218">
        <f>(K405*AU)/(C405*pc)/Photometry!$AB$19</f>
        <v>3.691063715097459E-2</v>
      </c>
      <c r="Q405" s="522" t="s">
        <v>84</v>
      </c>
      <c r="R405" s="100">
        <v>999</v>
      </c>
      <c r="S405" s="103"/>
    </row>
    <row r="406" spans="1:19" x14ac:dyDescent="0.25">
      <c r="A406" s="497">
        <v>404</v>
      </c>
      <c r="B406" s="100">
        <v>8.0399999999999991</v>
      </c>
      <c r="C406" s="214">
        <v>94.162000000000006</v>
      </c>
      <c r="D406" s="215">
        <v>77.004199999999997</v>
      </c>
      <c r="E406" s="215">
        <v>-26.797499999999999</v>
      </c>
      <c r="F406" s="216" t="s">
        <v>663</v>
      </c>
      <c r="G406" s="215">
        <v>0.33</v>
      </c>
      <c r="H406" s="215">
        <v>12.27</v>
      </c>
      <c r="I406" s="100">
        <v>0.4</v>
      </c>
      <c r="J406" s="100">
        <v>18.2</v>
      </c>
      <c r="K406" s="100">
        <v>0.17</v>
      </c>
      <c r="L406" s="100">
        <v>0.48</v>
      </c>
      <c r="M406" s="217">
        <v>1.8054E-3</v>
      </c>
      <c r="N406" s="217">
        <v>2.6719999999999999E-3</v>
      </c>
      <c r="O406" s="100" t="s">
        <v>312</v>
      </c>
      <c r="P406" s="218">
        <f>(K406*AU)/(C406*pc)/Photometry!$AB$19</f>
        <v>3.6715378696633737E-2</v>
      </c>
      <c r="Q406" s="522" t="s">
        <v>86</v>
      </c>
      <c r="R406" s="100">
        <v>999</v>
      </c>
      <c r="S406" s="103"/>
    </row>
    <row r="407" spans="1:19" x14ac:dyDescent="0.25">
      <c r="A407" s="497">
        <v>405</v>
      </c>
      <c r="B407" s="100">
        <v>6.36</v>
      </c>
      <c r="C407" s="214">
        <v>29.146000000000001</v>
      </c>
      <c r="D407" s="215">
        <v>131.91829999999999</v>
      </c>
      <c r="E407" s="215">
        <v>-41.736800000000002</v>
      </c>
      <c r="F407" s="216" t="s">
        <v>664</v>
      </c>
      <c r="G407" s="215">
        <v>0.42</v>
      </c>
      <c r="H407" s="215">
        <v>12.53</v>
      </c>
      <c r="I407" s="100">
        <v>0.4</v>
      </c>
      <c r="J407" s="100">
        <v>3.5</v>
      </c>
      <c r="K407" s="100">
        <v>0.05</v>
      </c>
      <c r="L407" s="100">
        <v>0.02</v>
      </c>
      <c r="M407" s="217">
        <v>1.7155E-3</v>
      </c>
      <c r="N407" s="217">
        <v>1.7497999999999999E-3</v>
      </c>
      <c r="O407" s="100" t="s">
        <v>665</v>
      </c>
      <c r="P407" s="218">
        <f>(K407*AU)/(C407*pc)/Photometry!$AB$19</f>
        <v>3.4887175405286429E-2</v>
      </c>
      <c r="Q407" s="522" t="s">
        <v>85</v>
      </c>
      <c r="R407" s="100">
        <v>999</v>
      </c>
      <c r="S407" s="103"/>
    </row>
    <row r="408" spans="1:19" x14ac:dyDescent="0.25">
      <c r="A408" s="497">
        <v>406</v>
      </c>
      <c r="B408" s="100">
        <v>8.06</v>
      </c>
      <c r="C408" s="214">
        <v>29.638400000000001</v>
      </c>
      <c r="D408" s="215">
        <v>176.42619999999999</v>
      </c>
      <c r="E408" s="215">
        <v>2.8214999999999999</v>
      </c>
      <c r="F408" s="216" t="s">
        <v>666</v>
      </c>
      <c r="G408" s="215">
        <v>0.45</v>
      </c>
      <c r="H408" s="215">
        <v>12.563000000000001</v>
      </c>
      <c r="I408" s="100">
        <v>0.4</v>
      </c>
      <c r="J408" s="100">
        <v>4.0999999999999996</v>
      </c>
      <c r="K408" s="100">
        <v>0.05</v>
      </c>
      <c r="L408" s="100">
        <v>0</v>
      </c>
      <c r="M408" s="217">
        <v>1.6869999999999999E-3</v>
      </c>
      <c r="N408" s="217">
        <v>1.6869999999999999E-3</v>
      </c>
      <c r="O408" s="100" t="s">
        <v>261</v>
      </c>
      <c r="P408" s="218">
        <f>(K408*AU)/(C408*pc)/Photometry!$AB$19</f>
        <v>3.43075744426986E-2</v>
      </c>
      <c r="Q408" s="522" t="s">
        <v>87</v>
      </c>
      <c r="R408" s="100">
        <v>999</v>
      </c>
      <c r="S408" s="103"/>
    </row>
    <row r="409" spans="1:19" x14ac:dyDescent="0.25">
      <c r="A409" s="497">
        <v>407</v>
      </c>
      <c r="B409" s="100">
        <v>7.96</v>
      </c>
      <c r="C409" s="214">
        <v>65.530799999999999</v>
      </c>
      <c r="D409" s="215">
        <v>287.791</v>
      </c>
      <c r="E409" s="215">
        <v>-2.6383999999999999</v>
      </c>
      <c r="F409" s="216" t="s">
        <v>667</v>
      </c>
      <c r="G409" s="215">
        <v>0.08</v>
      </c>
      <c r="H409" s="215">
        <v>9.9990000000000006</v>
      </c>
      <c r="I409" s="100">
        <v>0.4</v>
      </c>
      <c r="J409" s="100">
        <v>14.5</v>
      </c>
      <c r="K409" s="100">
        <v>0.11</v>
      </c>
      <c r="L409" s="100">
        <v>0.12</v>
      </c>
      <c r="M409" s="217">
        <v>1.6785999999999999E-3</v>
      </c>
      <c r="N409" s="217">
        <v>1.8799999999999999E-3</v>
      </c>
      <c r="O409" s="100" t="s">
        <v>281</v>
      </c>
      <c r="P409" s="218">
        <f>(K409*AU)/(C409*pc)/Photometry!$AB$19</f>
        <v>3.4136734964283239E-2</v>
      </c>
      <c r="Q409" s="522" t="s">
        <v>86</v>
      </c>
      <c r="R409" s="100">
        <v>999</v>
      </c>
      <c r="S409" s="103"/>
    </row>
    <row r="410" spans="1:19" x14ac:dyDescent="0.25">
      <c r="A410" s="497">
        <v>408</v>
      </c>
      <c r="B410" s="100">
        <v>6.2850000000000001</v>
      </c>
      <c r="C410" s="214">
        <v>24.2014</v>
      </c>
      <c r="D410" s="215">
        <v>227.68639999999999</v>
      </c>
      <c r="E410" s="215">
        <v>-61.4223</v>
      </c>
      <c r="F410" s="216" t="s">
        <v>313</v>
      </c>
      <c r="G410" s="215">
        <v>3.5000000000000003E-2</v>
      </c>
      <c r="H410" s="215">
        <v>4.3550000000000004</v>
      </c>
      <c r="I410" s="100">
        <v>0.4</v>
      </c>
      <c r="J410" s="100">
        <v>3.3</v>
      </c>
      <c r="K410" s="100">
        <v>0.04</v>
      </c>
      <c r="L410" s="100">
        <v>0.4</v>
      </c>
      <c r="M410" s="217">
        <v>1.6528000000000001E-3</v>
      </c>
      <c r="N410" s="217">
        <v>2.3138999999999998E-3</v>
      </c>
      <c r="O410" s="100" t="s">
        <v>314</v>
      </c>
      <c r="P410" s="218">
        <f>(K410*AU)/(C410*pc)/Photometry!$AB$19</f>
        <v>3.3611993169402707E-2</v>
      </c>
      <c r="Q410" s="522" t="s">
        <v>85</v>
      </c>
      <c r="R410" s="100">
        <v>999</v>
      </c>
      <c r="S410" s="103"/>
    </row>
    <row r="411" spans="1:19" x14ac:dyDescent="0.25">
      <c r="A411" s="497">
        <v>409</v>
      </c>
      <c r="B411" s="100">
        <v>7.95</v>
      </c>
      <c r="C411" s="214">
        <v>42.734999999999999</v>
      </c>
      <c r="D411" s="215">
        <v>275.45740000000001</v>
      </c>
      <c r="E411" s="215">
        <v>-11.922700000000001</v>
      </c>
      <c r="F411" s="216" t="s">
        <v>668</v>
      </c>
      <c r="G411" s="215">
        <v>0.23</v>
      </c>
      <c r="H411" s="215">
        <v>11.882</v>
      </c>
      <c r="I411" s="100">
        <v>0.4</v>
      </c>
      <c r="J411" s="100">
        <v>6.4</v>
      </c>
      <c r="K411" s="100">
        <v>7.0000000000000007E-2</v>
      </c>
      <c r="L411" s="100">
        <v>0.08</v>
      </c>
      <c r="M411" s="217">
        <v>1.6379999999999999E-3</v>
      </c>
      <c r="N411" s="217">
        <v>1.769E-3</v>
      </c>
      <c r="O411" s="100" t="s">
        <v>281</v>
      </c>
      <c r="P411" s="218">
        <f>(K411*AU)/(C411*pc)/Photometry!$AB$19</f>
        <v>3.3311109397624189E-2</v>
      </c>
      <c r="Q411" s="522" t="s">
        <v>86</v>
      </c>
      <c r="R411" s="100">
        <v>999</v>
      </c>
      <c r="S411" s="103"/>
    </row>
    <row r="412" spans="1:19" x14ac:dyDescent="0.25">
      <c r="A412" s="497">
        <v>410</v>
      </c>
      <c r="B412" s="100">
        <v>6.6829999999999998</v>
      </c>
      <c r="C412" s="214">
        <v>50.276499999999999</v>
      </c>
      <c r="D412" s="215">
        <v>294.2989</v>
      </c>
      <c r="E412" s="215">
        <v>28.4999</v>
      </c>
      <c r="F412" s="216" t="s">
        <v>669</v>
      </c>
      <c r="G412" s="215">
        <v>0.94</v>
      </c>
      <c r="H412" s="215">
        <v>12.831</v>
      </c>
      <c r="I412" s="100">
        <v>0.4</v>
      </c>
      <c r="J412" s="100">
        <v>6.8</v>
      </c>
      <c r="K412" s="100">
        <v>0.08</v>
      </c>
      <c r="L412" s="100">
        <v>0.3</v>
      </c>
      <c r="M412" s="217">
        <v>1.5912000000000001E-3</v>
      </c>
      <c r="N412" s="217">
        <v>2.0685999999999999E-3</v>
      </c>
      <c r="O412" s="100" t="s">
        <v>670</v>
      </c>
      <c r="P412" s="218">
        <f>(K412*AU)/(C412*pc)/Photometry!$AB$19</f>
        <v>3.235934448459947E-2</v>
      </c>
      <c r="Q412" s="522" t="s">
        <v>85</v>
      </c>
      <c r="R412" s="100">
        <v>999</v>
      </c>
      <c r="S412" s="103"/>
    </row>
    <row r="413" spans="1:19" x14ac:dyDescent="0.25">
      <c r="A413" s="497">
        <v>411</v>
      </c>
      <c r="B413" s="100">
        <v>7.32</v>
      </c>
      <c r="C413" s="214">
        <v>39.016800000000003</v>
      </c>
      <c r="D413" s="215">
        <v>24.473199999999999</v>
      </c>
      <c r="E413" s="215">
        <v>-60.511499999999998</v>
      </c>
      <c r="F413" s="216" t="s">
        <v>319</v>
      </c>
      <c r="G413" s="215">
        <v>4.1000000000000002E-2</v>
      </c>
      <c r="H413" s="215">
        <v>5.766</v>
      </c>
      <c r="I413" s="100">
        <v>0.4</v>
      </c>
      <c r="J413" s="100">
        <v>5.8</v>
      </c>
      <c r="K413" s="100">
        <v>0.06</v>
      </c>
      <c r="L413" s="100">
        <v>0.05</v>
      </c>
      <c r="M413" s="217">
        <v>1.5378E-3</v>
      </c>
      <c r="N413" s="217">
        <v>1.6146999999999999E-3</v>
      </c>
      <c r="O413" s="100" t="s">
        <v>233</v>
      </c>
      <c r="P413" s="218">
        <f>(K413*AU)/(C413*pc)/Photometry!$AB$19</f>
        <v>3.1273347307697548E-2</v>
      </c>
      <c r="Q413" s="522" t="s">
        <v>85</v>
      </c>
      <c r="R413" s="100">
        <v>999</v>
      </c>
      <c r="S413" s="103"/>
    </row>
    <row r="414" spans="1:19" x14ac:dyDescent="0.25">
      <c r="A414" s="497">
        <v>412</v>
      </c>
      <c r="B414" s="100">
        <v>8.1</v>
      </c>
      <c r="C414" s="214">
        <v>44.228200000000001</v>
      </c>
      <c r="D414" s="215">
        <v>102.8771</v>
      </c>
      <c r="E414" s="215">
        <v>40.867800000000003</v>
      </c>
      <c r="F414" s="216" t="s">
        <v>671</v>
      </c>
      <c r="G414" s="215">
        <v>0.115</v>
      </c>
      <c r="H414" s="215">
        <v>10.829000000000001</v>
      </c>
      <c r="I414" s="100">
        <v>0.4</v>
      </c>
      <c r="J414" s="100">
        <v>4.9000000000000004</v>
      </c>
      <c r="K414" s="100">
        <v>0.06</v>
      </c>
      <c r="L414" s="100">
        <v>0.23</v>
      </c>
      <c r="M414" s="217">
        <v>1.3565999999999999E-3</v>
      </c>
      <c r="N414" s="217">
        <v>1.6685999999999999E-3</v>
      </c>
      <c r="O414" s="100" t="s">
        <v>287</v>
      </c>
      <c r="P414" s="218">
        <f>(K414*AU)/(C414*pc)/Photometry!$AB$19</f>
        <v>2.7588415021071941E-2</v>
      </c>
      <c r="Q414" s="522" t="s">
        <v>85</v>
      </c>
      <c r="R414" s="100">
        <v>999</v>
      </c>
      <c r="S414" s="103"/>
    </row>
    <row r="415" spans="1:19" x14ac:dyDescent="0.25">
      <c r="A415" s="497">
        <v>413</v>
      </c>
      <c r="B415" s="100">
        <v>8.5</v>
      </c>
      <c r="C415" s="214">
        <v>53.447400000000002</v>
      </c>
      <c r="D415" s="215">
        <v>47.8093</v>
      </c>
      <c r="E415" s="215">
        <v>21.0974</v>
      </c>
      <c r="F415" s="216" t="s">
        <v>439</v>
      </c>
      <c r="G415" s="215">
        <v>3.88</v>
      </c>
      <c r="H415" s="215">
        <v>13.134</v>
      </c>
      <c r="I415" s="100">
        <v>0.4</v>
      </c>
      <c r="J415" s="100">
        <v>6.7</v>
      </c>
      <c r="K415" s="100">
        <v>7.0000000000000007E-2</v>
      </c>
      <c r="L415" s="100">
        <v>0.14000000000000001</v>
      </c>
      <c r="M415" s="217">
        <v>1.3097E-3</v>
      </c>
      <c r="N415" s="217">
        <v>1.4931E-3</v>
      </c>
      <c r="O415" s="100" t="s">
        <v>281</v>
      </c>
      <c r="P415" s="218">
        <f>(K415*AU)/(C415*pc)/Photometry!$AB$19</f>
        <v>2.6634602620660121E-2</v>
      </c>
      <c r="Q415" s="522" t="s">
        <v>86</v>
      </c>
      <c r="R415" s="100">
        <v>999</v>
      </c>
      <c r="S415" s="103"/>
    </row>
    <row r="416" spans="1:19" x14ac:dyDescent="0.25">
      <c r="A416" s="497">
        <v>414</v>
      </c>
      <c r="B416" s="100">
        <v>8.19</v>
      </c>
      <c r="C416" s="214">
        <v>54.525599999999997</v>
      </c>
      <c r="D416" s="215">
        <v>124.5924</v>
      </c>
      <c r="E416" s="215">
        <v>61.460700000000003</v>
      </c>
      <c r="F416" s="216" t="s">
        <v>672</v>
      </c>
      <c r="G416" s="215">
        <v>1.9</v>
      </c>
      <c r="H416" s="215">
        <v>12.938000000000001</v>
      </c>
      <c r="I416" s="100">
        <v>0.4</v>
      </c>
      <c r="J416" s="100">
        <v>6.3</v>
      </c>
      <c r="K416" s="100">
        <v>7.0000000000000007E-2</v>
      </c>
      <c r="L416" s="100">
        <v>0.14000000000000001</v>
      </c>
      <c r="M416" s="217">
        <v>1.2838000000000001E-3</v>
      </c>
      <c r="N416" s="217">
        <v>1.4635E-3</v>
      </c>
      <c r="O416" s="100" t="s">
        <v>287</v>
      </c>
      <c r="P416" s="218">
        <f>(K416*AU)/(C416*pc)/Photometry!$AB$19</f>
        <v>2.610792471990166E-2</v>
      </c>
      <c r="Q416" s="522" t="s">
        <v>85</v>
      </c>
      <c r="R416" s="100">
        <v>999</v>
      </c>
      <c r="S416" s="103"/>
    </row>
    <row r="417" spans="1:19" x14ac:dyDescent="0.25">
      <c r="A417" s="497">
        <v>415</v>
      </c>
      <c r="B417" s="100">
        <v>7.63</v>
      </c>
      <c r="C417" s="214">
        <v>39.588299999999997</v>
      </c>
      <c r="D417" s="215">
        <v>99.036600000000007</v>
      </c>
      <c r="E417" s="215">
        <v>-27.622299999999999</v>
      </c>
      <c r="F417" s="216" t="s">
        <v>358</v>
      </c>
      <c r="G417" s="215">
        <v>7.1999999999999995E-2</v>
      </c>
      <c r="H417" s="215">
        <v>9.4559999999999995</v>
      </c>
      <c r="I417" s="100">
        <v>0.4</v>
      </c>
      <c r="J417" s="100">
        <v>4.0999999999999996</v>
      </c>
      <c r="K417" s="100">
        <v>0.05</v>
      </c>
      <c r="L417" s="100">
        <v>0.04</v>
      </c>
      <c r="M417" s="217">
        <v>1.263E-3</v>
      </c>
      <c r="N417" s="217">
        <v>1.3135E-3</v>
      </c>
      <c r="O417" s="100" t="s">
        <v>341</v>
      </c>
      <c r="P417" s="218">
        <f>(K417*AU)/(C417*pc)/Photometry!$AB$19</f>
        <v>2.5684902215110991E-2</v>
      </c>
      <c r="Q417" s="522" t="s">
        <v>86</v>
      </c>
      <c r="R417" s="100">
        <v>999</v>
      </c>
      <c r="S417" s="103"/>
    </row>
    <row r="418" spans="1:19" x14ac:dyDescent="0.25">
      <c r="A418" s="497">
        <v>416</v>
      </c>
      <c r="B418" s="100">
        <v>9.36</v>
      </c>
      <c r="C418" s="214">
        <v>34.542299999999997</v>
      </c>
      <c r="D418" s="215">
        <v>114.84099999999999</v>
      </c>
      <c r="E418" s="215">
        <v>-78.278999999999996</v>
      </c>
      <c r="F418" s="216" t="s">
        <v>673</v>
      </c>
      <c r="G418" s="215">
        <v>0.38</v>
      </c>
      <c r="H418" s="215">
        <v>12.458</v>
      </c>
      <c r="I418" s="100">
        <v>0.4</v>
      </c>
      <c r="J418" s="100">
        <v>2.8</v>
      </c>
      <c r="K418" s="100">
        <v>0.04</v>
      </c>
      <c r="L418" s="100">
        <v>0</v>
      </c>
      <c r="M418" s="217">
        <v>1.158E-3</v>
      </c>
      <c r="N418" s="217">
        <v>1.158E-3</v>
      </c>
      <c r="O418" s="100" t="s">
        <v>556</v>
      </c>
      <c r="P418" s="218">
        <f>(K418*AU)/(C418*pc)/Photometry!$AB$19</f>
        <v>2.3549598361718316E-2</v>
      </c>
      <c r="Q418" s="522" t="s">
        <v>88</v>
      </c>
      <c r="R418" s="100">
        <v>999</v>
      </c>
      <c r="S418" s="103"/>
    </row>
    <row r="419" spans="1:19" x14ac:dyDescent="0.25">
      <c r="A419" s="497">
        <v>417</v>
      </c>
      <c r="B419" s="100">
        <v>7.84</v>
      </c>
      <c r="C419" s="214">
        <v>34.818899999999999</v>
      </c>
      <c r="D419" s="215">
        <v>98.302599999999998</v>
      </c>
      <c r="E419" s="215">
        <v>5.4629000000000003</v>
      </c>
      <c r="F419" s="216" t="s">
        <v>674</v>
      </c>
      <c r="G419" s="215">
        <v>0.249</v>
      </c>
      <c r="H419" s="215">
        <v>11.965</v>
      </c>
      <c r="I419" s="100">
        <v>0.4</v>
      </c>
      <c r="J419" s="100">
        <v>3</v>
      </c>
      <c r="K419" s="100">
        <v>0.04</v>
      </c>
      <c r="L419" s="100">
        <v>0.04</v>
      </c>
      <c r="M419" s="217">
        <v>1.1488E-3</v>
      </c>
      <c r="N419" s="217">
        <v>1.1948E-3</v>
      </c>
      <c r="O419" s="100" t="s">
        <v>273</v>
      </c>
      <c r="P419" s="218">
        <f>(K419*AU)/(C419*pc)/Photometry!$AB$19</f>
        <v>2.336252125971764E-2</v>
      </c>
      <c r="Q419" s="522" t="s">
        <v>87</v>
      </c>
      <c r="R419" s="100">
        <v>999</v>
      </c>
      <c r="S419" s="103"/>
    </row>
    <row r="420" spans="1:19" x14ac:dyDescent="0.25">
      <c r="A420" s="497">
        <v>418</v>
      </c>
      <c r="B420" s="100">
        <v>8.9499999999999993</v>
      </c>
      <c r="C420" s="214">
        <v>43.591999999999999</v>
      </c>
      <c r="D420" s="215">
        <v>341.65309999999999</v>
      </c>
      <c r="E420" s="215">
        <v>-56.599499999999999</v>
      </c>
      <c r="F420" s="216" t="s">
        <v>457</v>
      </c>
      <c r="G420" s="215">
        <v>0.02</v>
      </c>
      <c r="H420" s="215">
        <v>1.6259999999999999</v>
      </c>
      <c r="I420" s="100">
        <v>0.4</v>
      </c>
      <c r="J420" s="100">
        <v>3.9</v>
      </c>
      <c r="K420" s="100">
        <v>0.05</v>
      </c>
      <c r="L420" s="100">
        <v>0.16</v>
      </c>
      <c r="M420" s="217">
        <v>1.147E-3</v>
      </c>
      <c r="N420" s="217">
        <v>1.3305000000000001E-3</v>
      </c>
      <c r="O420" s="100" t="s">
        <v>295</v>
      </c>
      <c r="P420" s="218">
        <f>(K420*AU)/(C420*pc)/Photometry!$AB$19</f>
        <v>2.3325876637054471E-2</v>
      </c>
      <c r="Q420" s="522" t="s">
        <v>88</v>
      </c>
      <c r="R420" s="100">
        <v>999</v>
      </c>
      <c r="S420" s="103"/>
    </row>
    <row r="421" spans="1:19" x14ac:dyDescent="0.25">
      <c r="A421" s="497">
        <v>419</v>
      </c>
      <c r="B421" s="100">
        <v>8.08</v>
      </c>
      <c r="C421" s="214">
        <v>56.2746</v>
      </c>
      <c r="D421" s="215">
        <v>189.31819999999999</v>
      </c>
      <c r="E421" s="215">
        <v>-40.812100000000001</v>
      </c>
      <c r="F421" s="216" t="s">
        <v>675</v>
      </c>
      <c r="G421" s="215">
        <v>0.28000000000000003</v>
      </c>
      <c r="H421" s="215">
        <v>12.081</v>
      </c>
      <c r="I421" s="100">
        <v>0.4</v>
      </c>
      <c r="J421" s="100">
        <v>5.2</v>
      </c>
      <c r="K421" s="100">
        <v>0.06</v>
      </c>
      <c r="L421" s="100">
        <v>0.01</v>
      </c>
      <c r="M421" s="217">
        <v>1.0662E-3</v>
      </c>
      <c r="N421" s="217">
        <v>1.0769E-3</v>
      </c>
      <c r="O421" s="100" t="s">
        <v>256</v>
      </c>
      <c r="P421" s="218">
        <f>(K421*AU)/(C421*pc)/Photometry!$AB$19</f>
        <v>2.1682711867076335E-2</v>
      </c>
      <c r="Q421" s="522" t="s">
        <v>86</v>
      </c>
      <c r="R421" s="100">
        <v>999</v>
      </c>
      <c r="S421" s="103"/>
    </row>
    <row r="422" spans="1:19" x14ac:dyDescent="0.25">
      <c r="A422" s="497">
        <v>420</v>
      </c>
      <c r="B422" s="100">
        <v>8.06</v>
      </c>
      <c r="C422" s="214">
        <v>37.764400000000002</v>
      </c>
      <c r="D422" s="215">
        <v>129.0959</v>
      </c>
      <c r="E422" s="215">
        <v>-30.037600000000001</v>
      </c>
      <c r="F422" s="216" t="s">
        <v>676</v>
      </c>
      <c r="G422" s="215">
        <v>1.87</v>
      </c>
      <c r="H422" s="215">
        <v>12.936</v>
      </c>
      <c r="I422" s="100">
        <v>0.4</v>
      </c>
      <c r="J422" s="100">
        <v>2.5</v>
      </c>
      <c r="K422" s="100">
        <v>0.04</v>
      </c>
      <c r="L422" s="100">
        <v>0.03</v>
      </c>
      <c r="M422" s="217">
        <v>1.0591999999999999E-3</v>
      </c>
      <c r="N422" s="217">
        <v>1.091E-3</v>
      </c>
      <c r="O422" s="100" t="s">
        <v>677</v>
      </c>
      <c r="P422" s="218">
        <f>(K422*AU)/(C422*pc)/Photometry!$AB$19</f>
        <v>2.1540320817753825E-2</v>
      </c>
      <c r="Q422" s="522" t="s">
        <v>86</v>
      </c>
      <c r="R422" s="100">
        <v>999</v>
      </c>
      <c r="S422" s="103"/>
    </row>
    <row r="423" spans="1:19" x14ac:dyDescent="0.25">
      <c r="A423" s="497">
        <v>421</v>
      </c>
      <c r="B423" s="100">
        <v>8.24</v>
      </c>
      <c r="C423" s="214">
        <v>41.169199999999996</v>
      </c>
      <c r="D423" s="215">
        <v>144.29929999999999</v>
      </c>
      <c r="E423" s="215">
        <v>-43.272199999999998</v>
      </c>
      <c r="F423" s="216" t="s">
        <v>678</v>
      </c>
      <c r="G423" s="215">
        <v>0.4</v>
      </c>
      <c r="H423" s="215">
        <v>12.509</v>
      </c>
      <c r="I423" s="100">
        <v>0.4</v>
      </c>
      <c r="J423" s="100">
        <v>3</v>
      </c>
      <c r="K423" s="100">
        <v>0.04</v>
      </c>
      <c r="L423" s="100">
        <v>0.01</v>
      </c>
      <c r="M423" s="217">
        <v>9.7159999999999998E-4</v>
      </c>
      <c r="N423" s="217">
        <v>9.8131999999999994E-4</v>
      </c>
      <c r="O423" s="100" t="s">
        <v>261</v>
      </c>
      <c r="P423" s="218">
        <f>(K423*AU)/(C423*pc)/Photometry!$AB$19</f>
        <v>1.9758880218463868E-2</v>
      </c>
      <c r="Q423" s="522" t="s">
        <v>87</v>
      </c>
      <c r="R423" s="100">
        <v>999</v>
      </c>
      <c r="S423" s="103"/>
    </row>
    <row r="424" spans="1:19" x14ac:dyDescent="0.25">
      <c r="A424" s="497">
        <v>422</v>
      </c>
      <c r="B424" s="100">
        <v>8.32</v>
      </c>
      <c r="C424" s="214">
        <v>54.200499999999998</v>
      </c>
      <c r="D424" s="215">
        <v>215.22300000000001</v>
      </c>
      <c r="E424" s="215">
        <v>-17.4815</v>
      </c>
      <c r="F424" s="216" t="s">
        <v>337</v>
      </c>
      <c r="G424" s="215">
        <v>5.8000000000000003E-2</v>
      </c>
      <c r="H424" s="215">
        <v>8.5649999999999995</v>
      </c>
      <c r="I424" s="100">
        <v>0.4</v>
      </c>
      <c r="J424" s="100">
        <v>4.2</v>
      </c>
      <c r="K424" s="100">
        <v>0.05</v>
      </c>
      <c r="L424" s="100">
        <v>0.27</v>
      </c>
      <c r="M424" s="217">
        <v>9.2250000000000003E-4</v>
      </c>
      <c r="N424" s="217">
        <v>1.1716000000000001E-3</v>
      </c>
      <c r="O424" s="100" t="s">
        <v>256</v>
      </c>
      <c r="P424" s="218">
        <f>(K424*AU)/(C424*pc)/Photometry!$AB$19</f>
        <v>1.876037332427705E-2</v>
      </c>
      <c r="Q424" s="522" t="s">
        <v>86</v>
      </c>
      <c r="R424" s="100">
        <v>999</v>
      </c>
      <c r="S424" s="103"/>
    </row>
    <row r="425" spans="1:19" x14ac:dyDescent="0.25">
      <c r="A425" s="497">
        <v>423</v>
      </c>
      <c r="B425" s="100">
        <v>8.1300000000000008</v>
      </c>
      <c r="C425" s="214">
        <v>60.277299999999997</v>
      </c>
      <c r="D425" s="215">
        <v>133.4813</v>
      </c>
      <c r="E425" s="215">
        <v>-66.801000000000002</v>
      </c>
      <c r="F425" s="216" t="s">
        <v>679</v>
      </c>
      <c r="G425" s="215">
        <v>0.19700000000000001</v>
      </c>
      <c r="H425" s="215">
        <v>11.65</v>
      </c>
      <c r="I425" s="100">
        <v>0.4</v>
      </c>
      <c r="J425" s="100">
        <v>4</v>
      </c>
      <c r="K425" s="100">
        <v>0.05</v>
      </c>
      <c r="L425" s="100">
        <v>0</v>
      </c>
      <c r="M425" s="217">
        <v>8.2950000000000005E-4</v>
      </c>
      <c r="N425" s="217">
        <v>8.2950000000000005E-4</v>
      </c>
      <c r="O425" s="100" t="s">
        <v>341</v>
      </c>
      <c r="P425" s="218">
        <f>(K425*AU)/(C425*pc)/Photometry!$AB$19</f>
        <v>1.6869063716564582E-2</v>
      </c>
      <c r="Q425" s="522" t="s">
        <v>86</v>
      </c>
      <c r="R425" s="100">
        <v>999</v>
      </c>
      <c r="S425" s="103"/>
    </row>
    <row r="426" spans="1:19" x14ac:dyDescent="0.25">
      <c r="A426" s="497">
        <v>424</v>
      </c>
      <c r="B426" s="100">
        <v>9.33</v>
      </c>
      <c r="C426" s="214">
        <v>49.603200000000001</v>
      </c>
      <c r="D426" s="215">
        <v>237.40700000000001</v>
      </c>
      <c r="E426" s="215">
        <v>-49.963500000000003</v>
      </c>
      <c r="F426" s="216" t="s">
        <v>680</v>
      </c>
      <c r="G426" s="215">
        <v>0.62</v>
      </c>
      <c r="H426" s="215">
        <v>12.744999999999999</v>
      </c>
      <c r="I426" s="100">
        <v>0.4</v>
      </c>
      <c r="J426" s="100">
        <v>3.4</v>
      </c>
      <c r="K426" s="100">
        <v>0.04</v>
      </c>
      <c r="L426" s="100">
        <v>0</v>
      </c>
      <c r="M426" s="217">
        <v>8.0639999999999998E-4</v>
      </c>
      <c r="N426" s="217">
        <v>8.0639999999999998E-4</v>
      </c>
      <c r="O426" s="100" t="s">
        <v>281</v>
      </c>
      <c r="P426" s="218">
        <f>(K426*AU)/(C426*pc)/Photometry!$AB$19</f>
        <v>1.6399290600001261E-2</v>
      </c>
      <c r="Q426" s="522" t="s">
        <v>86</v>
      </c>
      <c r="R426" s="100">
        <v>999</v>
      </c>
      <c r="S426" s="103"/>
    </row>
    <row r="427" spans="1:19" x14ac:dyDescent="0.25">
      <c r="A427" s="497">
        <v>425</v>
      </c>
      <c r="B427" s="100">
        <v>7.89</v>
      </c>
      <c r="C427" s="214">
        <v>62.034700000000001</v>
      </c>
      <c r="D427" s="215">
        <v>248.21270000000001</v>
      </c>
      <c r="E427" s="215">
        <v>2.0848</v>
      </c>
      <c r="F427" s="216" t="s">
        <v>681</v>
      </c>
      <c r="G427" s="215">
        <v>1.36</v>
      </c>
      <c r="H427" s="215">
        <v>12.895</v>
      </c>
      <c r="I427" s="100">
        <v>0.4</v>
      </c>
      <c r="J427" s="100">
        <v>4.0999999999999996</v>
      </c>
      <c r="K427" s="100">
        <v>0.05</v>
      </c>
      <c r="L427" s="100">
        <v>0</v>
      </c>
      <c r="M427" s="217">
        <v>8.0599999999999997E-4</v>
      </c>
      <c r="N427" s="217">
        <v>8.0599999999999997E-4</v>
      </c>
      <c r="O427" s="100" t="s">
        <v>287</v>
      </c>
      <c r="P427" s="218">
        <f>(K427*AU)/(C427*pc)/Photometry!$AB$19</f>
        <v>1.639117484831035E-2</v>
      </c>
      <c r="Q427" s="522" t="s">
        <v>85</v>
      </c>
      <c r="R427" s="100">
        <v>999</v>
      </c>
      <c r="S427" s="103"/>
    </row>
    <row r="428" spans="1:19" x14ac:dyDescent="0.25">
      <c r="A428" s="497">
        <v>426</v>
      </c>
      <c r="B428" s="100">
        <v>9.3800000000000008</v>
      </c>
      <c r="C428" s="214">
        <v>49.9251</v>
      </c>
      <c r="D428" s="215">
        <v>7.4995000000000003</v>
      </c>
      <c r="E428" s="215">
        <v>-5.7640000000000002</v>
      </c>
      <c r="F428" s="216" t="s">
        <v>682</v>
      </c>
      <c r="G428" s="215">
        <v>0.48</v>
      </c>
      <c r="H428" s="215">
        <v>12.595000000000001</v>
      </c>
      <c r="I428" s="100">
        <v>0.4</v>
      </c>
      <c r="J428" s="100">
        <v>3.4</v>
      </c>
      <c r="K428" s="100">
        <v>0.04</v>
      </c>
      <c r="L428" s="100">
        <v>0</v>
      </c>
      <c r="M428" s="217">
        <v>8.0119999999999996E-4</v>
      </c>
      <c r="N428" s="217">
        <v>8.0119999999999996E-4</v>
      </c>
      <c r="O428" s="100" t="s">
        <v>281</v>
      </c>
      <c r="P428" s="218">
        <f>(K428*AU)/(C428*pc)/Photometry!$AB$19</f>
        <v>1.629355357305208E-2</v>
      </c>
      <c r="Q428" s="522" t="s">
        <v>86</v>
      </c>
      <c r="R428" s="100">
        <v>999</v>
      </c>
      <c r="S428" s="103"/>
    </row>
    <row r="429" spans="1:19" x14ac:dyDescent="0.25">
      <c r="A429" s="497">
        <v>427</v>
      </c>
      <c r="B429" s="100">
        <v>8.06</v>
      </c>
      <c r="C429" s="214">
        <v>88.573999999999998</v>
      </c>
      <c r="D429" s="215">
        <v>203.51060000000001</v>
      </c>
      <c r="E429" s="215">
        <v>53.728499999999997</v>
      </c>
      <c r="F429" s="216" t="s">
        <v>683</v>
      </c>
      <c r="G429" s="215">
        <v>2.13</v>
      </c>
      <c r="H429" s="215">
        <v>12.954000000000001</v>
      </c>
      <c r="I429" s="100">
        <v>0.4</v>
      </c>
      <c r="J429" s="100">
        <v>6.1</v>
      </c>
      <c r="K429" s="100">
        <v>7.0000000000000007E-2</v>
      </c>
      <c r="L429" s="100">
        <v>0.31</v>
      </c>
      <c r="M429" s="217">
        <v>7.9029999999999997E-4</v>
      </c>
      <c r="N429" s="217">
        <v>1.0353000000000001E-3</v>
      </c>
      <c r="O429" s="100" t="s">
        <v>323</v>
      </c>
      <c r="P429" s="218">
        <f>(K429*AU)/(C429*pc)/Photometry!$AB$19</f>
        <v>1.6071875043550815E-2</v>
      </c>
      <c r="Q429" s="522" t="s">
        <v>87</v>
      </c>
      <c r="R429" s="100">
        <v>999</v>
      </c>
      <c r="S429" s="103"/>
    </row>
    <row r="430" spans="1:19" x14ac:dyDescent="0.25">
      <c r="A430" s="497">
        <v>428</v>
      </c>
      <c r="B430" s="100">
        <v>7.76</v>
      </c>
      <c r="C430" s="214">
        <v>54.945099999999996</v>
      </c>
      <c r="D430" s="215">
        <v>336.87880000000001</v>
      </c>
      <c r="E430" s="215">
        <v>-77.7179</v>
      </c>
      <c r="F430" s="216" t="s">
        <v>684</v>
      </c>
      <c r="G430" s="215">
        <v>0.45</v>
      </c>
      <c r="H430" s="215">
        <v>12.563000000000001</v>
      </c>
      <c r="I430" s="100">
        <v>0.4</v>
      </c>
      <c r="J430" s="100">
        <v>2.2000000000000002</v>
      </c>
      <c r="K430" s="100">
        <v>0.04</v>
      </c>
      <c r="L430" s="100">
        <v>0</v>
      </c>
      <c r="M430" s="217">
        <v>7.2800000000000002E-4</v>
      </c>
      <c r="N430" s="217">
        <v>7.2800000000000002E-4</v>
      </c>
      <c r="O430" s="100" t="s">
        <v>321</v>
      </c>
      <c r="P430" s="218">
        <f>(K430*AU)/(C430*pc)/Photometry!$AB$19</f>
        <v>1.480491056509102E-2</v>
      </c>
      <c r="Q430" s="522" t="s">
        <v>84</v>
      </c>
      <c r="R430" s="100">
        <v>999</v>
      </c>
      <c r="S430" s="103"/>
    </row>
    <row r="431" spans="1:19" x14ac:dyDescent="0.25">
      <c r="A431" s="497">
        <v>429</v>
      </c>
      <c r="B431" s="100">
        <v>8.01</v>
      </c>
      <c r="C431" s="214">
        <v>72.306600000000003</v>
      </c>
      <c r="D431" s="215">
        <v>349.69470000000001</v>
      </c>
      <c r="E431" s="215">
        <v>18.645700000000001</v>
      </c>
      <c r="F431" s="216" t="s">
        <v>685</v>
      </c>
      <c r="G431" s="215">
        <v>6.6000000000000003E-2</v>
      </c>
      <c r="H431" s="215">
        <v>9.0869999999999997</v>
      </c>
      <c r="I431" s="100">
        <v>0.4</v>
      </c>
      <c r="J431" s="100">
        <v>3.8</v>
      </c>
      <c r="K431" s="100">
        <v>0.05</v>
      </c>
      <c r="L431" s="100">
        <v>0</v>
      </c>
      <c r="M431" s="217">
        <v>6.9149999999999995E-4</v>
      </c>
      <c r="N431" s="217">
        <v>6.9149999999999995E-4</v>
      </c>
      <c r="O431" s="100" t="s">
        <v>670</v>
      </c>
      <c r="P431" s="218">
        <f>(K431*AU)/(C431*pc)/Photometry!$AB$19</f>
        <v>1.4062639017219427E-2</v>
      </c>
      <c r="Q431" s="522" t="s">
        <v>85</v>
      </c>
      <c r="R431" s="100">
        <v>999</v>
      </c>
      <c r="S431" s="103"/>
    </row>
    <row r="432" spans="1:19" x14ac:dyDescent="0.25">
      <c r="A432" s="497">
        <v>430</v>
      </c>
      <c r="B432" s="100">
        <v>7.851</v>
      </c>
      <c r="C432" s="214">
        <v>126.26260000000001</v>
      </c>
      <c r="D432" s="215">
        <v>177.84379999999999</v>
      </c>
      <c r="E432" s="215">
        <v>57.640700000000002</v>
      </c>
      <c r="F432" s="216" t="s">
        <v>686</v>
      </c>
      <c r="G432" s="215">
        <v>0.96</v>
      </c>
      <c r="H432" s="215">
        <v>12.835000000000001</v>
      </c>
      <c r="I432" s="100">
        <v>0.4</v>
      </c>
      <c r="J432" s="100">
        <v>6.5</v>
      </c>
      <c r="K432" s="100">
        <v>0.08</v>
      </c>
      <c r="L432" s="100">
        <v>0.05</v>
      </c>
      <c r="M432" s="217">
        <v>6.3360000000000001E-4</v>
      </c>
      <c r="N432" s="217">
        <v>6.6527999999999997E-4</v>
      </c>
      <c r="O432" s="100" t="s">
        <v>411</v>
      </c>
      <c r="P432" s="218">
        <f>(K432*AU)/(C432*pc)/Photometry!$AB$19</f>
        <v>1.2885166177315889E-2</v>
      </c>
      <c r="Q432" s="522" t="s">
        <v>87</v>
      </c>
      <c r="R432" s="100">
        <v>999</v>
      </c>
      <c r="S432" s="103"/>
    </row>
    <row r="433" spans="1:21" x14ac:dyDescent="0.25">
      <c r="A433" s="497">
        <v>431</v>
      </c>
      <c r="B433" s="100">
        <v>9.85</v>
      </c>
      <c r="C433" s="214">
        <v>111.9821</v>
      </c>
      <c r="D433" s="215">
        <v>38.545999999999999</v>
      </c>
      <c r="E433" s="215">
        <v>-12.3843</v>
      </c>
      <c r="F433" s="216" t="s">
        <v>609</v>
      </c>
      <c r="G433" s="215">
        <v>0.78</v>
      </c>
      <c r="H433" s="215">
        <v>12.802</v>
      </c>
      <c r="I433" s="100">
        <v>0.4</v>
      </c>
      <c r="J433" s="100">
        <v>6.9</v>
      </c>
      <c r="K433" s="100">
        <v>7.0000000000000007E-2</v>
      </c>
      <c r="L433" s="100">
        <v>0.35</v>
      </c>
      <c r="M433" s="217">
        <v>6.2509999999999996E-4</v>
      </c>
      <c r="N433" s="217">
        <v>8.4389000000000003E-4</v>
      </c>
      <c r="O433" s="100" t="s">
        <v>610</v>
      </c>
      <c r="P433" s="218">
        <f>(K433*AU)/(C433*pc)/Photometry!$AB$19</f>
        <v>1.2712301877777518E-2</v>
      </c>
      <c r="Q433" s="522" t="s">
        <v>84</v>
      </c>
      <c r="R433" s="100">
        <v>999</v>
      </c>
      <c r="S433" s="103"/>
    </row>
    <row r="434" spans="1:21" x14ac:dyDescent="0.25">
      <c r="A434" s="497">
        <v>432</v>
      </c>
      <c r="B434" s="100">
        <v>8.06</v>
      </c>
      <c r="C434" s="214">
        <v>81.433199999999999</v>
      </c>
      <c r="D434" s="215">
        <v>152.53200000000001</v>
      </c>
      <c r="E434" s="215">
        <v>18.186900000000001</v>
      </c>
      <c r="F434" s="216" t="s">
        <v>687</v>
      </c>
      <c r="G434" s="215">
        <v>0.22</v>
      </c>
      <c r="H434" s="215">
        <v>11.811999999999999</v>
      </c>
      <c r="I434" s="100">
        <v>0.4</v>
      </c>
      <c r="J434" s="100">
        <v>3.4</v>
      </c>
      <c r="K434" s="100">
        <v>0.05</v>
      </c>
      <c r="L434" s="100">
        <v>0.13</v>
      </c>
      <c r="M434" s="217">
        <v>6.1399999999999996E-4</v>
      </c>
      <c r="N434" s="217">
        <v>6.9382000000000005E-4</v>
      </c>
      <c r="O434" s="100" t="s">
        <v>349</v>
      </c>
      <c r="P434" s="218">
        <f>(K434*AU)/(C434*pc)/Photometry!$AB$19</f>
        <v>1.2486573220289491E-2</v>
      </c>
      <c r="Q434" s="522" t="s">
        <v>86</v>
      </c>
      <c r="R434" s="100">
        <v>999</v>
      </c>
      <c r="S434" s="103"/>
    </row>
    <row r="435" spans="1:21" x14ac:dyDescent="0.25">
      <c r="A435" s="497">
        <v>433</v>
      </c>
      <c r="B435" s="100">
        <v>8.6999999999999993</v>
      </c>
      <c r="C435" s="214">
        <v>95.328900000000004</v>
      </c>
      <c r="D435" s="215">
        <v>149.0247</v>
      </c>
      <c r="E435" s="215">
        <v>-3.8083999999999998</v>
      </c>
      <c r="F435" s="216" t="s">
        <v>688</v>
      </c>
      <c r="G435" s="215">
        <v>1.5</v>
      </c>
      <c r="H435" s="215">
        <v>12.909000000000001</v>
      </c>
      <c r="I435" s="100">
        <v>0.4</v>
      </c>
      <c r="J435" s="100">
        <v>2.1</v>
      </c>
      <c r="K435" s="100">
        <v>0.04</v>
      </c>
      <c r="L435" s="100">
        <v>0.01</v>
      </c>
      <c r="M435" s="217">
        <v>4.1960000000000001E-4</v>
      </c>
      <c r="N435" s="217">
        <v>4.238E-4</v>
      </c>
      <c r="O435" s="100" t="s">
        <v>370</v>
      </c>
      <c r="P435" s="218">
        <f>(K435*AU)/(C435*pc)/Photometry!$AB$19</f>
        <v>8.5331656138902534E-3</v>
      </c>
      <c r="Q435" s="522" t="s">
        <v>84</v>
      </c>
      <c r="R435" s="100">
        <v>999</v>
      </c>
      <c r="S435" s="103"/>
    </row>
    <row r="436" spans="1:21" x14ac:dyDescent="0.25">
      <c r="A436" s="497">
        <v>434</v>
      </c>
      <c r="B436" s="100">
        <v>8.17</v>
      </c>
      <c r="C436" s="214">
        <v>5263.1579000000002</v>
      </c>
      <c r="D436" s="215">
        <v>348.92590000000001</v>
      </c>
      <c r="E436" s="215">
        <v>58.043199999999999</v>
      </c>
      <c r="F436" s="216" t="s">
        <v>689</v>
      </c>
      <c r="G436" s="215">
        <v>5.3</v>
      </c>
      <c r="H436" s="215">
        <v>13.09</v>
      </c>
      <c r="I436" s="100">
        <v>0.4</v>
      </c>
      <c r="J436" s="100">
        <v>745.7</v>
      </c>
      <c r="K436" s="100">
        <v>1.9</v>
      </c>
      <c r="L436" s="100">
        <v>0.4</v>
      </c>
      <c r="M436" s="217">
        <v>3.6099999999999999E-4</v>
      </c>
      <c r="N436" s="217">
        <v>5.0540000000000003E-4</v>
      </c>
      <c r="O436" s="100" t="s">
        <v>614</v>
      </c>
      <c r="P436" s="218">
        <f>(K436*AU)/(C436*pc)/Photometry!$AB$19</f>
        <v>7.3414520483556399E-3</v>
      </c>
      <c r="Q436" s="522" t="s">
        <v>87</v>
      </c>
      <c r="R436" s="100">
        <v>999</v>
      </c>
      <c r="S436" s="103"/>
    </row>
    <row r="437" spans="1:21" x14ac:dyDescent="0.25">
      <c r="A437" s="497">
        <v>435</v>
      </c>
      <c r="B437" s="100">
        <v>6.86</v>
      </c>
      <c r="C437" s="214">
        <v>159.4896</v>
      </c>
      <c r="D437" s="215">
        <v>22.3843</v>
      </c>
      <c r="E437" s="215">
        <v>-9.4891000000000005</v>
      </c>
      <c r="F437" s="216" t="s">
        <v>690</v>
      </c>
      <c r="G437" s="215">
        <v>0.48</v>
      </c>
      <c r="H437" s="215">
        <v>12.595000000000001</v>
      </c>
      <c r="I437" s="100">
        <v>0.4</v>
      </c>
      <c r="J437" s="100">
        <v>3.5</v>
      </c>
      <c r="K437" s="100">
        <v>0.05</v>
      </c>
      <c r="L437" s="100">
        <v>0.05</v>
      </c>
      <c r="M437" s="217">
        <v>3.1349999999999998E-4</v>
      </c>
      <c r="N437" s="217">
        <v>3.2917999999999999E-4</v>
      </c>
      <c r="O437" s="100" t="s">
        <v>281</v>
      </c>
      <c r="P437" s="218">
        <f>(K437*AU)/(C437*pc)/Photometry!$AB$19</f>
        <v>6.375472848151092E-3</v>
      </c>
      <c r="Q437" s="522" t="s">
        <v>86</v>
      </c>
      <c r="R437" s="100">
        <v>999</v>
      </c>
      <c r="S437" s="103"/>
    </row>
    <row r="438" spans="1:21" x14ac:dyDescent="0.25">
      <c r="A438" s="503">
        <v>436</v>
      </c>
      <c r="B438" s="504">
        <v>9.9819999999999993</v>
      </c>
      <c r="C438" s="505">
        <v>5882.3528999999999</v>
      </c>
      <c r="D438" s="506">
        <v>41.905999999999999</v>
      </c>
      <c r="E438" s="506">
        <v>-36.107500000000002</v>
      </c>
      <c r="F438" s="507" t="s">
        <v>691</v>
      </c>
      <c r="G438" s="506">
        <v>1.25</v>
      </c>
      <c r="H438" s="506">
        <v>12.879</v>
      </c>
      <c r="I438" s="504">
        <v>0.4</v>
      </c>
      <c r="J438" s="504">
        <v>16.2</v>
      </c>
      <c r="K438" s="504">
        <v>0.12</v>
      </c>
      <c r="L438" s="504">
        <v>0.25</v>
      </c>
      <c r="M438" s="508">
        <v>2.0400000000000001E-5</v>
      </c>
      <c r="N438" s="508">
        <v>2.55E-5</v>
      </c>
      <c r="O438" s="504" t="s">
        <v>692</v>
      </c>
      <c r="P438" s="509">
        <f>(K438*AU)/(C438*pc)/Photometry!$AB$19</f>
        <v>4.1486322156393367E-4</v>
      </c>
      <c r="Q438" s="515" t="s">
        <v>84</v>
      </c>
      <c r="R438" s="100">
        <v>999</v>
      </c>
      <c r="S438" s="103"/>
    </row>
    <row r="439" spans="1:21" ht="15.75" x14ac:dyDescent="0.25">
      <c r="F439" s="2"/>
      <c r="M439" s="30"/>
      <c r="N439" s="30"/>
      <c r="P439" s="38"/>
    </row>
    <row r="440" spans="1:21" ht="15.75" x14ac:dyDescent="0.25">
      <c r="F440" s="2"/>
      <c r="M440" s="30"/>
      <c r="N440" s="30"/>
      <c r="P440" s="38"/>
    </row>
    <row r="441" spans="1:21" ht="15.75" x14ac:dyDescent="0.25">
      <c r="F441" s="2"/>
      <c r="M441" s="30"/>
      <c r="N441" s="30"/>
      <c r="P441" s="38"/>
    </row>
    <row r="442" spans="1:21" s="88" customFormat="1" ht="15.75" x14ac:dyDescent="0.25">
      <c r="A442" s="85" t="s">
        <v>693</v>
      </c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7"/>
      <c r="N442" s="87"/>
      <c r="O442" s="86"/>
      <c r="P442" s="86"/>
      <c r="Q442" s="523"/>
      <c r="R442" s="523"/>
      <c r="T442" s="97"/>
      <c r="U442"/>
    </row>
    <row r="443" spans="1:21" x14ac:dyDescent="0.25">
      <c r="A443" s="89">
        <v>437</v>
      </c>
      <c r="B443" s="89">
        <v>10.38</v>
      </c>
      <c r="C443" s="89" t="s">
        <v>694</v>
      </c>
      <c r="D443" s="89">
        <v>324.53640000000001</v>
      </c>
      <c r="E443" s="89">
        <v>30.488700000000001</v>
      </c>
      <c r="F443" s="90" t="s">
        <v>695</v>
      </c>
      <c r="G443" s="89">
        <v>1.4</v>
      </c>
      <c r="H443" s="89">
        <v>12.901</v>
      </c>
      <c r="I443" s="89">
        <v>0.4</v>
      </c>
      <c r="J443" s="89">
        <v>1798</v>
      </c>
      <c r="K443" s="89">
        <v>2.75</v>
      </c>
      <c r="L443" s="89">
        <v>0.1</v>
      </c>
      <c r="M443" s="89" t="s">
        <v>694</v>
      </c>
      <c r="N443" s="89" t="s">
        <v>694</v>
      </c>
      <c r="O443" s="89" t="s">
        <v>287</v>
      </c>
      <c r="P443" s="84" t="e">
        <v>#VALUE!</v>
      </c>
    </row>
    <row r="444" spans="1:21" x14ac:dyDescent="0.25">
      <c r="A444" s="89">
        <v>438</v>
      </c>
      <c r="B444" s="89">
        <v>7.4</v>
      </c>
      <c r="C444" s="89" t="s">
        <v>694</v>
      </c>
      <c r="D444" s="89">
        <v>186.03299999999999</v>
      </c>
      <c r="E444" s="89">
        <v>-61.872</v>
      </c>
      <c r="F444" s="90" t="s">
        <v>696</v>
      </c>
      <c r="G444" s="89">
        <v>19.8</v>
      </c>
      <c r="H444" s="89">
        <v>11.992000000000001</v>
      </c>
      <c r="I444" s="89">
        <v>0.4</v>
      </c>
      <c r="J444" s="89">
        <v>677.8</v>
      </c>
      <c r="K444" s="89">
        <v>2.38</v>
      </c>
      <c r="L444" s="89">
        <v>0.19</v>
      </c>
      <c r="M444" s="89" t="s">
        <v>694</v>
      </c>
      <c r="N444" s="89" t="s">
        <v>694</v>
      </c>
      <c r="O444" s="89" t="s">
        <v>697</v>
      </c>
      <c r="P444" s="84" t="e">
        <v>#VALUE!</v>
      </c>
    </row>
    <row r="445" spans="1:21" x14ac:dyDescent="0.25">
      <c r="A445" s="89">
        <v>439</v>
      </c>
      <c r="B445" s="89">
        <v>10.039999999999999</v>
      </c>
      <c r="C445" s="89" t="s">
        <v>694</v>
      </c>
      <c r="D445" s="89">
        <v>114.2885</v>
      </c>
      <c r="E445" s="89">
        <v>-13.906700000000001</v>
      </c>
      <c r="F445" s="90" t="s">
        <v>698</v>
      </c>
      <c r="G445" s="89">
        <v>10.6</v>
      </c>
      <c r="H445" s="89">
        <v>12.724</v>
      </c>
      <c r="I445" s="89">
        <v>0.4</v>
      </c>
      <c r="J445" s="89">
        <v>714.3</v>
      </c>
      <c r="K445" s="89">
        <v>2.1</v>
      </c>
      <c r="L445" s="89">
        <v>0.21</v>
      </c>
      <c r="M445" s="89" t="s">
        <v>694</v>
      </c>
      <c r="N445" s="89" t="s">
        <v>694</v>
      </c>
      <c r="O445" s="89" t="s">
        <v>699</v>
      </c>
      <c r="P445" s="84" t="e">
        <v>#VALUE!</v>
      </c>
    </row>
    <row r="446" spans="1:21" x14ac:dyDescent="0.25">
      <c r="A446" s="89">
        <v>440</v>
      </c>
      <c r="B446" s="89">
        <v>9.74</v>
      </c>
      <c r="C446" s="89" t="s">
        <v>694</v>
      </c>
      <c r="D446" s="89">
        <v>154.18690000000001</v>
      </c>
      <c r="E446" s="89">
        <v>19.891400000000001</v>
      </c>
      <c r="F446" s="90" t="s">
        <v>700</v>
      </c>
      <c r="G446" s="89">
        <v>12.47</v>
      </c>
      <c r="H446" s="89">
        <v>12.574999999999999</v>
      </c>
      <c r="I446" s="89">
        <v>0.4</v>
      </c>
      <c r="J446" s="89">
        <v>622</v>
      </c>
      <c r="K446" s="89">
        <v>2.0099999999999998</v>
      </c>
      <c r="L446" s="89">
        <v>0.18</v>
      </c>
      <c r="M446" s="89" t="s">
        <v>694</v>
      </c>
      <c r="N446" s="89" t="s">
        <v>694</v>
      </c>
      <c r="O446" s="89" t="s">
        <v>614</v>
      </c>
      <c r="P446" s="84" t="e">
        <v>#VALUE!</v>
      </c>
    </row>
    <row r="447" spans="1:21" x14ac:dyDescent="0.25">
      <c r="A447" s="89">
        <v>441</v>
      </c>
      <c r="B447" s="89">
        <v>8.67</v>
      </c>
      <c r="C447" s="89" t="s">
        <v>694</v>
      </c>
      <c r="D447" s="89">
        <v>125.7081</v>
      </c>
      <c r="E447" s="89">
        <v>1.8593</v>
      </c>
      <c r="F447" s="90" t="s">
        <v>701</v>
      </c>
      <c r="G447" s="89">
        <v>6.1</v>
      </c>
      <c r="H447" s="89">
        <v>13.063000000000001</v>
      </c>
      <c r="I447" s="89">
        <v>0.4</v>
      </c>
      <c r="J447" s="89">
        <v>851.8</v>
      </c>
      <c r="K447" s="89">
        <v>1.76</v>
      </c>
      <c r="L447" s="89">
        <v>0.4</v>
      </c>
      <c r="M447" s="89" t="s">
        <v>694</v>
      </c>
      <c r="N447" s="89" t="s">
        <v>694</v>
      </c>
      <c r="O447" s="89" t="s">
        <v>702</v>
      </c>
      <c r="P447" s="84" t="e">
        <v>#VALUE!</v>
      </c>
    </row>
    <row r="448" spans="1:21" x14ac:dyDescent="0.25">
      <c r="A448" s="89">
        <v>442</v>
      </c>
      <c r="B448" s="89" t="s">
        <v>694</v>
      </c>
      <c r="C448" s="89" t="s">
        <v>694</v>
      </c>
      <c r="D448" s="89">
        <v>295.4545</v>
      </c>
      <c r="E448" s="89">
        <v>50.525399999999998</v>
      </c>
      <c r="F448" s="90" t="s">
        <v>703</v>
      </c>
      <c r="G448" s="89">
        <v>1.68</v>
      </c>
      <c r="H448" s="89">
        <v>12.922000000000001</v>
      </c>
      <c r="I448" s="89">
        <v>0.4</v>
      </c>
      <c r="J448" s="89">
        <v>799.5</v>
      </c>
      <c r="K448" s="89">
        <v>1.68</v>
      </c>
      <c r="L448" s="89">
        <v>0.69</v>
      </c>
      <c r="M448" s="89" t="s">
        <v>694</v>
      </c>
      <c r="N448" s="89" t="s">
        <v>694</v>
      </c>
      <c r="O448" s="89" t="s">
        <v>697</v>
      </c>
      <c r="P448" s="84" t="e">
        <v>#VALUE!</v>
      </c>
    </row>
    <row r="449" spans="1:16" x14ac:dyDescent="0.25">
      <c r="A449" s="89">
        <v>443</v>
      </c>
      <c r="B449" s="89">
        <v>8.6199999999999992</v>
      </c>
      <c r="C449" s="89" t="s">
        <v>694</v>
      </c>
      <c r="D449" s="89">
        <v>89.956900000000005</v>
      </c>
      <c r="E449" s="89">
        <v>-48.239699999999999</v>
      </c>
      <c r="F449" s="90" t="s">
        <v>704</v>
      </c>
      <c r="G449" s="89">
        <v>2.54</v>
      </c>
      <c r="H449" s="89">
        <v>12.99</v>
      </c>
      <c r="I449" s="89">
        <v>0.4</v>
      </c>
      <c r="J449" s="89">
        <v>963</v>
      </c>
      <c r="K449" s="89">
        <v>1.64</v>
      </c>
      <c r="L449" s="89">
        <v>0.39</v>
      </c>
      <c r="M449" s="89" t="s">
        <v>694</v>
      </c>
      <c r="N449" s="89" t="s">
        <v>694</v>
      </c>
      <c r="O449" s="89" t="s">
        <v>697</v>
      </c>
      <c r="P449" s="84" t="e">
        <v>#VALUE!</v>
      </c>
    </row>
    <row r="450" spans="1:16" x14ac:dyDescent="0.25">
      <c r="A450" s="89">
        <v>444</v>
      </c>
      <c r="B450" s="89">
        <v>9.74</v>
      </c>
      <c r="C450" s="89" t="s">
        <v>694</v>
      </c>
      <c r="D450" s="89">
        <v>154.18690000000001</v>
      </c>
      <c r="E450" s="89">
        <v>19.891400000000001</v>
      </c>
      <c r="F450" s="90" t="s">
        <v>700</v>
      </c>
      <c r="G450" s="89">
        <v>21.42</v>
      </c>
      <c r="H450" s="89">
        <v>11.863</v>
      </c>
      <c r="I450" s="89">
        <v>0.4</v>
      </c>
      <c r="J450" s="89">
        <v>379.6</v>
      </c>
      <c r="K450" s="89">
        <v>1.45</v>
      </c>
      <c r="L450" s="89">
        <v>0.15</v>
      </c>
      <c r="M450" s="89" t="s">
        <v>694</v>
      </c>
      <c r="N450" s="89" t="s">
        <v>694</v>
      </c>
      <c r="O450" s="89" t="s">
        <v>614</v>
      </c>
      <c r="P450" s="84" t="e">
        <v>#VALUE!</v>
      </c>
    </row>
    <row r="451" spans="1:16" x14ac:dyDescent="0.25">
      <c r="A451" s="89">
        <v>445</v>
      </c>
      <c r="B451" s="89">
        <v>8.27</v>
      </c>
      <c r="C451" s="89" t="s">
        <v>694</v>
      </c>
      <c r="D451" s="89">
        <v>347.62180000000001</v>
      </c>
      <c r="E451" s="89">
        <v>57.029499999999999</v>
      </c>
      <c r="F451" s="90" t="s">
        <v>705</v>
      </c>
      <c r="G451" s="89">
        <v>6.9</v>
      </c>
      <c r="H451" s="89">
        <v>13.018000000000001</v>
      </c>
      <c r="I451" s="89">
        <v>0.4</v>
      </c>
      <c r="J451" s="89">
        <v>501.8</v>
      </c>
      <c r="K451" s="89">
        <v>1.33</v>
      </c>
      <c r="L451" s="89">
        <v>0.15</v>
      </c>
      <c r="M451" s="89" t="s">
        <v>694</v>
      </c>
      <c r="N451" s="89" t="s">
        <v>694</v>
      </c>
      <c r="O451" s="89" t="s">
        <v>706</v>
      </c>
      <c r="P451" s="84" t="e">
        <v>#VALUE!</v>
      </c>
    </row>
    <row r="452" spans="1:16" x14ac:dyDescent="0.25">
      <c r="A452" s="89">
        <v>446</v>
      </c>
      <c r="B452" s="89">
        <v>8.2899999999999991</v>
      </c>
      <c r="C452" s="89" t="s">
        <v>694</v>
      </c>
      <c r="D452" s="89">
        <v>278.06459999999998</v>
      </c>
      <c r="E452" s="89">
        <v>6.9458000000000002</v>
      </c>
      <c r="F452" s="90" t="s">
        <v>707</v>
      </c>
      <c r="G452" s="89">
        <v>1.98</v>
      </c>
      <c r="H452" s="89">
        <v>12.943</v>
      </c>
      <c r="I452" s="89">
        <v>0.4</v>
      </c>
      <c r="J452" s="89">
        <v>550</v>
      </c>
      <c r="K452" s="89">
        <v>1.32</v>
      </c>
      <c r="L452" s="89">
        <v>0.59</v>
      </c>
      <c r="M452" s="89" t="s">
        <v>694</v>
      </c>
      <c r="N452" s="89" t="s">
        <v>694</v>
      </c>
      <c r="O452" s="89" t="s">
        <v>287</v>
      </c>
      <c r="P452" s="84" t="e">
        <v>#VALUE!</v>
      </c>
    </row>
    <row r="453" spans="1:16" x14ac:dyDescent="0.25">
      <c r="A453" s="89">
        <v>447</v>
      </c>
      <c r="B453" s="89">
        <v>7.73</v>
      </c>
      <c r="C453" s="89" t="s">
        <v>694</v>
      </c>
      <c r="D453" s="89">
        <v>41.592100000000002</v>
      </c>
      <c r="E453" s="89">
        <v>49.653100000000002</v>
      </c>
      <c r="F453" s="90" t="s">
        <v>708</v>
      </c>
      <c r="G453" s="89">
        <v>4.5999999999999996</v>
      </c>
      <c r="H453" s="89">
        <v>13.114000000000001</v>
      </c>
      <c r="I453" s="89">
        <v>0.4</v>
      </c>
      <c r="J453" s="89">
        <v>359.9</v>
      </c>
      <c r="K453" s="89">
        <v>1.29</v>
      </c>
      <c r="L453" s="89">
        <v>0.17</v>
      </c>
      <c r="M453" s="89" t="s">
        <v>694</v>
      </c>
      <c r="N453" s="89" t="s">
        <v>694</v>
      </c>
      <c r="O453" s="89" t="s">
        <v>411</v>
      </c>
      <c r="P453" s="84" t="e">
        <v>#VALUE!</v>
      </c>
    </row>
    <row r="454" spans="1:16" x14ac:dyDescent="0.25">
      <c r="A454" s="89">
        <v>448</v>
      </c>
      <c r="B454" s="89">
        <v>10.42</v>
      </c>
      <c r="C454" s="89" t="s">
        <v>694</v>
      </c>
      <c r="D454" s="89">
        <v>129.8826</v>
      </c>
      <c r="E454" s="89">
        <v>47.351999999999997</v>
      </c>
      <c r="F454" s="90" t="s">
        <v>709</v>
      </c>
      <c r="G454" s="89">
        <v>14.5</v>
      </c>
      <c r="H454" s="89">
        <v>12.414</v>
      </c>
      <c r="I454" s="89">
        <v>0.4</v>
      </c>
      <c r="J454" s="89">
        <v>448.2</v>
      </c>
      <c r="K454" s="89">
        <v>1.19</v>
      </c>
      <c r="L454" s="89">
        <v>0.67</v>
      </c>
      <c r="M454" s="89" t="s">
        <v>694</v>
      </c>
      <c r="N454" s="89" t="s">
        <v>694</v>
      </c>
      <c r="O454" s="89" t="s">
        <v>710</v>
      </c>
      <c r="P454" s="84" t="e">
        <v>#VALUE!</v>
      </c>
    </row>
    <row r="455" spans="1:16" x14ac:dyDescent="0.25">
      <c r="A455" s="89">
        <v>449</v>
      </c>
      <c r="B455" s="89">
        <v>9.1389999999999993</v>
      </c>
      <c r="C455" s="89" t="s">
        <v>694</v>
      </c>
      <c r="D455" s="89">
        <v>40.710299999999997</v>
      </c>
      <c r="E455" s="89">
        <v>49.587000000000003</v>
      </c>
      <c r="F455" s="90" t="s">
        <v>711</v>
      </c>
      <c r="G455" s="89">
        <v>0.91</v>
      </c>
      <c r="H455" s="89">
        <v>12.826000000000001</v>
      </c>
      <c r="I455" s="89">
        <v>0.4</v>
      </c>
      <c r="J455" s="89">
        <v>392.6</v>
      </c>
      <c r="K455" s="89">
        <v>1</v>
      </c>
      <c r="L455" s="89">
        <v>0.2</v>
      </c>
      <c r="M455" s="89" t="s">
        <v>694</v>
      </c>
      <c r="N455" s="89" t="s">
        <v>694</v>
      </c>
      <c r="O455" s="89" t="s">
        <v>323</v>
      </c>
      <c r="P455" s="84" t="e">
        <v>#VALUE!</v>
      </c>
    </row>
    <row r="456" spans="1:16" x14ac:dyDescent="0.25">
      <c r="A456" s="89">
        <v>450</v>
      </c>
      <c r="B456" s="89">
        <v>10.49</v>
      </c>
      <c r="C456" s="89" t="s">
        <v>694</v>
      </c>
      <c r="D456" s="89">
        <v>24.480799999999999</v>
      </c>
      <c r="E456" s="89">
        <v>-8.1700999999999997</v>
      </c>
      <c r="F456" s="90" t="s">
        <v>712</v>
      </c>
      <c r="G456" s="89">
        <v>0.33</v>
      </c>
      <c r="H456" s="89">
        <v>12.27</v>
      </c>
      <c r="I456" s="89">
        <v>0.4</v>
      </c>
      <c r="J456" s="89">
        <v>237.6</v>
      </c>
      <c r="K456" s="89">
        <v>0.68</v>
      </c>
      <c r="L456" s="89">
        <v>0.19</v>
      </c>
      <c r="M456" s="89" t="s">
        <v>694</v>
      </c>
      <c r="N456" s="89" t="s">
        <v>694</v>
      </c>
      <c r="O456" s="89" t="s">
        <v>697</v>
      </c>
      <c r="P456" s="84" t="e">
        <v>#VALUE!</v>
      </c>
    </row>
    <row r="457" spans="1:16" x14ac:dyDescent="0.25">
      <c r="A457" s="89">
        <v>451</v>
      </c>
      <c r="B457" s="89">
        <v>10.61</v>
      </c>
      <c r="C457" s="89" t="s">
        <v>694</v>
      </c>
      <c r="D457" s="89">
        <v>229.8646</v>
      </c>
      <c r="E457" s="89">
        <v>-7.7221000000000002</v>
      </c>
      <c r="F457" s="90" t="s">
        <v>713</v>
      </c>
      <c r="G457" s="89">
        <v>1.9E-2</v>
      </c>
      <c r="H457" s="89">
        <v>1.607</v>
      </c>
      <c r="I457" s="89">
        <v>0.4</v>
      </c>
      <c r="J457" s="89">
        <v>66.599999999999994</v>
      </c>
      <c r="K457" s="89">
        <v>0.22</v>
      </c>
      <c r="L457" s="89">
        <v>0.25</v>
      </c>
      <c r="M457" s="89" t="s">
        <v>694</v>
      </c>
      <c r="N457" s="89" t="s">
        <v>694</v>
      </c>
      <c r="O457" s="89" t="s">
        <v>714</v>
      </c>
      <c r="P457" s="84" t="e">
        <v>#VALUE!</v>
      </c>
    </row>
    <row r="458" spans="1:16" x14ac:dyDescent="0.25">
      <c r="A458" s="89">
        <v>452</v>
      </c>
      <c r="B458" s="89">
        <v>10.220000000000001</v>
      </c>
      <c r="C458" s="89" t="s">
        <v>694</v>
      </c>
      <c r="D458" s="89">
        <v>259.74520000000001</v>
      </c>
      <c r="E458" s="89">
        <v>-34.9968</v>
      </c>
      <c r="F458" s="90" t="s">
        <v>715</v>
      </c>
      <c r="G458" s="89">
        <v>1.2999999999999999E-2</v>
      </c>
      <c r="H458" s="89">
        <v>1.478</v>
      </c>
      <c r="I458" s="89">
        <v>0.4</v>
      </c>
      <c r="J458" s="89">
        <v>28.1</v>
      </c>
      <c r="K458" s="89">
        <v>0.13</v>
      </c>
      <c r="L458" s="89">
        <v>0.34</v>
      </c>
      <c r="M458" s="89" t="s">
        <v>694</v>
      </c>
      <c r="N458" s="89" t="s">
        <v>694</v>
      </c>
      <c r="O458" s="89" t="s">
        <v>716</v>
      </c>
      <c r="P458" s="84" t="e">
        <v>#VALUE!</v>
      </c>
    </row>
    <row r="459" spans="1:16" x14ac:dyDescent="0.25">
      <c r="A459" s="89">
        <v>453</v>
      </c>
      <c r="B459" s="89">
        <v>10.61</v>
      </c>
      <c r="C459" s="89" t="s">
        <v>694</v>
      </c>
      <c r="D459" s="89">
        <v>229.8646</v>
      </c>
      <c r="E459" s="89">
        <v>-7.7221000000000002</v>
      </c>
      <c r="F459" s="90" t="s">
        <v>713</v>
      </c>
      <c r="G459" s="89">
        <v>1.7000000000000001E-2</v>
      </c>
      <c r="H459" s="89">
        <v>1.5649999999999999</v>
      </c>
      <c r="I459" s="89">
        <v>0.4</v>
      </c>
      <c r="J459" s="89">
        <v>12.9</v>
      </c>
      <c r="K459" s="89">
        <v>7.0000000000000007E-2</v>
      </c>
      <c r="L459" s="89">
        <v>7.0000000000000007E-2</v>
      </c>
      <c r="M459" s="89" t="s">
        <v>694</v>
      </c>
      <c r="N459" s="89" t="s">
        <v>694</v>
      </c>
      <c r="O459" s="89" t="s">
        <v>714</v>
      </c>
      <c r="P459" s="84" t="e">
        <v>#VALUE!</v>
      </c>
    </row>
    <row r="460" spans="1:16" x14ac:dyDescent="0.25">
      <c r="A460" s="89">
        <v>454</v>
      </c>
      <c r="B460" s="89">
        <v>10.49</v>
      </c>
      <c r="C460" s="89" t="s">
        <v>694</v>
      </c>
      <c r="D460" s="89">
        <v>24.480799999999999</v>
      </c>
      <c r="E460" s="89">
        <v>-8.1700999999999997</v>
      </c>
      <c r="F460" s="90" t="s">
        <v>712</v>
      </c>
      <c r="G460" s="89">
        <v>4.4999999999999998E-2</v>
      </c>
      <c r="H460" s="89">
        <v>6.6390000000000002</v>
      </c>
      <c r="I460" s="89">
        <v>0.4</v>
      </c>
      <c r="J460" s="89">
        <v>5.6</v>
      </c>
      <c r="K460" s="89">
        <v>0.06</v>
      </c>
      <c r="L460" s="89">
        <v>0.15</v>
      </c>
      <c r="M460" s="89" t="s">
        <v>694</v>
      </c>
      <c r="N460" s="89" t="s">
        <v>694</v>
      </c>
      <c r="O460" s="89" t="s">
        <v>697</v>
      </c>
      <c r="P460" s="84" t="e">
        <v>#VALUE!</v>
      </c>
    </row>
    <row r="461" spans="1:16" x14ac:dyDescent="0.25">
      <c r="A461" s="89">
        <v>455</v>
      </c>
      <c r="B461" s="89">
        <v>11.73</v>
      </c>
      <c r="C461" s="89" t="s">
        <v>694</v>
      </c>
      <c r="D461" s="89">
        <v>100.95610000000001</v>
      </c>
      <c r="E461" s="89">
        <v>-1.0629999999999999</v>
      </c>
      <c r="F461" s="90" t="s">
        <v>717</v>
      </c>
      <c r="G461" s="89">
        <v>2.5999999999999999E-2</v>
      </c>
      <c r="H461" s="89">
        <v>1.734</v>
      </c>
      <c r="I461" s="89">
        <v>0.4</v>
      </c>
      <c r="J461" s="89">
        <v>3.7</v>
      </c>
      <c r="K461" s="89">
        <v>0.05</v>
      </c>
      <c r="L461" s="89">
        <v>0</v>
      </c>
      <c r="M461" s="89" t="s">
        <v>694</v>
      </c>
      <c r="N461" s="89" t="s">
        <v>694</v>
      </c>
      <c r="O461" s="89" t="s">
        <v>261</v>
      </c>
      <c r="P461" s="84" t="e">
        <v>#VALUE!</v>
      </c>
    </row>
    <row r="462" spans="1:16" x14ac:dyDescent="0.25">
      <c r="A462" s="89">
        <v>456</v>
      </c>
      <c r="B462" s="89">
        <v>10.220000000000001</v>
      </c>
      <c r="C462" s="89" t="s">
        <v>694</v>
      </c>
      <c r="D462" s="89">
        <v>259.74520000000001</v>
      </c>
      <c r="E462" s="89">
        <v>-34.9968</v>
      </c>
      <c r="F462" s="90" t="s">
        <v>715</v>
      </c>
      <c r="G462" s="89">
        <v>1.7000000000000001E-2</v>
      </c>
      <c r="H462" s="89">
        <v>1.569</v>
      </c>
      <c r="I462" s="89">
        <v>0.4</v>
      </c>
      <c r="J462" s="89">
        <v>7.2</v>
      </c>
      <c r="K462" s="89">
        <v>0.05</v>
      </c>
      <c r="L462" s="89">
        <v>0.09</v>
      </c>
      <c r="M462" s="89" t="s">
        <v>694</v>
      </c>
      <c r="N462" s="89" t="s">
        <v>694</v>
      </c>
      <c r="O462" s="89" t="s">
        <v>716</v>
      </c>
      <c r="P462" s="84" t="e">
        <v>#VALUE!</v>
      </c>
    </row>
    <row r="463" spans="1:16" x14ac:dyDescent="0.25">
      <c r="A463" s="89">
        <v>457</v>
      </c>
      <c r="B463" s="89">
        <v>10.61</v>
      </c>
      <c r="C463" s="89" t="s">
        <v>694</v>
      </c>
      <c r="D463" s="89">
        <v>229.8646</v>
      </c>
      <c r="E463" s="89">
        <v>-7.7221000000000002</v>
      </c>
      <c r="F463" s="90" t="s">
        <v>713</v>
      </c>
      <c r="G463" s="89">
        <v>0.05</v>
      </c>
      <c r="H463" s="89">
        <v>7.7930000000000001</v>
      </c>
      <c r="I463" s="89">
        <v>0.4</v>
      </c>
      <c r="J463" s="89">
        <v>5.4</v>
      </c>
      <c r="K463" s="89">
        <v>0.04</v>
      </c>
      <c r="L463" s="89">
        <v>0.03</v>
      </c>
      <c r="M463" s="89" t="s">
        <v>694</v>
      </c>
      <c r="N463" s="89" t="s">
        <v>694</v>
      </c>
      <c r="O463" s="89" t="s">
        <v>714</v>
      </c>
      <c r="P463" s="84" t="e">
        <v>#VALUE!</v>
      </c>
    </row>
    <row r="464" spans="1:16" x14ac:dyDescent="0.25">
      <c r="A464" s="89">
        <v>458</v>
      </c>
      <c r="B464" s="89">
        <v>11.95</v>
      </c>
      <c r="C464" s="89" t="s">
        <v>694</v>
      </c>
      <c r="D464" s="89">
        <v>164.6463</v>
      </c>
      <c r="E464" s="89">
        <v>-31.144200000000001</v>
      </c>
      <c r="F464" s="90" t="s">
        <v>718</v>
      </c>
      <c r="G464" s="89">
        <v>2.1999999999999999E-2</v>
      </c>
      <c r="H464" s="89">
        <v>1.663</v>
      </c>
      <c r="I464" s="89">
        <v>0.4</v>
      </c>
      <c r="J464" s="89">
        <v>2.6</v>
      </c>
      <c r="K464" s="89">
        <v>0.03</v>
      </c>
      <c r="L464" s="89">
        <v>0.08</v>
      </c>
      <c r="M464" s="89" t="s">
        <v>694</v>
      </c>
      <c r="N464" s="89" t="s">
        <v>694</v>
      </c>
      <c r="O464" s="89" t="s">
        <v>719</v>
      </c>
      <c r="P464" s="84" t="e">
        <v>#VALUE!</v>
      </c>
    </row>
    <row r="465" spans="1:16" x14ac:dyDescent="0.25">
      <c r="A465" s="89">
        <v>459</v>
      </c>
      <c r="B465" s="89">
        <v>10.61</v>
      </c>
      <c r="C465" s="89" t="s">
        <v>694</v>
      </c>
      <c r="D465" s="89">
        <v>229.8646</v>
      </c>
      <c r="E465" s="89">
        <v>-7.7221000000000002</v>
      </c>
      <c r="F465" s="90" t="s">
        <v>713</v>
      </c>
      <c r="G465" s="89">
        <v>6.0000000000000001E-3</v>
      </c>
      <c r="H465" s="89">
        <v>1.2110000000000001</v>
      </c>
      <c r="I465" s="89">
        <v>0.4</v>
      </c>
      <c r="J465" s="89">
        <v>3.1</v>
      </c>
      <c r="K465" s="89">
        <v>0.03</v>
      </c>
      <c r="L465" s="89">
        <v>0.32</v>
      </c>
      <c r="M465" s="89" t="s">
        <v>694</v>
      </c>
      <c r="N465" s="89" t="s">
        <v>694</v>
      </c>
      <c r="O465" s="89" t="s">
        <v>714</v>
      </c>
      <c r="P465" s="84" t="e">
        <v>#VALUE!</v>
      </c>
    </row>
    <row r="466" spans="1:16" x14ac:dyDescent="0.25">
      <c r="A466" s="89">
        <v>460</v>
      </c>
      <c r="B466" s="89">
        <v>12.33</v>
      </c>
      <c r="C466" s="89" t="s">
        <v>694</v>
      </c>
      <c r="D466" s="89">
        <v>89.956900000000005</v>
      </c>
      <c r="E466" s="89">
        <v>-48.239699999999999</v>
      </c>
      <c r="F466" s="90" t="s">
        <v>720</v>
      </c>
      <c r="G466" s="89">
        <v>18.399999999999999</v>
      </c>
      <c r="H466" s="89">
        <v>12.103</v>
      </c>
      <c r="I466" s="89">
        <v>0.4</v>
      </c>
      <c r="J466" s="89">
        <v>1.3</v>
      </c>
      <c r="K466" s="89">
        <v>0.02</v>
      </c>
      <c r="L466" s="89">
        <v>0.08</v>
      </c>
      <c r="M466" s="89" t="s">
        <v>694</v>
      </c>
      <c r="N466" s="89" t="s">
        <v>694</v>
      </c>
      <c r="O466" s="89" t="s">
        <v>606</v>
      </c>
      <c r="P466" s="84" t="e">
        <v>#VALUE!</v>
      </c>
    </row>
  </sheetData>
  <dataValidations disablePrompts="1" count="1">
    <dataValidation type="list" allowBlank="1" showInputMessage="1" showErrorMessage="1" sqref="Q3:Q438">
      <formula1>availStellarTypes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67"/>
  <sheetViews>
    <sheetView tabSelected="1" workbookViewId="0">
      <selection activeCell="AA15" sqref="AA15"/>
    </sheetView>
  </sheetViews>
  <sheetFormatPr defaultRowHeight="15" x14ac:dyDescent="0.25"/>
  <cols>
    <col min="1" max="1" width="14.7109375" customWidth="1"/>
    <col min="2" max="8" width="14.7109375" style="2" customWidth="1"/>
    <col min="9" max="9" width="1.5703125" style="2" customWidth="1"/>
    <col min="10" max="10" width="2" style="97" customWidth="1"/>
    <col min="11" max="11" width="1.5703125" style="2" customWidth="1"/>
    <col min="12" max="58" width="14.7109375" customWidth="1"/>
  </cols>
  <sheetData>
    <row r="1" spans="1:19" s="23" customFormat="1" ht="21" x14ac:dyDescent="0.35">
      <c r="A1" s="220" t="s">
        <v>69</v>
      </c>
      <c r="B1" s="25"/>
      <c r="C1" s="25"/>
      <c r="D1" s="25"/>
      <c r="E1" s="25"/>
      <c r="F1" s="25"/>
      <c r="G1" s="25"/>
      <c r="H1" s="25"/>
      <c r="I1" s="25"/>
      <c r="K1" s="25"/>
    </row>
    <row r="2" spans="1:19" s="16" customFormat="1" ht="15.75" x14ac:dyDescent="0.25">
      <c r="A2" s="240" t="s">
        <v>78</v>
      </c>
      <c r="B2" s="26"/>
      <c r="C2" s="566" t="s">
        <v>1158</v>
      </c>
      <c r="D2" s="567">
        <v>0.1</v>
      </c>
      <c r="F2" s="566" t="s">
        <v>1161</v>
      </c>
      <c r="G2" s="567">
        <v>1</v>
      </c>
      <c r="I2" s="26"/>
      <c r="J2" s="153"/>
      <c r="K2" s="26"/>
      <c r="L2" s="239" t="s">
        <v>79</v>
      </c>
      <c r="O2" s="566" t="s">
        <v>1159</v>
      </c>
      <c r="P2" s="567">
        <v>0.18</v>
      </c>
      <c r="R2" s="566" t="s">
        <v>1161</v>
      </c>
      <c r="S2" s="567">
        <f>0.48</f>
        <v>0.48</v>
      </c>
    </row>
    <row r="3" spans="1:19" s="16" customFormat="1" x14ac:dyDescent="0.25">
      <c r="A3"/>
      <c r="B3" s="280"/>
      <c r="C3"/>
      <c r="D3" s="2"/>
      <c r="E3" s="2"/>
      <c r="F3" s="2"/>
      <c r="G3" s="2"/>
      <c r="H3" s="2"/>
      <c r="I3" s="26"/>
      <c r="J3" s="153"/>
      <c r="K3" s="26"/>
      <c r="L3" s="28" t="s">
        <v>80</v>
      </c>
    </row>
    <row r="4" spans="1:19" s="16" customFormat="1" x14ac:dyDescent="0.25">
      <c r="A4" s="27" t="s">
        <v>1157</v>
      </c>
      <c r="B4" s="26"/>
      <c r="C4" s="26"/>
      <c r="D4" s="565"/>
      <c r="E4" s="26"/>
      <c r="F4" s="26"/>
      <c r="G4" s="26"/>
      <c r="H4" s="26"/>
      <c r="I4" s="2"/>
      <c r="J4" s="153"/>
      <c r="K4" s="26"/>
      <c r="L4" s="102" t="s">
        <v>70</v>
      </c>
      <c r="M4" s="102" t="s">
        <v>71</v>
      </c>
      <c r="N4" s="102" t="s">
        <v>39</v>
      </c>
      <c r="O4" s="102" t="s">
        <v>72</v>
      </c>
      <c r="P4" s="102" t="s">
        <v>73</v>
      </c>
      <c r="Q4" s="102" t="s">
        <v>74</v>
      </c>
      <c r="R4" s="102" t="s">
        <v>75</v>
      </c>
      <c r="S4" s="102" t="s">
        <v>76</v>
      </c>
    </row>
    <row r="5" spans="1:19" x14ac:dyDescent="0.25">
      <c r="A5" s="219" t="s">
        <v>70</v>
      </c>
      <c r="B5" s="219" t="s">
        <v>71</v>
      </c>
      <c r="C5" s="219" t="s">
        <v>39</v>
      </c>
      <c r="D5" s="219" t="s">
        <v>72</v>
      </c>
      <c r="E5" s="219" t="s">
        <v>73</v>
      </c>
      <c r="F5" s="219" t="s">
        <v>74</v>
      </c>
      <c r="G5" s="219" t="s">
        <v>75</v>
      </c>
      <c r="H5" s="219" t="s">
        <v>76</v>
      </c>
      <c r="L5" s="100">
        <v>2.6</v>
      </c>
      <c r="M5" s="100">
        <v>0.18102599999999999</v>
      </c>
      <c r="N5" s="100">
        <v>9.2359934999999993E-12</v>
      </c>
      <c r="O5" s="100">
        <v>1.3656531999999999E-8</v>
      </c>
      <c r="P5" s="100">
        <v>1.3935009999999999E-2</v>
      </c>
      <c r="Q5" s="100">
        <v>6.7630594000000002E-4</v>
      </c>
      <c r="R5" s="100">
        <v>4.5854240000000003E-3</v>
      </c>
      <c r="S5" s="100">
        <v>9.8632760999999999E-2</v>
      </c>
    </row>
    <row r="6" spans="1:19" x14ac:dyDescent="0.25">
      <c r="A6" s="100">
        <v>2.7</v>
      </c>
      <c r="B6" s="100">
        <v>0.12869900000000001</v>
      </c>
      <c r="C6" s="100">
        <v>7.2127685999999998E-12</v>
      </c>
      <c r="D6" s="100">
        <v>9.2502039000000006E-9</v>
      </c>
      <c r="E6" s="100">
        <v>5.7534806000000003E-3</v>
      </c>
      <c r="F6" s="100">
        <v>7.7974158999999995E-4</v>
      </c>
      <c r="G6" s="100">
        <v>2.0332675999999998E-3</v>
      </c>
      <c r="H6" s="100">
        <v>4.2041007000000003E-3</v>
      </c>
      <c r="L6" s="100">
        <v>2.8</v>
      </c>
      <c r="M6" s="100">
        <v>0.19495100000000001</v>
      </c>
      <c r="N6" s="100">
        <v>7.9808018000000003E-12</v>
      </c>
      <c r="O6" s="100">
        <v>8.2937252999999998E-9</v>
      </c>
      <c r="P6" s="100">
        <v>1.8033635999999999E-2</v>
      </c>
      <c r="Q6" s="100">
        <v>9.6226985000000004E-4</v>
      </c>
      <c r="R6" s="100">
        <v>4.5972419999999996E-3</v>
      </c>
      <c r="S6" s="100">
        <v>0.12764306</v>
      </c>
    </row>
    <row r="7" spans="1:19" x14ac:dyDescent="0.25">
      <c r="A7" s="100">
        <v>3</v>
      </c>
      <c r="B7" s="100">
        <v>0.14299899999999999</v>
      </c>
      <c r="C7" s="100">
        <v>3.8144394999999998E-12</v>
      </c>
      <c r="D7" s="100">
        <v>2.7798348000000002E-9</v>
      </c>
      <c r="E7" s="100">
        <v>1.0177500000000001E-2</v>
      </c>
      <c r="F7" s="100">
        <v>1.3721821E-3</v>
      </c>
      <c r="G7" s="100">
        <v>2.0481634000000001E-3</v>
      </c>
      <c r="H7" s="100">
        <v>0.26489564999999998</v>
      </c>
      <c r="L7" s="100">
        <v>3</v>
      </c>
      <c r="M7" s="100">
        <v>0.20887600000000001</v>
      </c>
      <c r="N7" s="100">
        <v>6.4727158000000003E-12</v>
      </c>
      <c r="O7" s="100">
        <v>5.3207487000000003E-9</v>
      </c>
      <c r="P7" s="100">
        <v>2.2090510000000001E-2</v>
      </c>
      <c r="Q7" s="100">
        <v>1.2165047E-3</v>
      </c>
      <c r="R7" s="100">
        <v>4.6681509999999997E-3</v>
      </c>
      <c r="S7" s="100">
        <v>0.15635784</v>
      </c>
    </row>
    <row r="8" spans="1:19" x14ac:dyDescent="0.25">
      <c r="A8" s="100">
        <v>3.3</v>
      </c>
      <c r="B8" s="100">
        <v>0.15729899999999999</v>
      </c>
      <c r="C8" s="100">
        <v>1.8536469000000001E-12</v>
      </c>
      <c r="D8" s="100">
        <v>8.8589079999999997E-10</v>
      </c>
      <c r="E8" s="100">
        <v>1.5567096000000001E-2</v>
      </c>
      <c r="F8" s="100">
        <v>2.0924100999999999E-3</v>
      </c>
      <c r="G8" s="100">
        <v>2.0556111999999998E-3</v>
      </c>
      <c r="H8" s="100">
        <v>0.23484168999999999</v>
      </c>
      <c r="L8" s="100">
        <v>3.2</v>
      </c>
      <c r="M8" s="100">
        <v>0.222801</v>
      </c>
      <c r="N8" s="100">
        <v>4.7216962000000002E-12</v>
      </c>
      <c r="O8" s="100">
        <v>3.3664205999999998E-9</v>
      </c>
      <c r="P8" s="100">
        <v>2.5769806999999999E-2</v>
      </c>
      <c r="Q8" s="100">
        <v>1.4025865000000001E-3</v>
      </c>
      <c r="R8" s="100">
        <v>4.7942108000000004E-3</v>
      </c>
      <c r="S8" s="100">
        <v>0.18240010000000001</v>
      </c>
    </row>
    <row r="9" spans="1:19" x14ac:dyDescent="0.25">
      <c r="A9" s="100">
        <v>3.6</v>
      </c>
      <c r="B9" s="100">
        <v>0.171598</v>
      </c>
      <c r="C9" s="100">
        <v>1.5890446000000001E-12</v>
      </c>
      <c r="D9" s="100">
        <v>6.3911259000000004E-10</v>
      </c>
      <c r="E9" s="100">
        <v>1.8421678E-2</v>
      </c>
      <c r="F9" s="100">
        <v>2.4863297E-3</v>
      </c>
      <c r="G9" s="100">
        <v>2.0556111999999998E-3</v>
      </c>
      <c r="H9" s="100">
        <v>0.23055136000000001</v>
      </c>
      <c r="L9" s="100">
        <v>3.4</v>
      </c>
      <c r="M9" s="100">
        <v>0.23672599999999999</v>
      </c>
      <c r="N9" s="100">
        <v>5.0607030000000002E-12</v>
      </c>
      <c r="O9" s="100">
        <v>3.3282817000000001E-9</v>
      </c>
      <c r="P9" s="100">
        <v>2.9071526E-2</v>
      </c>
      <c r="Q9" s="100">
        <v>1.5205151999999999E-3</v>
      </c>
      <c r="R9" s="100">
        <v>4.9754214E-3</v>
      </c>
      <c r="S9" s="100">
        <v>0.20576985</v>
      </c>
    </row>
    <row r="10" spans="1:19" x14ac:dyDescent="0.25">
      <c r="A10" s="100">
        <v>3.9</v>
      </c>
      <c r="B10" s="100">
        <v>0.18589800000000001</v>
      </c>
      <c r="C10" s="100">
        <v>2.1866609E-12</v>
      </c>
      <c r="D10" s="100">
        <v>8.2759617000000002E-10</v>
      </c>
      <c r="E10" s="100">
        <v>1.9613994999999999E-2</v>
      </c>
      <c r="F10" s="100">
        <v>2.6421833999999999E-3</v>
      </c>
      <c r="G10" s="100">
        <v>2.0556111999999998E-3</v>
      </c>
      <c r="H10" s="100">
        <v>0.23373368</v>
      </c>
      <c r="L10" s="100">
        <v>3.6</v>
      </c>
      <c r="M10" s="100">
        <v>0.25065100000000001</v>
      </c>
      <c r="N10" s="100">
        <v>3.5196561000000001E-12</v>
      </c>
      <c r="O10" s="100">
        <v>2.2051541E-9</v>
      </c>
      <c r="P10" s="100">
        <v>3.1090871999999999E-2</v>
      </c>
      <c r="Q10" s="100">
        <v>1.5961043E-3</v>
      </c>
      <c r="R10" s="100">
        <v>5.0345119999999997E-3</v>
      </c>
      <c r="S10" s="100">
        <v>0.22006289000000001</v>
      </c>
    </row>
    <row r="11" spans="1:19" x14ac:dyDescent="0.25">
      <c r="A11" s="100">
        <v>4.2</v>
      </c>
      <c r="B11" s="100">
        <v>0.20019799999999999</v>
      </c>
      <c r="C11" s="100">
        <v>2.4631614999999998E-12</v>
      </c>
      <c r="D11" s="100">
        <v>8.8488062000000002E-10</v>
      </c>
      <c r="E11" s="100">
        <v>2.0714155000000001E-2</v>
      </c>
      <c r="F11" s="100">
        <v>2.7836088000000002E-3</v>
      </c>
      <c r="G11" s="100">
        <v>2.0630590999999999E-3</v>
      </c>
      <c r="H11" s="100">
        <v>0.23469693</v>
      </c>
      <c r="L11" s="100">
        <v>3.8</v>
      </c>
      <c r="M11" s="100">
        <v>0.26457599999999998</v>
      </c>
      <c r="N11" s="100">
        <v>3.3005912000000001E-12</v>
      </c>
      <c r="O11" s="100">
        <v>1.9867921000000002E-9</v>
      </c>
      <c r="P11" s="100">
        <v>3.2857351E-2</v>
      </c>
      <c r="Q11" s="100">
        <v>1.6612665E-3</v>
      </c>
      <c r="R11" s="100">
        <v>5.0905721999999999E-3</v>
      </c>
      <c r="S11" s="100">
        <v>0.23256613000000001</v>
      </c>
    </row>
    <row r="12" spans="1:19" x14ac:dyDescent="0.25">
      <c r="A12" s="100">
        <v>4.5</v>
      </c>
      <c r="B12" s="100">
        <v>0.21449799999999999</v>
      </c>
      <c r="C12" s="100">
        <v>2.1464797000000002E-12</v>
      </c>
      <c r="D12" s="100">
        <v>7.3746844000000002E-10</v>
      </c>
      <c r="E12" s="100">
        <v>2.1722156999999999E-2</v>
      </c>
      <c r="F12" s="100">
        <v>2.9106054999999999E-3</v>
      </c>
      <c r="G12" s="100">
        <v>2.0779548000000002E-3</v>
      </c>
      <c r="H12" s="100">
        <v>0.23323099</v>
      </c>
      <c r="L12" s="100">
        <v>4</v>
      </c>
      <c r="M12" s="100">
        <v>0.278501</v>
      </c>
      <c r="N12" s="100">
        <v>2.9093909000000001E-12</v>
      </c>
      <c r="O12" s="100">
        <v>1.6954474E-9</v>
      </c>
      <c r="P12" s="100">
        <v>3.4370968000000002E-2</v>
      </c>
      <c r="Q12" s="100">
        <v>1.7160019000000001E-3</v>
      </c>
      <c r="R12" s="100">
        <v>5.1436023000000003E-3</v>
      </c>
      <c r="S12" s="100">
        <v>0.24327958999999999</v>
      </c>
    </row>
    <row r="13" spans="1:19" x14ac:dyDescent="0.25">
      <c r="A13" s="100">
        <v>4.8</v>
      </c>
      <c r="B13" s="100">
        <v>0.228798</v>
      </c>
      <c r="C13" s="100">
        <v>1.7036882E-12</v>
      </c>
      <c r="D13" s="100">
        <v>5.6289506000000001E-10</v>
      </c>
      <c r="E13" s="100">
        <v>2.2431438000000001E-2</v>
      </c>
      <c r="F13" s="100">
        <v>3.0266531999999999E-3</v>
      </c>
      <c r="G13" s="100">
        <v>2.0556111999999998E-3</v>
      </c>
      <c r="H13" s="100">
        <v>0.23128235999999999</v>
      </c>
      <c r="L13" s="100">
        <v>4.2</v>
      </c>
      <c r="M13" s="100">
        <v>0.29242600000000002</v>
      </c>
      <c r="N13" s="100">
        <v>2.41178E-12</v>
      </c>
      <c r="O13" s="100">
        <v>1.3700878999999999E-9</v>
      </c>
      <c r="P13" s="100">
        <v>3.5631719999999999E-2</v>
      </c>
      <c r="Q13" s="100">
        <v>1.7603104999999999E-3</v>
      </c>
      <c r="R13" s="100">
        <v>5.1936020999999999E-3</v>
      </c>
      <c r="S13" s="100">
        <v>0.25220326999999998</v>
      </c>
    </row>
    <row r="14" spans="1:19" x14ac:dyDescent="0.25">
      <c r="A14" s="100">
        <v>5.0999999999999996</v>
      </c>
      <c r="B14" s="100">
        <v>0.24309800000000001</v>
      </c>
      <c r="C14" s="100">
        <v>1.6154852999999999E-12</v>
      </c>
      <c r="D14" s="100">
        <v>5.2406002000000004E-10</v>
      </c>
      <c r="E14" s="100">
        <v>2.2807502E-2</v>
      </c>
      <c r="F14" s="100">
        <v>3.0826342E-3</v>
      </c>
      <c r="G14" s="100">
        <v>2.0481634000000001E-3</v>
      </c>
      <c r="H14" s="100">
        <v>0.23103845000000001</v>
      </c>
      <c r="L14" s="100">
        <v>4.4000000000000004</v>
      </c>
      <c r="M14" s="100">
        <v>0.30635099999999998</v>
      </c>
      <c r="N14" s="100">
        <v>1.9626469999999998E-12</v>
      </c>
      <c r="O14" s="100">
        <v>1.0938889999999999E-9</v>
      </c>
      <c r="P14" s="100">
        <v>3.6639605999999998E-2</v>
      </c>
      <c r="Q14" s="100">
        <v>1.7941921E-3</v>
      </c>
      <c r="R14" s="100">
        <v>5.2405715E-3</v>
      </c>
      <c r="S14" s="100">
        <v>0.25933713000000003</v>
      </c>
    </row>
    <row r="15" spans="1:19" x14ac:dyDescent="0.25">
      <c r="A15" s="100">
        <v>5.4</v>
      </c>
      <c r="B15" s="100">
        <v>0.25739800000000002</v>
      </c>
      <c r="C15" s="100">
        <v>1.9128573E-12</v>
      </c>
      <c r="D15" s="100">
        <v>6.2135042999999998E-10</v>
      </c>
      <c r="E15" s="100">
        <v>2.2850349999999998E-2</v>
      </c>
      <c r="F15" s="100">
        <v>3.0785483000000001E-3</v>
      </c>
      <c r="G15" s="100">
        <v>2.0556111999999998E-3</v>
      </c>
      <c r="H15" s="100">
        <v>0.23285935999999999</v>
      </c>
      <c r="L15" s="100">
        <v>4.5999999999999996</v>
      </c>
      <c r="M15" s="100">
        <v>0.32027600000000001</v>
      </c>
      <c r="N15" s="100">
        <v>2.0999273E-12</v>
      </c>
      <c r="O15" s="100">
        <v>1.1552999999999999E-9</v>
      </c>
      <c r="P15" s="100">
        <v>3.7394627E-2</v>
      </c>
      <c r="Q15" s="100">
        <v>1.8176468000000001E-3</v>
      </c>
      <c r="R15" s="100">
        <v>5.2845106000000003E-3</v>
      </c>
      <c r="S15" s="100">
        <v>0.26468121</v>
      </c>
    </row>
    <row r="16" spans="1:19" x14ac:dyDescent="0.25">
      <c r="A16" s="100">
        <v>5.7</v>
      </c>
      <c r="B16" s="100">
        <v>0.271698</v>
      </c>
      <c r="C16" s="100">
        <v>2.2035513000000002E-12</v>
      </c>
      <c r="D16" s="100">
        <v>7.1478920999999997E-10</v>
      </c>
      <c r="E16" s="100">
        <v>2.2880924E-2</v>
      </c>
      <c r="F16" s="100">
        <v>3.0827988000000001E-3</v>
      </c>
      <c r="G16" s="100">
        <v>2.0556111999999998E-3</v>
      </c>
      <c r="H16" s="100">
        <v>0.23450229</v>
      </c>
      <c r="L16" s="100">
        <v>4.8</v>
      </c>
      <c r="M16" s="100">
        <v>0.33420100000000003</v>
      </c>
      <c r="N16" s="100">
        <v>2.6897384000000001E-12</v>
      </c>
      <c r="O16" s="100">
        <v>1.4692607E-9</v>
      </c>
      <c r="P16" s="100">
        <v>3.7896784000000003E-2</v>
      </c>
      <c r="Q16" s="100">
        <v>1.8306748000000001E-3</v>
      </c>
      <c r="R16" s="100">
        <v>5.3254195000000002E-3</v>
      </c>
      <c r="S16" s="100">
        <v>0.26823551000000001</v>
      </c>
    </row>
    <row r="17" spans="1:19" x14ac:dyDescent="0.25">
      <c r="A17" s="100">
        <v>6</v>
      </c>
      <c r="B17" s="100">
        <v>0.285997</v>
      </c>
      <c r="C17" s="100">
        <v>2.4651674999999999E-12</v>
      </c>
      <c r="D17" s="100">
        <v>8.0231072E-10</v>
      </c>
      <c r="E17" s="100">
        <v>2.2792243E-2</v>
      </c>
      <c r="F17" s="100">
        <v>3.0725844999999999E-3</v>
      </c>
      <c r="G17" s="100">
        <v>2.0556111999999998E-3</v>
      </c>
      <c r="H17" s="100">
        <v>0.23428544000000001</v>
      </c>
      <c r="L17" s="100">
        <v>5</v>
      </c>
      <c r="M17" s="100">
        <v>0.34812599999999999</v>
      </c>
      <c r="N17" s="100">
        <v>3.3944247999999999E-12</v>
      </c>
      <c r="O17" s="100">
        <v>1.8515626E-9</v>
      </c>
      <c r="P17" s="100">
        <v>3.8146076000000001E-2</v>
      </c>
      <c r="Q17" s="100">
        <v>1.8332757999999999E-3</v>
      </c>
      <c r="R17" s="100">
        <v>5.3632979999999999E-3</v>
      </c>
      <c r="S17" s="100">
        <v>0.27000001000000001</v>
      </c>
    </row>
    <row r="18" spans="1:19" x14ac:dyDescent="0.25">
      <c r="A18" s="100">
        <v>6.3</v>
      </c>
      <c r="B18" s="100">
        <v>0.30029699999999998</v>
      </c>
      <c r="C18" s="100">
        <v>2.7023055999999999E-12</v>
      </c>
      <c r="D18" s="100">
        <v>8.8073717999999995E-10</v>
      </c>
      <c r="E18" s="100">
        <v>2.2734497999999999E-2</v>
      </c>
      <c r="F18" s="100">
        <v>3.0682315E-3</v>
      </c>
      <c r="G18" s="100">
        <v>2.0528183000000002E-3</v>
      </c>
      <c r="H18" s="100">
        <v>0.23311818000000001</v>
      </c>
      <c r="L18" s="100">
        <v>5.2</v>
      </c>
      <c r="M18" s="100">
        <v>0.36205100000000001</v>
      </c>
      <c r="N18" s="100">
        <v>4.3269864999999999E-12</v>
      </c>
      <c r="O18" s="100">
        <v>2.3703670999999999E-9</v>
      </c>
      <c r="P18" s="100">
        <v>3.8142503000000001E-2</v>
      </c>
      <c r="Q18" s="100">
        <v>1.8254499999999999E-3</v>
      </c>
      <c r="R18" s="100">
        <v>5.3981463E-3</v>
      </c>
      <c r="S18" s="100">
        <v>0.26997472</v>
      </c>
    </row>
    <row r="19" spans="1:19" x14ac:dyDescent="0.25">
      <c r="A19" s="100">
        <v>6.6</v>
      </c>
      <c r="B19" s="100">
        <v>0.31459700000000002</v>
      </c>
      <c r="C19" s="100">
        <v>2.7617551000000001E-12</v>
      </c>
      <c r="D19" s="100">
        <v>9.0166087000000002E-10</v>
      </c>
      <c r="E19" s="100">
        <v>2.2657623000000002E-2</v>
      </c>
      <c r="F19" s="100">
        <v>3.0629644000000002E-3</v>
      </c>
      <c r="G19" s="100">
        <v>2.0481634000000001E-3</v>
      </c>
      <c r="H19" s="100">
        <v>0.23314329</v>
      </c>
      <c r="L19" s="100">
        <v>5.4</v>
      </c>
      <c r="M19" s="100">
        <v>0.37597599999999998</v>
      </c>
      <c r="N19" s="100">
        <v>4.0161170000000003E-12</v>
      </c>
      <c r="O19" s="100">
        <v>2.2222902999999999E-9</v>
      </c>
      <c r="P19" s="100">
        <v>3.7886064999999997E-2</v>
      </c>
      <c r="Q19" s="100">
        <v>1.8071973000000001E-3</v>
      </c>
      <c r="R19" s="100">
        <v>5.4299641999999999E-3</v>
      </c>
      <c r="S19" s="100">
        <v>0.26815963999999998</v>
      </c>
    </row>
    <row r="20" spans="1:19" x14ac:dyDescent="0.25">
      <c r="A20" s="100">
        <v>6.9</v>
      </c>
      <c r="B20" s="100">
        <v>0.32889699999999999</v>
      </c>
      <c r="C20" s="100">
        <v>2.5268985E-12</v>
      </c>
      <c r="D20" s="100">
        <v>8.2665285000000001E-10</v>
      </c>
      <c r="E20" s="100">
        <v>2.2561621E-2</v>
      </c>
      <c r="F20" s="100">
        <v>3.0567832000000001E-3</v>
      </c>
      <c r="G20" s="100">
        <v>2.0416465E-3</v>
      </c>
      <c r="H20" s="100">
        <v>0.23396890000000001</v>
      </c>
      <c r="L20" s="100">
        <v>5.6</v>
      </c>
      <c r="M20" s="100">
        <v>0.389901</v>
      </c>
      <c r="N20" s="100">
        <v>4.1078711999999998E-12</v>
      </c>
      <c r="O20" s="100">
        <v>2.3097161000000002E-9</v>
      </c>
      <c r="P20" s="100">
        <v>3.7376763E-2</v>
      </c>
      <c r="Q20" s="100">
        <v>1.7785177999999999E-3</v>
      </c>
      <c r="R20" s="100">
        <v>5.4587519000000003E-3</v>
      </c>
      <c r="S20" s="100">
        <v>0.26455476999999999</v>
      </c>
    </row>
    <row r="21" spans="1:19" x14ac:dyDescent="0.25">
      <c r="A21" s="100">
        <v>7.2</v>
      </c>
      <c r="B21" s="100">
        <v>0.34319699999999997</v>
      </c>
      <c r="C21" s="100">
        <v>2.4194534000000001E-12</v>
      </c>
      <c r="D21" s="100">
        <v>7.9334459999999999E-10</v>
      </c>
      <c r="E21" s="100">
        <v>2.2446489999999999E-2</v>
      </c>
      <c r="F21" s="100">
        <v>3.0496879E-3</v>
      </c>
      <c r="G21" s="100">
        <v>2.0332675999999998E-3</v>
      </c>
      <c r="H21" s="100">
        <v>0.23446711000000001</v>
      </c>
      <c r="L21" s="100">
        <v>5.8</v>
      </c>
      <c r="M21" s="100">
        <v>0.40382600000000002</v>
      </c>
      <c r="N21" s="100">
        <v>4.1775061000000002E-12</v>
      </c>
      <c r="O21" s="100">
        <v>2.4016781000000001E-9</v>
      </c>
      <c r="P21" s="100">
        <v>3.6614594E-2</v>
      </c>
      <c r="Q21" s="100">
        <v>1.7394113000000001E-3</v>
      </c>
      <c r="R21" s="100">
        <v>5.4845092999999999E-3</v>
      </c>
      <c r="S21" s="100">
        <v>0.2591601</v>
      </c>
    </row>
    <row r="22" spans="1:19" x14ac:dyDescent="0.25">
      <c r="A22" s="100">
        <v>7.5</v>
      </c>
      <c r="B22" s="100">
        <v>0.35749700000000001</v>
      </c>
      <c r="C22" s="100">
        <v>2.6104838999999998E-12</v>
      </c>
      <c r="D22" s="100">
        <v>8.5726722E-10</v>
      </c>
      <c r="E22" s="100">
        <v>2.2441623000000001E-2</v>
      </c>
      <c r="F22" s="100">
        <v>3.0451227000000002E-3</v>
      </c>
      <c r="G22" s="100">
        <v>2.0369915999999999E-3</v>
      </c>
      <c r="H22" s="100">
        <v>0.23391036000000001</v>
      </c>
      <c r="L22" s="100">
        <v>6</v>
      </c>
      <c r="M22" s="100">
        <v>0.41775099999999998</v>
      </c>
      <c r="N22" s="100">
        <v>4.5605815000000004E-12</v>
      </c>
      <c r="O22" s="100">
        <v>2.6987635000000002E-9</v>
      </c>
      <c r="P22" s="100">
        <v>3.5599563000000001E-2</v>
      </c>
      <c r="Q22" s="100">
        <v>1.6898780999999999E-3</v>
      </c>
      <c r="R22" s="100">
        <v>5.5072363000000001E-3</v>
      </c>
      <c r="S22" s="100">
        <v>0.25197565</v>
      </c>
    </row>
    <row r="23" spans="1:19" x14ac:dyDescent="0.25">
      <c r="A23" s="100">
        <v>7.8</v>
      </c>
      <c r="B23" s="100">
        <v>0.37179699999999999</v>
      </c>
      <c r="C23" s="100">
        <v>2.7052620000000001E-12</v>
      </c>
      <c r="D23" s="100">
        <v>8.8959002000000001E-10</v>
      </c>
      <c r="E23" s="100">
        <v>2.2469386000000001E-2</v>
      </c>
      <c r="F23" s="100">
        <v>3.0410210000000001E-3</v>
      </c>
      <c r="G23" s="100">
        <v>2.0444394E-3</v>
      </c>
      <c r="H23" s="100">
        <v>0.23296341000000001</v>
      </c>
      <c r="L23" s="100">
        <v>6.2</v>
      </c>
      <c r="M23" s="100">
        <v>0.43167699999999998</v>
      </c>
      <c r="N23" s="100">
        <v>5.1237215000000004E-12</v>
      </c>
      <c r="O23" s="100">
        <v>3.0374616000000001E-9</v>
      </c>
      <c r="P23" s="100">
        <v>3.5502841E-2</v>
      </c>
      <c r="Q23" s="100">
        <v>1.6868432E-3</v>
      </c>
      <c r="R23" s="100">
        <v>5.5010049999999998E-3</v>
      </c>
      <c r="S23" s="100">
        <v>0.25129105000000002</v>
      </c>
    </row>
    <row r="24" spans="1:19" x14ac:dyDescent="0.25">
      <c r="A24" s="100">
        <v>8.1</v>
      </c>
      <c r="B24" s="100">
        <v>0.38609700000000002</v>
      </c>
      <c r="C24" s="100">
        <v>2.6360607E-12</v>
      </c>
      <c r="D24" s="100">
        <v>8.6787230999999997E-10</v>
      </c>
      <c r="E24" s="100">
        <v>2.2529777000000001E-2</v>
      </c>
      <c r="F24" s="100">
        <v>3.0373830999999999E-3</v>
      </c>
      <c r="G24" s="100">
        <v>2.0556111999999998E-3</v>
      </c>
      <c r="H24" s="100">
        <v>0.23301899000000001</v>
      </c>
      <c r="L24" s="100">
        <v>6.4</v>
      </c>
      <c r="M24" s="100">
        <v>0.445602</v>
      </c>
      <c r="N24" s="100">
        <v>4.5031251E-12</v>
      </c>
      <c r="O24" s="100">
        <v>2.6770230000000001E-9</v>
      </c>
      <c r="P24" s="100">
        <v>3.5333435000000003E-2</v>
      </c>
      <c r="Q24" s="100">
        <v>1.6821392000000001E-3</v>
      </c>
      <c r="R24" s="100">
        <v>5.4877544000000002E-3</v>
      </c>
      <c r="S24" s="100">
        <v>0.25009198999999999</v>
      </c>
    </row>
    <row r="25" spans="1:19" x14ac:dyDescent="0.25">
      <c r="A25" s="100">
        <v>8.4</v>
      </c>
      <c r="B25" s="100">
        <v>0.40039599999999997</v>
      </c>
      <c r="C25" s="100">
        <v>2.8009274E-12</v>
      </c>
      <c r="D25" s="100">
        <v>9.2232331000000004E-10</v>
      </c>
      <c r="E25" s="100">
        <v>2.1943265E-2</v>
      </c>
      <c r="F25" s="100">
        <v>3.0368172999999999E-3</v>
      </c>
      <c r="G25" s="100">
        <v>1.9885794E-3</v>
      </c>
      <c r="H25" s="100">
        <v>0.23387306999999999</v>
      </c>
      <c r="L25" s="100">
        <v>6.6</v>
      </c>
      <c r="M25" s="100">
        <v>0.45952700000000002</v>
      </c>
      <c r="N25" s="100">
        <v>4.4082158E-12</v>
      </c>
      <c r="O25" s="100">
        <v>2.6305677E-9</v>
      </c>
      <c r="P25" s="100">
        <v>3.5091346000000002E-2</v>
      </c>
      <c r="Q25" s="100">
        <v>1.675766E-3</v>
      </c>
      <c r="R25" s="100">
        <v>5.4674846000000001E-3</v>
      </c>
      <c r="S25" s="100">
        <v>0.24837846</v>
      </c>
    </row>
    <row r="26" spans="1:19" x14ac:dyDescent="0.25">
      <c r="A26" s="100">
        <v>8.6999999999999993</v>
      </c>
      <c r="B26" s="100">
        <v>0.41469600000000001</v>
      </c>
      <c r="C26" s="100">
        <v>4.2215078999999999E-12</v>
      </c>
      <c r="D26" s="100">
        <v>1.3854123E-9</v>
      </c>
      <c r="E26" s="100">
        <v>1.5616425999999999E-2</v>
      </c>
      <c r="F26" s="100">
        <v>3.0471131000000002E-3</v>
      </c>
      <c r="G26" s="100">
        <v>1.3853015E-3</v>
      </c>
      <c r="H26" s="100">
        <v>0.23462332999999999</v>
      </c>
      <c r="L26" s="100">
        <v>6.8</v>
      </c>
      <c r="M26" s="100">
        <v>0.47345199999999998</v>
      </c>
      <c r="N26" s="100">
        <v>4.2487639999999996E-12</v>
      </c>
      <c r="O26" s="100">
        <v>2.5476428000000002E-9</v>
      </c>
      <c r="P26" s="100">
        <v>3.4776570999999999E-2</v>
      </c>
      <c r="Q26" s="100">
        <v>1.6677236000000001E-3</v>
      </c>
      <c r="R26" s="100">
        <v>5.4401954000000002E-3</v>
      </c>
      <c r="S26" s="100">
        <v>0.24615048</v>
      </c>
    </row>
    <row r="27" spans="1:19" x14ac:dyDescent="0.25">
      <c r="A27" s="100">
        <v>9</v>
      </c>
      <c r="B27" s="100">
        <v>0.42899599999999999</v>
      </c>
      <c r="C27" s="100">
        <v>3.2181705000000001E-12</v>
      </c>
      <c r="D27" s="100">
        <v>1.2391286E-9</v>
      </c>
      <c r="E27" s="100">
        <v>8.7064133000000002E-3</v>
      </c>
      <c r="F27" s="100">
        <v>2.5971239000000001E-3</v>
      </c>
      <c r="G27" s="100">
        <v>9.3843118999999999E-4</v>
      </c>
      <c r="H27" s="100">
        <v>0.23397018</v>
      </c>
      <c r="L27" s="100">
        <v>7</v>
      </c>
      <c r="M27" s="100">
        <v>0.487377</v>
      </c>
      <c r="N27" s="100">
        <v>4.6538338999999996E-12</v>
      </c>
      <c r="O27" s="100">
        <v>2.8068757E-9</v>
      </c>
      <c r="P27" s="100">
        <v>3.4389113999999998E-2</v>
      </c>
      <c r="Q27" s="100">
        <v>1.6580121E-3</v>
      </c>
      <c r="R27" s="100">
        <v>5.4058871999999999E-3</v>
      </c>
      <c r="S27" s="100">
        <v>0.24340803</v>
      </c>
    </row>
    <row r="28" spans="1:19" x14ac:dyDescent="0.25">
      <c r="A28" s="100">
        <v>9.3000000000000007</v>
      </c>
      <c r="B28" s="100">
        <v>0.44329600000000002</v>
      </c>
      <c r="C28" s="100">
        <v>4.7819083999999999E-15</v>
      </c>
      <c r="D28" s="100">
        <v>8.5120391999999993E-12</v>
      </c>
      <c r="E28" s="100">
        <v>3.7575632999999999E-3</v>
      </c>
      <c r="F28" s="100">
        <v>5.6178176999999998E-4</v>
      </c>
      <c r="G28" s="100">
        <v>7.3733879000000002E-4</v>
      </c>
      <c r="H28" s="100">
        <v>0.23320837</v>
      </c>
      <c r="L28" s="100">
        <v>7.2</v>
      </c>
      <c r="M28" s="100">
        <v>0.50130200000000003</v>
      </c>
      <c r="N28" s="100">
        <v>5.2174673E-12</v>
      </c>
      <c r="O28" s="100">
        <v>3.1685701E-9</v>
      </c>
      <c r="P28" s="100">
        <v>3.3928971000000002E-2</v>
      </c>
      <c r="Q28" s="100">
        <v>1.6466314999999999E-3</v>
      </c>
      <c r="R28" s="100">
        <v>5.3645595000000003E-3</v>
      </c>
      <c r="S28" s="100">
        <v>0.24015112</v>
      </c>
    </row>
    <row r="29" spans="1:19" x14ac:dyDescent="0.25">
      <c r="L29" s="100">
        <v>7.4</v>
      </c>
      <c r="M29" s="100">
        <v>0.51522699999999999</v>
      </c>
      <c r="N29" s="100">
        <v>5.4110696000000001E-12</v>
      </c>
      <c r="O29" s="100">
        <v>3.3123959999999998E-9</v>
      </c>
      <c r="P29" s="100">
        <v>3.3396146000000002E-2</v>
      </c>
      <c r="Q29" s="100">
        <v>1.6335817000000001E-3</v>
      </c>
      <c r="R29" s="100">
        <v>5.3162128000000001E-3</v>
      </c>
      <c r="S29" s="100">
        <v>0.23637975</v>
      </c>
    </row>
    <row r="30" spans="1:19" x14ac:dyDescent="0.25">
      <c r="L30" s="100">
        <v>7.6</v>
      </c>
      <c r="M30" s="100">
        <v>0.52915199999999996</v>
      </c>
      <c r="N30" s="100">
        <v>4.9947449000000002E-12</v>
      </c>
      <c r="O30" s="100">
        <v>3.0853417000000001E-9</v>
      </c>
      <c r="P30" s="100">
        <v>3.2790636999999997E-2</v>
      </c>
      <c r="Q30" s="100">
        <v>1.6188628E-3</v>
      </c>
      <c r="R30" s="100">
        <v>5.2608467999999999E-3</v>
      </c>
      <c r="S30" s="100">
        <v>0.23209392000000001</v>
      </c>
    </row>
    <row r="31" spans="1:19" x14ac:dyDescent="0.25">
      <c r="A31" s="27" t="s">
        <v>77</v>
      </c>
      <c r="B31" s="26"/>
      <c r="C31" s="26"/>
      <c r="D31" s="26"/>
      <c r="E31" s="26"/>
      <c r="F31" s="26"/>
      <c r="G31" s="26"/>
      <c r="H31" s="26"/>
      <c r="L31" s="100">
        <v>7.8</v>
      </c>
      <c r="M31" s="100">
        <v>0.54307700000000003</v>
      </c>
      <c r="N31" s="100">
        <v>4.6694647999999997E-12</v>
      </c>
      <c r="O31" s="100">
        <v>2.9139084999999999E-9</v>
      </c>
      <c r="P31" s="100">
        <v>3.2112441999999998E-2</v>
      </c>
      <c r="Q31" s="100">
        <v>1.6024748000000001E-3</v>
      </c>
      <c r="R31" s="100">
        <v>5.1984613999999998E-3</v>
      </c>
      <c r="S31" s="100">
        <v>0.22729362</v>
      </c>
    </row>
    <row r="32" spans="1:19" x14ac:dyDescent="0.25">
      <c r="A32" s="219" t="s">
        <v>70</v>
      </c>
      <c r="B32" s="219" t="s">
        <v>71</v>
      </c>
      <c r="C32" s="219" t="s">
        <v>39</v>
      </c>
      <c r="D32" s="219" t="s">
        <v>72</v>
      </c>
      <c r="E32" s="219" t="s">
        <v>73</v>
      </c>
      <c r="F32" s="219" t="s">
        <v>74</v>
      </c>
      <c r="G32" s="219" t="s">
        <v>75</v>
      </c>
      <c r="H32" s="219" t="s">
        <v>76</v>
      </c>
      <c r="L32" s="100">
        <v>8</v>
      </c>
      <c r="M32" s="100">
        <v>0.557002</v>
      </c>
      <c r="N32" s="100">
        <v>4.2744007E-12</v>
      </c>
      <c r="O32" s="100">
        <v>2.6977739999999999E-9</v>
      </c>
      <c r="P32" s="100">
        <v>3.1361565000000001E-2</v>
      </c>
      <c r="Q32" s="100">
        <v>1.5844176000000001E-3</v>
      </c>
      <c r="R32" s="100">
        <v>5.1290570000000002E-3</v>
      </c>
      <c r="S32" s="100">
        <v>0.22197886999999999</v>
      </c>
    </row>
    <row r="33" spans="1:19" x14ac:dyDescent="0.25">
      <c r="A33" s="100">
        <v>2.1</v>
      </c>
      <c r="B33" s="100">
        <v>0.100521</v>
      </c>
      <c r="C33" s="100">
        <v>1.1260213999999999E-11</v>
      </c>
      <c r="D33" s="100">
        <v>3.6795365999999997E-8</v>
      </c>
      <c r="E33" s="100">
        <v>2.3136832E-3</v>
      </c>
      <c r="F33" s="100">
        <v>3.0602260999999998E-4</v>
      </c>
      <c r="G33" s="100">
        <v>2.0109239999999999E-3</v>
      </c>
      <c r="H33" s="100">
        <v>2.2720952000000001E-4</v>
      </c>
      <c r="L33" s="100">
        <v>8.1999999999999993</v>
      </c>
      <c r="M33" s="100">
        <v>0.57092699999999996</v>
      </c>
      <c r="N33" s="100">
        <v>4.5633865E-12</v>
      </c>
      <c r="O33" s="100">
        <v>3.1020396000000001E-9</v>
      </c>
      <c r="P33" s="100">
        <v>2.8432188000000001E-2</v>
      </c>
      <c r="Q33" s="100">
        <v>1.4710922999999999E-3</v>
      </c>
      <c r="R33" s="100">
        <v>5.0067395999999998E-3</v>
      </c>
      <c r="S33" s="100">
        <v>0.20124458000000001</v>
      </c>
    </row>
    <row r="34" spans="1:19" x14ac:dyDescent="0.25">
      <c r="A34" s="100">
        <v>2.4</v>
      </c>
      <c r="B34" s="100">
        <v>0.114882</v>
      </c>
      <c r="C34" s="100">
        <v>1.1424203000000001E-11</v>
      </c>
      <c r="D34" s="100">
        <v>1.3608321E-8</v>
      </c>
      <c r="E34" s="100">
        <v>6.1296509999999998E-3</v>
      </c>
      <c r="F34" s="100">
        <v>8.3950126000000003E-4</v>
      </c>
      <c r="G34" s="100">
        <v>2.0332675999999998E-3</v>
      </c>
      <c r="H34" s="100">
        <v>2.0327697000000001E-4</v>
      </c>
      <c r="L34" s="100">
        <v>8.4</v>
      </c>
      <c r="M34" s="100">
        <v>0.58485200000000004</v>
      </c>
      <c r="N34" s="100">
        <v>6.1716808999999999E-12</v>
      </c>
      <c r="O34" s="100">
        <v>4.6088999999999997E-9</v>
      </c>
      <c r="P34" s="100">
        <v>2.5047234000000002E-2</v>
      </c>
      <c r="Q34" s="100">
        <v>1.3390788999999999E-3</v>
      </c>
      <c r="R34" s="100">
        <v>4.8690581000000004E-3</v>
      </c>
      <c r="S34" s="100">
        <v>0.17728569</v>
      </c>
    </row>
    <row r="35" spans="1:19" x14ac:dyDescent="0.25">
      <c r="A35" s="100">
        <v>2.7</v>
      </c>
      <c r="B35" s="100">
        <v>0.129242</v>
      </c>
      <c r="C35" s="100">
        <v>1.2754275999999999E-11</v>
      </c>
      <c r="D35" s="100">
        <v>6.7898643999999997E-9</v>
      </c>
      <c r="E35" s="100">
        <v>1.4123745E-2</v>
      </c>
      <c r="F35" s="100">
        <v>1.8784286999999999E-3</v>
      </c>
      <c r="G35" s="100">
        <v>2.0779548000000002E-3</v>
      </c>
      <c r="H35" s="100">
        <v>0.13148636</v>
      </c>
      <c r="L35" s="100">
        <v>8.6</v>
      </c>
      <c r="M35" s="100">
        <v>0.598777</v>
      </c>
      <c r="N35" s="100">
        <v>9.2761410999999995E-12</v>
      </c>
      <c r="O35" s="100">
        <v>8.3426315000000007E-9</v>
      </c>
      <c r="P35" s="100">
        <v>2.0952740000000001E-2</v>
      </c>
      <c r="Q35" s="100">
        <v>1.1118962999999999E-3</v>
      </c>
      <c r="R35" s="100">
        <v>4.7479228000000002E-3</v>
      </c>
      <c r="S35" s="100">
        <v>0.14830463999999999</v>
      </c>
    </row>
    <row r="36" spans="1:19" x14ac:dyDescent="0.25">
      <c r="A36" s="100">
        <v>3</v>
      </c>
      <c r="B36" s="100">
        <v>0.14360200000000001</v>
      </c>
      <c r="C36" s="100">
        <v>1.1689422E-11</v>
      </c>
      <c r="D36" s="100">
        <v>3.8758898999999999E-9</v>
      </c>
      <c r="E36" s="100">
        <v>2.2367176999999999E-2</v>
      </c>
      <c r="F36" s="100">
        <v>3.0159324E-3</v>
      </c>
      <c r="G36" s="100">
        <v>2.0705070000000001E-3</v>
      </c>
      <c r="H36" s="100">
        <v>0.39442343000000002</v>
      </c>
      <c r="L36" s="100">
        <v>8.8000000000000007</v>
      </c>
      <c r="M36" s="100">
        <v>0.61270199999999997</v>
      </c>
      <c r="N36" s="100">
        <v>1.2595295E-11</v>
      </c>
      <c r="O36" s="100">
        <v>1.5453628000000001E-8</v>
      </c>
      <c r="P36" s="100">
        <v>1.6233356000000001E-2</v>
      </c>
      <c r="Q36" s="100">
        <v>8.1503806999999996E-4</v>
      </c>
      <c r="R36" s="100">
        <v>4.6326965000000001E-3</v>
      </c>
      <c r="S36" s="100">
        <v>0.11490058</v>
      </c>
    </row>
    <row r="37" spans="1:19" x14ac:dyDescent="0.25">
      <c r="A37" s="100">
        <v>3.3</v>
      </c>
      <c r="B37" s="100">
        <v>0.15796199999999999</v>
      </c>
      <c r="C37" s="100">
        <v>6.6227517E-12</v>
      </c>
      <c r="D37" s="100">
        <v>1.5575568E-9</v>
      </c>
      <c r="E37" s="100">
        <v>3.0859951E-2</v>
      </c>
      <c r="F37" s="100">
        <v>4.2520129000000002E-3</v>
      </c>
      <c r="G37" s="100">
        <v>2.0109239999999999E-3</v>
      </c>
      <c r="H37" s="100">
        <v>0.39442343000000002</v>
      </c>
      <c r="L37" s="100">
        <v>9</v>
      </c>
      <c r="M37" s="100">
        <v>0.62662700000000005</v>
      </c>
      <c r="N37" s="100">
        <v>1.5781341999999999E-11</v>
      </c>
      <c r="O37" s="100">
        <v>3.0038766E-8</v>
      </c>
      <c r="P37" s="100">
        <v>1.1962502999999999E-2</v>
      </c>
      <c r="Q37" s="100">
        <v>5.2536586E-4</v>
      </c>
      <c r="R37" s="100">
        <v>4.6090604999999996E-3</v>
      </c>
      <c r="S37" s="100">
        <v>8.4671251000000003E-2</v>
      </c>
    </row>
    <row r="38" spans="1:19" x14ac:dyDescent="0.25">
      <c r="A38" s="100">
        <v>3.6</v>
      </c>
      <c r="B38" s="100">
        <v>0.172322</v>
      </c>
      <c r="C38" s="100">
        <v>4.1843716999999996E-12</v>
      </c>
      <c r="D38" s="100">
        <v>8.8050720000000003E-10</v>
      </c>
      <c r="E38" s="100">
        <v>3.4437545E-2</v>
      </c>
      <c r="F38" s="100">
        <v>4.7522288999999997E-3</v>
      </c>
      <c r="G38" s="100">
        <v>2.0109239999999999E-3</v>
      </c>
      <c r="H38" s="100">
        <v>0.39442343000000002</v>
      </c>
    </row>
    <row r="39" spans="1:19" x14ac:dyDescent="0.25">
      <c r="A39" s="100">
        <v>3.9</v>
      </c>
      <c r="B39" s="100">
        <v>0.18668299999999999</v>
      </c>
      <c r="C39" s="100">
        <v>5.0000954999999999E-12</v>
      </c>
      <c r="D39" s="100">
        <v>1.0082761E-9</v>
      </c>
      <c r="E39" s="100">
        <v>3.5950108000000001E-2</v>
      </c>
      <c r="F39" s="100">
        <v>4.9590537000000004E-3</v>
      </c>
      <c r="G39" s="100">
        <v>2.0109239999999999E-3</v>
      </c>
      <c r="H39" s="100">
        <v>0.39442343000000002</v>
      </c>
    </row>
    <row r="40" spans="1:19" x14ac:dyDescent="0.25">
      <c r="A40" s="100">
        <v>4.2</v>
      </c>
      <c r="B40" s="100">
        <v>0.201043</v>
      </c>
      <c r="C40" s="100">
        <v>7.3294832999999995E-12</v>
      </c>
      <c r="D40" s="100">
        <v>1.4089327E-9</v>
      </c>
      <c r="E40" s="100">
        <v>3.7802766000000002E-2</v>
      </c>
      <c r="F40" s="100">
        <v>5.2021530000000002E-3</v>
      </c>
      <c r="G40" s="100">
        <v>2.0183719E-3</v>
      </c>
      <c r="H40" s="100">
        <v>0.39442343000000002</v>
      </c>
    </row>
    <row r="41" spans="1:19" x14ac:dyDescent="0.25">
      <c r="A41" s="100">
        <v>4.5</v>
      </c>
      <c r="B41" s="100">
        <v>0.21540300000000001</v>
      </c>
      <c r="C41" s="100">
        <v>7.7663699999999993E-12</v>
      </c>
      <c r="D41" s="100">
        <v>1.4168263E-9</v>
      </c>
      <c r="E41" s="100">
        <v>3.9995513000000003E-2</v>
      </c>
      <c r="F41" s="100">
        <v>5.4815259999999996E-3</v>
      </c>
      <c r="G41" s="100">
        <v>2.0332675999999998E-3</v>
      </c>
      <c r="H41" s="100">
        <v>0.39442343000000002</v>
      </c>
    </row>
    <row r="42" spans="1:19" x14ac:dyDescent="0.25">
      <c r="A42" s="100">
        <v>4.8</v>
      </c>
      <c r="B42" s="100">
        <v>0.229763</v>
      </c>
      <c r="C42" s="100">
        <v>5.0100876000000003E-12</v>
      </c>
      <c r="D42" s="100">
        <v>8.8781225999999999E-10</v>
      </c>
      <c r="E42" s="100">
        <v>4.1189842999999997E-2</v>
      </c>
      <c r="F42" s="100">
        <v>5.6431837000000002E-3</v>
      </c>
      <c r="G42" s="100">
        <v>2.0332675999999998E-3</v>
      </c>
      <c r="H42" s="100">
        <v>0.39442343000000002</v>
      </c>
    </row>
    <row r="43" spans="1:19" x14ac:dyDescent="0.25">
      <c r="A43" s="100">
        <v>5.0999999999999996</v>
      </c>
      <c r="B43" s="100">
        <v>0.24412400000000001</v>
      </c>
      <c r="C43" s="100">
        <v>3.4794297000000001E-12</v>
      </c>
      <c r="D43" s="100">
        <v>6.1007710999999997E-10</v>
      </c>
      <c r="E43" s="100">
        <v>4.1744824E-2</v>
      </c>
      <c r="F43" s="100">
        <v>5.7032621000000002E-3</v>
      </c>
      <c r="G43" s="100">
        <v>2.0407155E-3</v>
      </c>
      <c r="H43" s="100">
        <v>0.39442343000000002</v>
      </c>
      <c r="S43">
        <f>MIN(INDEX(HLC_Coronagraph,,1))</f>
        <v>2.7</v>
      </c>
    </row>
    <row r="44" spans="1:19" x14ac:dyDescent="0.25">
      <c r="A44" s="100">
        <v>5.4</v>
      </c>
      <c r="B44" s="100">
        <v>0.25848399999999999</v>
      </c>
      <c r="C44" s="100">
        <v>4.5271586999999999E-12</v>
      </c>
      <c r="D44" s="100">
        <v>7.9960251000000002E-10</v>
      </c>
      <c r="E44" s="100">
        <v>4.1660456999999998E-2</v>
      </c>
      <c r="F44" s="100">
        <v>5.6617615000000001E-3</v>
      </c>
      <c r="G44" s="100">
        <v>2.0556111999999998E-3</v>
      </c>
      <c r="H44" s="100">
        <v>0.39442343000000002</v>
      </c>
      <c r="S44" s="290">
        <f>MAX(INDEX(HLC_Coronagraph,,1))</f>
        <v>9.3000000000000007</v>
      </c>
    </row>
    <row r="45" spans="1:19" x14ac:dyDescent="0.25">
      <c r="A45" s="100">
        <v>5.7</v>
      </c>
      <c r="B45" s="100">
        <v>0.27284399999999998</v>
      </c>
      <c r="C45" s="100">
        <v>6.083164E-12</v>
      </c>
      <c r="D45" s="100">
        <v>1.0773282000000001E-9</v>
      </c>
      <c r="E45" s="100">
        <v>4.1589323999999997E-2</v>
      </c>
      <c r="F45" s="100">
        <v>5.6465279E-3</v>
      </c>
      <c r="G45" s="100">
        <v>2.0584041999999999E-3</v>
      </c>
      <c r="H45" s="100">
        <v>0.39442343000000002</v>
      </c>
    </row>
    <row r="46" spans="1:19" x14ac:dyDescent="0.25">
      <c r="A46" s="100">
        <v>6</v>
      </c>
      <c r="B46" s="100">
        <v>0.28720400000000001</v>
      </c>
      <c r="C46" s="100">
        <v>6.1726665000000002E-12</v>
      </c>
      <c r="D46" s="100">
        <v>1.0993278999999999E-9</v>
      </c>
      <c r="E46" s="100">
        <v>4.1313897000000002E-2</v>
      </c>
      <c r="F46" s="100">
        <v>5.614946E-3</v>
      </c>
      <c r="G46" s="100">
        <v>2.0556111999999998E-3</v>
      </c>
      <c r="H46" s="100">
        <v>0.39442343000000002</v>
      </c>
    </row>
    <row r="47" spans="1:19" x14ac:dyDescent="0.25">
      <c r="A47" s="100">
        <v>6.3</v>
      </c>
      <c r="B47" s="100">
        <v>0.301564</v>
      </c>
      <c r="C47" s="100">
        <v>4.2887069999999997E-12</v>
      </c>
      <c r="D47" s="100">
        <v>7.6653338E-10</v>
      </c>
      <c r="E47" s="100">
        <v>4.1128624000000003E-2</v>
      </c>
      <c r="F47" s="100">
        <v>5.5949384E-3</v>
      </c>
      <c r="G47" s="100">
        <v>2.0528183000000002E-3</v>
      </c>
      <c r="H47" s="100">
        <v>0.39442343000000002</v>
      </c>
    </row>
    <row r="48" spans="1:19" x14ac:dyDescent="0.25">
      <c r="A48" s="100">
        <v>6.6</v>
      </c>
      <c r="B48" s="100">
        <v>0.31592500000000001</v>
      </c>
      <c r="C48" s="100">
        <v>3.3833599999999998E-12</v>
      </c>
      <c r="D48" s="100">
        <v>6.0664159000000004E-10</v>
      </c>
      <c r="E48" s="100">
        <v>4.0935355999999999E-2</v>
      </c>
      <c r="F48" s="100">
        <v>5.5771974999999996E-3</v>
      </c>
      <c r="G48" s="100">
        <v>2.0481634000000001E-3</v>
      </c>
      <c r="H48" s="100">
        <v>0.39442343000000002</v>
      </c>
    </row>
    <row r="49" spans="1:8" x14ac:dyDescent="0.25">
      <c r="A49" s="100">
        <v>6.9</v>
      </c>
      <c r="B49" s="100">
        <v>0.330285</v>
      </c>
      <c r="C49" s="100">
        <v>3.6098022999999999E-12</v>
      </c>
      <c r="D49" s="100">
        <v>6.4904384000000001E-10</v>
      </c>
      <c r="E49" s="100">
        <v>4.0734093999999998E-2</v>
      </c>
      <c r="F49" s="100">
        <v>5.5617234999999999E-3</v>
      </c>
      <c r="G49" s="100">
        <v>2.0416465E-3</v>
      </c>
      <c r="H49" s="100">
        <v>0.39442343000000002</v>
      </c>
    </row>
    <row r="50" spans="1:8" x14ac:dyDescent="0.25">
      <c r="A50" s="100">
        <v>7.2</v>
      </c>
      <c r="B50" s="100">
        <v>0.34464499999999998</v>
      </c>
      <c r="C50" s="100">
        <v>4.2933990999999997E-12</v>
      </c>
      <c r="D50" s="100">
        <v>7.7379229999999998E-10</v>
      </c>
      <c r="E50" s="100">
        <v>4.0524837000000001E-2</v>
      </c>
      <c r="F50" s="100">
        <v>5.5485163000000004E-3</v>
      </c>
      <c r="G50" s="100">
        <v>2.0332675999999998E-3</v>
      </c>
      <c r="H50" s="100">
        <v>0.39442343000000002</v>
      </c>
    </row>
    <row r="51" spans="1:8" x14ac:dyDescent="0.25">
      <c r="A51" s="100">
        <v>7.5</v>
      </c>
      <c r="B51" s="100">
        <v>0.35900500000000002</v>
      </c>
      <c r="C51" s="100">
        <v>3.8968066999999999E-12</v>
      </c>
      <c r="D51" s="100">
        <v>7.0409646000000003E-10</v>
      </c>
      <c r="E51" s="100">
        <v>4.0402474000000001E-2</v>
      </c>
      <c r="F51" s="100">
        <v>5.5344785000000004E-3</v>
      </c>
      <c r="G51" s="100">
        <v>2.0316716999999999E-3</v>
      </c>
      <c r="H51" s="100">
        <v>0.39442343000000002</v>
      </c>
    </row>
    <row r="52" spans="1:8" x14ac:dyDescent="0.25">
      <c r="A52" s="100">
        <v>7.8</v>
      </c>
      <c r="B52" s="100">
        <v>0.373365</v>
      </c>
      <c r="C52" s="100">
        <v>2.9685214E-12</v>
      </c>
      <c r="D52" s="100">
        <v>5.3763258000000005E-10</v>
      </c>
      <c r="E52" s="100">
        <v>4.0310073000000002E-2</v>
      </c>
      <c r="F52" s="100">
        <v>5.5214686999999997E-3</v>
      </c>
      <c r="G52" s="100">
        <v>2.0316716999999999E-3</v>
      </c>
      <c r="H52" s="100">
        <v>0.39442343000000002</v>
      </c>
    </row>
    <row r="53" spans="1:8" x14ac:dyDescent="0.25">
      <c r="A53" s="100">
        <v>8.1</v>
      </c>
      <c r="B53" s="100">
        <v>0.38772600000000002</v>
      </c>
      <c r="C53" s="100">
        <v>2.6391690999999998E-12</v>
      </c>
      <c r="D53" s="100">
        <v>4.7902268000000001E-10</v>
      </c>
      <c r="E53" s="100">
        <v>4.0247631999999998E-2</v>
      </c>
      <c r="F53" s="100">
        <v>5.5094866000000003E-3</v>
      </c>
      <c r="G53" s="100">
        <v>2.0332675999999998E-3</v>
      </c>
      <c r="H53" s="100">
        <v>0.39442343000000002</v>
      </c>
    </row>
    <row r="54" spans="1:8" x14ac:dyDescent="0.25">
      <c r="A54" s="100">
        <v>8.4</v>
      </c>
      <c r="B54" s="100">
        <v>0.402086</v>
      </c>
      <c r="C54" s="100">
        <v>2.8647998E-12</v>
      </c>
      <c r="D54" s="100">
        <v>5.2040966E-10</v>
      </c>
      <c r="E54" s="100">
        <v>4.0215584999999998E-2</v>
      </c>
      <c r="F54" s="100">
        <v>5.5048935999999996E-3</v>
      </c>
      <c r="G54" s="100">
        <v>2.0332675999999998E-3</v>
      </c>
      <c r="H54" s="100">
        <v>0.39442343000000002</v>
      </c>
    </row>
    <row r="55" spans="1:8" x14ac:dyDescent="0.25">
      <c r="A55" s="100">
        <v>8.6999999999999993</v>
      </c>
      <c r="B55" s="100">
        <v>0.41644599999999998</v>
      </c>
      <c r="C55" s="100">
        <v>3.1732942000000001E-12</v>
      </c>
      <c r="D55" s="100">
        <v>5.7648993999999998E-10</v>
      </c>
      <c r="E55" s="100">
        <v>4.0213715999999997E-2</v>
      </c>
      <c r="F55" s="100">
        <v>5.5045090999999999E-3</v>
      </c>
      <c r="G55" s="100">
        <v>2.0332675999999998E-3</v>
      </c>
      <c r="H55" s="100">
        <v>0.39442343000000002</v>
      </c>
    </row>
    <row r="56" spans="1:8" x14ac:dyDescent="0.25">
      <c r="A56" s="100">
        <v>9</v>
      </c>
      <c r="B56" s="100">
        <v>0.43080600000000002</v>
      </c>
      <c r="C56" s="100">
        <v>2.9255133E-12</v>
      </c>
      <c r="D56" s="100">
        <v>5.3110679999999995E-10</v>
      </c>
      <c r="E56" s="100">
        <v>4.0242024000000001E-2</v>
      </c>
      <c r="F56" s="100">
        <v>5.5083333999999999E-3</v>
      </c>
      <c r="G56" s="100">
        <v>2.0332675999999998E-3</v>
      </c>
      <c r="H56" s="100">
        <v>0.39442343000000002</v>
      </c>
    </row>
    <row r="57" spans="1:8" x14ac:dyDescent="0.25">
      <c r="A57" s="100">
        <v>9.3000000000000007</v>
      </c>
      <c r="B57" s="100">
        <v>0.44516600000000001</v>
      </c>
      <c r="C57" s="100">
        <v>2.8235018000000001E-12</v>
      </c>
      <c r="D57" s="100">
        <v>5.1266489000000003E-10</v>
      </c>
      <c r="E57" s="100">
        <v>3.9948650000000002E-2</v>
      </c>
      <c r="F57" s="100">
        <v>5.5074998000000002E-3</v>
      </c>
      <c r="G57" s="100">
        <v>2.0134065999999999E-3</v>
      </c>
      <c r="H57" s="100">
        <v>0.39442343000000002</v>
      </c>
    </row>
    <row r="58" spans="1:8" x14ac:dyDescent="0.25">
      <c r="A58" s="100">
        <v>9.6</v>
      </c>
      <c r="B58" s="100">
        <v>0.45952700000000002</v>
      </c>
      <c r="C58" s="100">
        <v>2.9995422E-12</v>
      </c>
      <c r="D58" s="100">
        <v>5.4473331E-10</v>
      </c>
      <c r="E58" s="100">
        <v>3.9509521999999998E-2</v>
      </c>
      <c r="F58" s="100">
        <v>5.5064416999999997E-3</v>
      </c>
      <c r="G58" s="100">
        <v>1.9836150999999998E-3</v>
      </c>
      <c r="H58" s="100">
        <v>0.39442343000000002</v>
      </c>
    </row>
    <row r="59" spans="1:8" x14ac:dyDescent="0.25">
      <c r="A59" s="100">
        <v>9.9</v>
      </c>
      <c r="B59" s="100">
        <v>0.473887</v>
      </c>
      <c r="C59" s="100">
        <v>3.4175638E-12</v>
      </c>
      <c r="D59" s="100">
        <v>6.2079296000000004E-10</v>
      </c>
      <c r="E59" s="100">
        <v>3.8924617000000002E-2</v>
      </c>
      <c r="F59" s="100">
        <v>5.5051587999999999E-3</v>
      </c>
      <c r="G59" s="100">
        <v>1.9438916999999999E-3</v>
      </c>
      <c r="H59" s="100">
        <v>0.39442343000000002</v>
      </c>
    </row>
    <row r="60" spans="1:8" x14ac:dyDescent="0.25">
      <c r="A60" s="100">
        <v>10.199999999999999</v>
      </c>
      <c r="B60" s="100">
        <v>0.48824699999999999</v>
      </c>
      <c r="C60" s="100">
        <v>4.8991527000000001E-12</v>
      </c>
      <c r="D60" s="100">
        <v>8.7854719999999997E-10</v>
      </c>
      <c r="E60" s="100">
        <v>2.7370149E-2</v>
      </c>
      <c r="F60" s="100">
        <v>5.5764250999999999E-3</v>
      </c>
      <c r="G60" s="100">
        <v>1.3406144000000001E-3</v>
      </c>
      <c r="H60" s="100">
        <v>0.39442343000000002</v>
      </c>
    </row>
    <row r="61" spans="1:8" x14ac:dyDescent="0.25">
      <c r="A61" s="100">
        <v>10.5</v>
      </c>
      <c r="B61" s="100">
        <v>0.50260700000000003</v>
      </c>
      <c r="C61" s="100">
        <v>3.0347225E-12</v>
      </c>
      <c r="D61" s="100">
        <v>6.5642149999999995E-10</v>
      </c>
      <c r="E61" s="100">
        <v>1.5446623E-2</v>
      </c>
      <c r="F61" s="100">
        <v>4.6231307999999999E-3</v>
      </c>
      <c r="G61" s="100">
        <v>9.3843118999999999E-4</v>
      </c>
      <c r="H61" s="100">
        <v>0.39442343000000002</v>
      </c>
    </row>
    <row r="67" spans="2:9" x14ac:dyDescent="0.25">
      <c r="B67"/>
      <c r="C67"/>
      <c r="D67"/>
      <c r="E67"/>
      <c r="F67"/>
      <c r="G67"/>
      <c r="I67" s="2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44"/>
  <sheetViews>
    <sheetView workbookViewId="0">
      <selection activeCell="AH3" sqref="AH3"/>
    </sheetView>
  </sheetViews>
  <sheetFormatPr defaultRowHeight="15" x14ac:dyDescent="0.25"/>
  <cols>
    <col min="1" max="1" width="4.28515625" customWidth="1"/>
    <col min="2" max="2" width="10.42578125" customWidth="1"/>
    <col min="3" max="4" width="9.5703125" customWidth="1"/>
    <col min="5" max="8" width="11.85546875" customWidth="1"/>
    <col min="10" max="10" width="1.140625" customWidth="1"/>
    <col min="11" max="11" width="1.7109375" style="97" customWidth="1"/>
    <col min="12" max="12" width="1.28515625" customWidth="1"/>
    <col min="13" max="13" width="23.28515625" customWidth="1"/>
    <col min="14" max="14" width="10.7109375" customWidth="1"/>
    <col min="15" max="15" width="9.28515625" customWidth="1"/>
    <col min="16" max="16" width="11.5703125" customWidth="1"/>
    <col min="18" max="18" width="12.85546875" bestFit="1" customWidth="1"/>
    <col min="19" max="19" width="1.140625" customWidth="1"/>
    <col min="20" max="20" width="1.7109375" style="97" customWidth="1"/>
    <col min="21" max="21" width="1.28515625" customWidth="1"/>
    <col min="26" max="26" width="10.28515625" bestFit="1" customWidth="1"/>
  </cols>
  <sheetData>
    <row r="1" spans="1:26" s="22" customFormat="1" ht="21" x14ac:dyDescent="0.35">
      <c r="A1" s="22" t="s">
        <v>68</v>
      </c>
    </row>
    <row r="2" spans="1:26" x14ac:dyDescent="0.25">
      <c r="A2" s="147"/>
      <c r="B2" s="148" t="s">
        <v>67</v>
      </c>
      <c r="C2" s="149"/>
      <c r="D2" s="149"/>
      <c r="E2" s="149"/>
      <c r="F2" s="149"/>
      <c r="G2" s="149"/>
      <c r="H2" s="149"/>
      <c r="I2" s="147"/>
      <c r="J2" s="147"/>
      <c r="L2" s="144"/>
      <c r="M2" s="151" t="s">
        <v>66</v>
      </c>
      <c r="N2" s="152"/>
      <c r="O2" s="144"/>
      <c r="P2" s="144"/>
      <c r="Q2" s="145"/>
      <c r="R2" s="144"/>
      <c r="S2" s="144"/>
    </row>
    <row r="3" spans="1:26" ht="30" x14ac:dyDescent="0.25">
      <c r="B3" s="196" t="s">
        <v>65</v>
      </c>
      <c r="C3" s="197" t="s">
        <v>64</v>
      </c>
      <c r="D3" s="197" t="s">
        <v>63</v>
      </c>
      <c r="E3" s="196" t="s">
        <v>62</v>
      </c>
      <c r="F3" s="196" t="s">
        <v>61</v>
      </c>
      <c r="G3" s="196" t="s">
        <v>60</v>
      </c>
      <c r="H3" s="196" t="s">
        <v>59</v>
      </c>
      <c r="I3" s="196" t="s">
        <v>58</v>
      </c>
      <c r="L3" s="16"/>
      <c r="M3" s="10" t="s">
        <v>57</v>
      </c>
      <c r="N3" s="15">
        <v>6.6260700000000002E-34</v>
      </c>
      <c r="O3" s="21" t="s">
        <v>56</v>
      </c>
      <c r="P3" t="s">
        <v>55</v>
      </c>
      <c r="Q3" s="2"/>
      <c r="U3" s="16"/>
      <c r="Z3" s="1"/>
    </row>
    <row r="4" spans="1:26" x14ac:dyDescent="0.25">
      <c r="B4" s="162" t="s">
        <v>54</v>
      </c>
      <c r="C4" s="163">
        <v>0.36</v>
      </c>
      <c r="D4" s="164">
        <v>6.8000000000000005E-2</v>
      </c>
      <c r="E4" s="165">
        <v>4.3499999999999999E-8</v>
      </c>
      <c r="F4" s="165">
        <f t="shared" ref="F4:F17" si="0">E4/((h_planck*c_light)/(C4*0.000001))</f>
        <v>78834387669.508423</v>
      </c>
      <c r="G4" s="165">
        <f t="shared" ref="G4:G17" si="1">F4*(1/1000)*(1/100)^2</f>
        <v>7883.4387669508433</v>
      </c>
      <c r="H4" s="165">
        <f t="shared" ref="H4:H17" si="2">F4*D4</f>
        <v>5360738361.5265732</v>
      </c>
      <c r="I4" s="163">
        <f t="shared" ref="I4:I17" si="3">LOG10(E4)</f>
        <v>-7.361510743045363</v>
      </c>
      <c r="M4" s="10" t="s">
        <v>53</v>
      </c>
      <c r="N4" s="15">
        <v>299792000</v>
      </c>
      <c r="O4" s="21" t="s">
        <v>52</v>
      </c>
      <c r="P4" t="s">
        <v>51</v>
      </c>
      <c r="Q4" s="2"/>
      <c r="Z4" s="1"/>
    </row>
    <row r="5" spans="1:26" x14ac:dyDescent="0.25">
      <c r="B5" s="166" t="s">
        <v>50</v>
      </c>
      <c r="C5" s="167">
        <v>0.44</v>
      </c>
      <c r="D5" s="168">
        <v>9.8000000000000004E-2</v>
      </c>
      <c r="E5" s="169">
        <v>7.1999999999999996E-8</v>
      </c>
      <c r="F5" s="169">
        <f t="shared" si="0"/>
        <v>159481060113.0285</v>
      </c>
      <c r="G5" s="169">
        <f t="shared" si="1"/>
        <v>15948.106011302851</v>
      </c>
      <c r="H5" s="169">
        <f t="shared" si="2"/>
        <v>15629143891.076794</v>
      </c>
      <c r="I5" s="167">
        <f t="shared" si="3"/>
        <v>-7.1426675035687319</v>
      </c>
      <c r="M5" s="10" t="s">
        <v>49</v>
      </c>
      <c r="N5" s="15">
        <v>1.5999999999999999E-19</v>
      </c>
      <c r="O5" s="21" t="s">
        <v>48</v>
      </c>
      <c r="P5" t="s">
        <v>47</v>
      </c>
      <c r="Q5" s="2"/>
      <c r="Z5" s="1"/>
    </row>
    <row r="6" spans="1:26" x14ac:dyDescent="0.25">
      <c r="B6" s="170" t="s">
        <v>46</v>
      </c>
      <c r="C6" s="171">
        <v>0.55000000000000004</v>
      </c>
      <c r="D6" s="172">
        <v>8.8999999999999996E-2</v>
      </c>
      <c r="E6" s="173">
        <v>3.92E-8</v>
      </c>
      <c r="F6" s="173">
        <f t="shared" si="0"/>
        <v>108535721465.8111</v>
      </c>
      <c r="G6" s="173">
        <f t="shared" si="1"/>
        <v>10853.572146581111</v>
      </c>
      <c r="H6" s="173">
        <f t="shared" si="2"/>
        <v>9659679210.4571877</v>
      </c>
      <c r="I6" s="171">
        <f t="shared" si="3"/>
        <v>-7.4067139329795424</v>
      </c>
      <c r="M6" s="10" t="s">
        <v>45</v>
      </c>
      <c r="N6" s="15">
        <v>1.3799999999999999E-34</v>
      </c>
      <c r="O6" s="21" t="s">
        <v>44</v>
      </c>
      <c r="P6" t="s">
        <v>43</v>
      </c>
      <c r="Q6" s="2"/>
      <c r="Z6" s="1"/>
    </row>
    <row r="7" spans="1:26" x14ac:dyDescent="0.25">
      <c r="B7" s="174" t="s">
        <v>42</v>
      </c>
      <c r="C7" s="175">
        <v>0.7</v>
      </c>
      <c r="D7" s="176">
        <v>0.22</v>
      </c>
      <c r="E7" s="177">
        <v>1.7599999999999999E-8</v>
      </c>
      <c r="F7" s="177">
        <f t="shared" si="0"/>
        <v>62020412266.177757</v>
      </c>
      <c r="G7" s="177">
        <f t="shared" si="1"/>
        <v>6202.0412266177764</v>
      </c>
      <c r="H7" s="177">
        <f t="shared" si="2"/>
        <v>13644490698.559107</v>
      </c>
      <c r="I7" s="178">
        <f t="shared" si="3"/>
        <v>-7.7544873321858505</v>
      </c>
      <c r="N7" s="9"/>
      <c r="O7" s="8"/>
      <c r="P7" s="2"/>
      <c r="Q7" s="2"/>
      <c r="Z7" s="1"/>
    </row>
    <row r="8" spans="1:26" x14ac:dyDescent="0.25">
      <c r="B8" s="179" t="s">
        <v>41</v>
      </c>
      <c r="C8" s="180">
        <v>0.8</v>
      </c>
      <c r="D8" s="181">
        <v>0.2</v>
      </c>
      <c r="E8" s="182">
        <v>1.2100000000000001E-8</v>
      </c>
      <c r="F8" s="182">
        <f t="shared" si="0"/>
        <v>48730323923.425385</v>
      </c>
      <c r="G8" s="182">
        <f t="shared" si="1"/>
        <v>4873.0323923425385</v>
      </c>
      <c r="H8" s="182">
        <f t="shared" si="2"/>
        <v>9746064784.6850777</v>
      </c>
      <c r="I8" s="180">
        <f t="shared" si="3"/>
        <v>-7.9172146296835502</v>
      </c>
      <c r="L8" s="146"/>
      <c r="M8" s="160" t="s">
        <v>40</v>
      </c>
      <c r="N8" s="161"/>
      <c r="O8" s="146"/>
      <c r="P8" s="146"/>
      <c r="Q8" s="146"/>
      <c r="R8" s="146"/>
      <c r="S8" s="146"/>
      <c r="Z8" s="1"/>
    </row>
    <row r="9" spans="1:26" x14ac:dyDescent="0.25">
      <c r="B9" s="183" t="s">
        <v>39</v>
      </c>
      <c r="C9" s="184">
        <v>0.9</v>
      </c>
      <c r="D9" s="185">
        <v>0.24</v>
      </c>
      <c r="E9" s="186">
        <v>8.2999999999999999E-9</v>
      </c>
      <c r="F9" s="186">
        <f t="shared" si="0"/>
        <v>37604909060.742523</v>
      </c>
      <c r="G9" s="186">
        <f t="shared" si="1"/>
        <v>3760.490906074253</v>
      </c>
      <c r="H9" s="186">
        <f t="shared" si="2"/>
        <v>9025178174.5782051</v>
      </c>
      <c r="I9" s="184">
        <f t="shared" si="3"/>
        <v>-8.0809219076239263</v>
      </c>
      <c r="M9" s="10" t="s">
        <v>38</v>
      </c>
      <c r="N9" s="15">
        <v>6371000</v>
      </c>
      <c r="O9" s="21" t="s">
        <v>32</v>
      </c>
      <c r="P9" t="s">
        <v>37</v>
      </c>
      <c r="Z9" s="1"/>
    </row>
    <row r="10" spans="1:26" x14ac:dyDescent="0.25">
      <c r="B10" s="187" t="s">
        <v>36</v>
      </c>
      <c r="C10" s="188">
        <v>1.05</v>
      </c>
      <c r="D10" s="189">
        <v>0.2</v>
      </c>
      <c r="E10" s="190">
        <v>5.7200000000000001E-9</v>
      </c>
      <c r="F10" s="190">
        <f t="shared" si="0"/>
        <v>30234950979.761658</v>
      </c>
      <c r="G10" s="190">
        <f t="shared" si="1"/>
        <v>3023.4950979761661</v>
      </c>
      <c r="H10" s="190">
        <f t="shared" si="2"/>
        <v>6046990195.9523315</v>
      </c>
      <c r="I10" s="188">
        <f t="shared" si="3"/>
        <v>-8.2426039712069752</v>
      </c>
      <c r="M10" s="10" t="s">
        <v>1216</v>
      </c>
      <c r="N10" s="9">
        <v>69911000</v>
      </c>
      <c r="O10" s="8" t="s">
        <v>32</v>
      </c>
      <c r="Z10" s="1"/>
    </row>
    <row r="11" spans="1:26" x14ac:dyDescent="0.25">
      <c r="B11" s="187" t="s">
        <v>11</v>
      </c>
      <c r="C11" s="188">
        <v>1.26</v>
      </c>
      <c r="D11" s="189">
        <v>0.26</v>
      </c>
      <c r="E11" s="190">
        <v>3.3999999999999998E-9</v>
      </c>
      <c r="F11" s="190">
        <f t="shared" si="0"/>
        <v>21566188810.739086</v>
      </c>
      <c r="G11" s="190">
        <f t="shared" si="1"/>
        <v>2156.6188810739086</v>
      </c>
      <c r="H11" s="190">
        <f t="shared" si="2"/>
        <v>5607209090.7921629</v>
      </c>
      <c r="I11" s="188">
        <f t="shared" si="3"/>
        <v>-8.4685210829577446</v>
      </c>
      <c r="M11" s="10" t="s">
        <v>35</v>
      </c>
      <c r="N11" s="15">
        <v>149590000000</v>
      </c>
      <c r="O11" s="21" t="s">
        <v>32</v>
      </c>
      <c r="P11" t="s">
        <v>34</v>
      </c>
      <c r="R11" s="2"/>
      <c r="Z11" s="1"/>
    </row>
    <row r="12" spans="1:26" x14ac:dyDescent="0.25">
      <c r="B12" s="187" t="s">
        <v>31</v>
      </c>
      <c r="C12" s="188">
        <v>1.64</v>
      </c>
      <c r="D12" s="189">
        <v>0.33</v>
      </c>
      <c r="E12" s="190">
        <v>1.1800000000000001E-9</v>
      </c>
      <c r="F12" s="190">
        <f t="shared" si="0"/>
        <v>9742037485.1872711</v>
      </c>
      <c r="G12" s="190">
        <f t="shared" si="1"/>
        <v>974.20374851872725</v>
      </c>
      <c r="H12" s="190">
        <f t="shared" si="2"/>
        <v>3214872370.1117997</v>
      </c>
      <c r="I12" s="191">
        <f t="shared" si="3"/>
        <v>-8.9281179926938741</v>
      </c>
      <c r="M12" s="10" t="s">
        <v>33</v>
      </c>
      <c r="N12" s="15">
        <f>AU/arcsec</f>
        <v>3.0855152366503144E+16</v>
      </c>
      <c r="O12" s="21" t="s">
        <v>32</v>
      </c>
      <c r="R12" s="20"/>
      <c r="Z12" s="1"/>
    </row>
    <row r="13" spans="1:26" x14ac:dyDescent="0.25">
      <c r="B13" s="187" t="s">
        <v>27</v>
      </c>
      <c r="C13" s="188">
        <v>2.1800000000000002</v>
      </c>
      <c r="D13" s="189">
        <v>0.44</v>
      </c>
      <c r="E13" s="190">
        <v>3.9E-10</v>
      </c>
      <c r="F13" s="190">
        <f t="shared" si="0"/>
        <v>4280012541.290936</v>
      </c>
      <c r="G13" s="190">
        <f t="shared" si="1"/>
        <v>428.00125412909364</v>
      </c>
      <c r="H13" s="190">
        <f t="shared" si="2"/>
        <v>1883205518.1680119</v>
      </c>
      <c r="I13" s="188">
        <f t="shared" si="3"/>
        <v>-9.4089353929735005</v>
      </c>
      <c r="M13" s="10" t="s">
        <v>30</v>
      </c>
      <c r="N13" s="9">
        <f>2*PI()/(24*3600)</f>
        <v>7.2722052166430395E-5</v>
      </c>
      <c r="O13" s="8" t="s">
        <v>29</v>
      </c>
      <c r="P13" s="19" t="s">
        <v>28</v>
      </c>
      <c r="Q13" s="2"/>
      <c r="R13" s="18"/>
      <c r="Z13" s="1"/>
    </row>
    <row r="14" spans="1:26" x14ac:dyDescent="0.25">
      <c r="B14" s="192" t="s">
        <v>26</v>
      </c>
      <c r="C14" s="193">
        <v>3.4</v>
      </c>
      <c r="D14" s="194">
        <v>0.55000000000000004</v>
      </c>
      <c r="E14" s="195">
        <v>7.3000000000000006E-11</v>
      </c>
      <c r="F14" s="195">
        <f t="shared" si="0"/>
        <v>1249469669.1936135</v>
      </c>
      <c r="G14" s="195">
        <f t="shared" si="1"/>
        <v>124.94696691936136</v>
      </c>
      <c r="H14" s="195">
        <f t="shared" si="2"/>
        <v>687208318.05648744</v>
      </c>
      <c r="I14" s="193">
        <f t="shared" si="3"/>
        <v>-10.136677139879543</v>
      </c>
      <c r="N14" s="15"/>
      <c r="R14" s="17"/>
      <c r="Z14" s="1"/>
    </row>
    <row r="15" spans="1:26" x14ac:dyDescent="0.25">
      <c r="B15" s="192" t="s">
        <v>24</v>
      </c>
      <c r="C15" s="193">
        <v>5</v>
      </c>
      <c r="D15" s="194">
        <v>0.3</v>
      </c>
      <c r="E15" s="195">
        <v>2.1199999999999999E-11</v>
      </c>
      <c r="F15" s="195">
        <f t="shared" si="0"/>
        <v>533617183.45899689</v>
      </c>
      <c r="G15" s="195">
        <f t="shared" si="1"/>
        <v>53.361718345899696</v>
      </c>
      <c r="H15" s="195">
        <f t="shared" si="2"/>
        <v>160085155.03769907</v>
      </c>
      <c r="I15" s="193">
        <f t="shared" si="3"/>
        <v>-10.673664139071249</v>
      </c>
      <c r="L15" s="154"/>
      <c r="M15" s="155" t="s">
        <v>25</v>
      </c>
      <c r="N15" s="156"/>
      <c r="O15" s="154"/>
      <c r="P15" s="157"/>
      <c r="Q15" s="157"/>
      <c r="R15" s="158"/>
      <c r="S15" s="154"/>
    </row>
    <row r="16" spans="1:26" x14ac:dyDescent="0.25">
      <c r="B16" s="192" t="s">
        <v>22</v>
      </c>
      <c r="C16" s="193">
        <v>10.199999999999999</v>
      </c>
      <c r="D16" s="194">
        <v>5</v>
      </c>
      <c r="E16" s="195">
        <v>1.23E-12</v>
      </c>
      <c r="F16" s="195">
        <f t="shared" si="0"/>
        <v>63158124.37430732</v>
      </c>
      <c r="G16" s="195">
        <f t="shared" si="1"/>
        <v>6.3158124374307327</v>
      </c>
      <c r="H16" s="195">
        <f t="shared" si="2"/>
        <v>315790621.87153661</v>
      </c>
      <c r="I16" s="193">
        <f t="shared" si="3"/>
        <v>-11.910094888560602</v>
      </c>
      <c r="M16" s="10" t="s">
        <v>23</v>
      </c>
      <c r="N16" s="9">
        <f>PI()/180/3600</f>
        <v>4.8481368110953598E-6</v>
      </c>
      <c r="O16" s="8" t="s">
        <v>13</v>
      </c>
      <c r="P16" s="2"/>
      <c r="Q16" s="2"/>
      <c r="R16" s="14"/>
    </row>
    <row r="17" spans="2:19" x14ac:dyDescent="0.25">
      <c r="B17" s="192" t="s">
        <v>20</v>
      </c>
      <c r="C17" s="193">
        <v>21</v>
      </c>
      <c r="D17" s="194">
        <v>8</v>
      </c>
      <c r="E17" s="195">
        <v>6.8000000000000001E-14</v>
      </c>
      <c r="F17" s="195">
        <f t="shared" si="0"/>
        <v>7188729.6035796953</v>
      </c>
      <c r="G17" s="195">
        <f t="shared" si="1"/>
        <v>0.71887296035796955</v>
      </c>
      <c r="H17" s="195">
        <f t="shared" si="2"/>
        <v>57509836.828637563</v>
      </c>
      <c r="I17" s="193">
        <f t="shared" si="3"/>
        <v>-13.167491087293763</v>
      </c>
      <c r="M17" s="10" t="s">
        <v>21</v>
      </c>
      <c r="N17" s="9">
        <f>PI()/180</f>
        <v>1.7453292519943295E-2</v>
      </c>
      <c r="O17" s="8" t="s">
        <v>13</v>
      </c>
      <c r="P17" s="2"/>
      <c r="R17" s="5"/>
    </row>
    <row r="18" spans="2:19" x14ac:dyDescent="0.25">
      <c r="B18" s="13" t="s">
        <v>18</v>
      </c>
      <c r="C18" s="2"/>
      <c r="D18" s="2"/>
      <c r="E18" s="2"/>
      <c r="F18" s="2"/>
      <c r="G18" s="2"/>
      <c r="H18" s="2"/>
      <c r="M18" s="10" t="s">
        <v>19</v>
      </c>
      <c r="N18" s="12">
        <v>3600</v>
      </c>
      <c r="O18" s="8" t="s">
        <v>16</v>
      </c>
      <c r="P18" s="2"/>
      <c r="R18" s="5"/>
    </row>
    <row r="19" spans="2:19" x14ac:dyDescent="0.25">
      <c r="B19" s="11" t="s">
        <v>15</v>
      </c>
      <c r="C19" s="2"/>
      <c r="D19" s="2"/>
      <c r="E19" s="2"/>
      <c r="F19" s="2"/>
      <c r="G19" s="2"/>
      <c r="H19" s="2"/>
      <c r="M19" s="10" t="s">
        <v>17</v>
      </c>
      <c r="N19" s="12">
        <v>60</v>
      </c>
      <c r="O19" s="8" t="s">
        <v>16</v>
      </c>
      <c r="P19" s="2"/>
      <c r="R19" s="5"/>
    </row>
    <row r="20" spans="2:19" x14ac:dyDescent="0.25">
      <c r="M20" s="10" t="s">
        <v>14</v>
      </c>
      <c r="N20" s="9">
        <f>PI()/180/3600/1000000</f>
        <v>4.8481368110953598E-12</v>
      </c>
      <c r="O20" s="8" t="s">
        <v>13</v>
      </c>
      <c r="P20" s="2"/>
      <c r="R20" s="5"/>
    </row>
    <row r="21" spans="2:19" x14ac:dyDescent="0.25">
      <c r="B21" s="202" t="s">
        <v>10</v>
      </c>
      <c r="C21" s="203"/>
      <c r="D21" s="203"/>
      <c r="E21" s="203"/>
      <c r="F21" s="203"/>
      <c r="G21" s="203"/>
      <c r="H21" s="204"/>
      <c r="M21" s="10" t="s">
        <v>12</v>
      </c>
      <c r="N21" s="9">
        <v>9.9999999999999995E-8</v>
      </c>
      <c r="O21" s="8" t="s">
        <v>11</v>
      </c>
      <c r="R21" s="5"/>
    </row>
    <row r="22" spans="2:19" x14ac:dyDescent="0.25">
      <c r="B22" s="205" t="s">
        <v>9</v>
      </c>
      <c r="C22" s="206"/>
      <c r="D22" s="206"/>
      <c r="E22" s="206"/>
      <c r="F22" s="206"/>
      <c r="G22" s="206"/>
      <c r="H22" s="207"/>
      <c r="M22" s="10"/>
      <c r="N22" s="9"/>
      <c r="O22" s="8"/>
      <c r="P22" s="7"/>
      <c r="Q22" s="6"/>
      <c r="R22" s="5"/>
    </row>
    <row r="23" spans="2:19" x14ac:dyDescent="0.25">
      <c r="B23" s="205" t="s">
        <v>5</v>
      </c>
      <c r="C23" s="206" t="s">
        <v>4</v>
      </c>
      <c r="D23" s="206" t="s">
        <v>3</v>
      </c>
      <c r="E23" s="206"/>
      <c r="F23" s="206"/>
      <c r="G23" s="206"/>
      <c r="H23" s="207"/>
      <c r="M23" s="10" t="s">
        <v>866</v>
      </c>
      <c r="N23" s="9">
        <v>9.9999999999999995E-7</v>
      </c>
      <c r="O23" s="8" t="s">
        <v>32</v>
      </c>
    </row>
    <row r="24" spans="2:19" x14ac:dyDescent="0.25">
      <c r="B24" s="208">
        <v>0.55000000000000004</v>
      </c>
      <c r="C24" s="209">
        <v>0</v>
      </c>
      <c r="D24" s="210">
        <f>10^(VLOOKUP(B24,fluxTable,7)-0.4*C24)*(B24*0.000001/(h_planck*c_light))*VLOOKUP(B24,fluxTable,2)</f>
        <v>9659679210.4571743</v>
      </c>
      <c r="E24" s="209"/>
      <c r="F24" s="209"/>
      <c r="G24" s="209"/>
      <c r="H24" s="211"/>
      <c r="M24" s="10" t="s">
        <v>864</v>
      </c>
      <c r="N24" s="9">
        <v>1.0000000000000001E-9</v>
      </c>
      <c r="O24" s="8" t="s">
        <v>32</v>
      </c>
    </row>
    <row r="25" spans="2:19" ht="15.75" x14ac:dyDescent="0.25">
      <c r="E25" s="38"/>
      <c r="F25" s="38"/>
      <c r="G25" s="38"/>
      <c r="H25" s="38"/>
      <c r="M25" s="10"/>
      <c r="N25" s="9"/>
      <c r="O25" s="8"/>
    </row>
    <row r="26" spans="2:19" ht="15.75" x14ac:dyDescent="0.25">
      <c r="E26" s="38"/>
      <c r="F26" s="38"/>
      <c r="G26" s="38"/>
      <c r="H26" s="38"/>
      <c r="L26" s="142"/>
      <c r="M26" s="150" t="s">
        <v>789</v>
      </c>
      <c r="N26" s="159"/>
      <c r="O26" s="142"/>
      <c r="P26" s="143"/>
      <c r="Q26" s="143"/>
      <c r="R26" s="212"/>
      <c r="S26" s="142"/>
    </row>
    <row r="27" spans="2:19" x14ac:dyDescent="0.25">
      <c r="M27" t="s">
        <v>8</v>
      </c>
      <c r="O27" s="2"/>
      <c r="P27" s="2"/>
      <c r="Q27" s="6"/>
      <c r="R27" s="5"/>
    </row>
    <row r="28" spans="2:19" x14ac:dyDescent="0.25">
      <c r="M28" s="4" t="s">
        <v>7</v>
      </c>
      <c r="N28" s="3">
        <v>180</v>
      </c>
      <c r="O28" t="s">
        <v>0</v>
      </c>
      <c r="P28" s="2"/>
    </row>
    <row r="29" spans="2:19" x14ac:dyDescent="0.25">
      <c r="M29" s="4" t="s">
        <v>6</v>
      </c>
      <c r="N29" s="3">
        <v>202</v>
      </c>
      <c r="O29" t="s">
        <v>0</v>
      </c>
    </row>
    <row r="30" spans="2:19" x14ac:dyDescent="0.25">
      <c r="J30" s="98"/>
      <c r="M30" s="4" t="s">
        <v>2</v>
      </c>
      <c r="N30" s="3">
        <v>56</v>
      </c>
      <c r="O30" t="s">
        <v>0</v>
      </c>
    </row>
    <row r="31" spans="2:19" x14ac:dyDescent="0.25">
      <c r="J31" s="98"/>
    </row>
    <row r="32" spans="2:19" x14ac:dyDescent="0.25">
      <c r="J32" s="98"/>
      <c r="M32" s="4" t="s">
        <v>1</v>
      </c>
      <c r="N32" s="3">
        <v>200</v>
      </c>
      <c r="O32" t="s">
        <v>0</v>
      </c>
    </row>
    <row r="33" spans="7:26" x14ac:dyDescent="0.25">
      <c r="J33" s="98"/>
      <c r="M33" s="2"/>
      <c r="O33" s="2"/>
      <c r="S33" s="98"/>
    </row>
    <row r="34" spans="7:26" x14ac:dyDescent="0.25">
      <c r="J34" s="98"/>
      <c r="M34" s="2"/>
      <c r="O34" s="2"/>
      <c r="S34" s="98"/>
    </row>
    <row r="35" spans="7:26" x14ac:dyDescent="0.25">
      <c r="M35" t="s">
        <v>1102</v>
      </c>
      <c r="N35">
        <v>4.83</v>
      </c>
      <c r="O35" t="s">
        <v>4</v>
      </c>
      <c r="S35" s="98"/>
    </row>
    <row r="36" spans="7:26" x14ac:dyDescent="0.25">
      <c r="H36" s="2"/>
    </row>
    <row r="37" spans="7:26" x14ac:dyDescent="0.25">
      <c r="H37" s="2"/>
    </row>
    <row r="38" spans="7:26" x14ac:dyDescent="0.25">
      <c r="H38" s="2"/>
    </row>
    <row r="39" spans="7:26" x14ac:dyDescent="0.25">
      <c r="G39" s="2"/>
      <c r="H39" s="2"/>
      <c r="J39" s="98"/>
    </row>
    <row r="40" spans="7:26" x14ac:dyDescent="0.25">
      <c r="G40" s="2"/>
      <c r="H40" s="2"/>
      <c r="J40" s="98"/>
      <c r="S40" s="98"/>
    </row>
    <row r="41" spans="7:26" x14ac:dyDescent="0.25">
      <c r="G41" s="2"/>
      <c r="H41" s="2"/>
      <c r="J41" s="98"/>
      <c r="S41" s="98"/>
    </row>
    <row r="42" spans="7:26" x14ac:dyDescent="0.25">
      <c r="G42" s="2"/>
      <c r="H42" s="2"/>
      <c r="J42" s="98"/>
      <c r="S42" s="98"/>
    </row>
    <row r="43" spans="7:26" x14ac:dyDescent="0.25">
      <c r="G43" s="2"/>
      <c r="H43" s="2"/>
      <c r="J43" s="98"/>
      <c r="S43" s="98"/>
      <c r="Z43" s="1"/>
    </row>
    <row r="44" spans="7:26" x14ac:dyDescent="0.25">
      <c r="P44" s="2"/>
      <c r="S44" s="98"/>
      <c r="Z44" s="1"/>
    </row>
  </sheetData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803"/>
  <sheetViews>
    <sheetView workbookViewId="0"/>
  </sheetViews>
  <sheetFormatPr defaultRowHeight="15" x14ac:dyDescent="0.25"/>
  <cols>
    <col min="1" max="1" width="15.28515625" style="33" customWidth="1"/>
    <col min="2" max="2" width="12" style="32" customWidth="1"/>
    <col min="3" max="11" width="12.42578125" style="2" customWidth="1"/>
    <col min="12" max="12" width="1.5703125" customWidth="1"/>
    <col min="13" max="13" width="1.7109375" style="97" customWidth="1"/>
    <col min="14" max="14" width="1.42578125" customWidth="1"/>
    <col min="15" max="15" width="13.140625" bestFit="1" customWidth="1"/>
  </cols>
  <sheetData>
    <row r="1" spans="1:13" s="24" customFormat="1" ht="21" x14ac:dyDescent="0.35">
      <c r="A1" s="230" t="s">
        <v>91</v>
      </c>
      <c r="B1" s="31"/>
      <c r="C1" s="29"/>
      <c r="D1" s="29"/>
      <c r="E1" s="29"/>
      <c r="F1" s="29"/>
      <c r="G1" s="29"/>
      <c r="H1" s="29"/>
      <c r="I1" s="29"/>
      <c r="J1" s="29"/>
      <c r="K1" s="29"/>
    </row>
    <row r="2" spans="1:13" x14ac:dyDescent="0.25">
      <c r="A2" s="227" t="s">
        <v>81</v>
      </c>
      <c r="B2" s="228" t="s">
        <v>92</v>
      </c>
      <c r="C2" s="229" t="s">
        <v>82</v>
      </c>
      <c r="D2" s="229" t="s">
        <v>83</v>
      </c>
      <c r="E2" s="229" t="s">
        <v>84</v>
      </c>
      <c r="F2" s="229" t="s">
        <v>85</v>
      </c>
      <c r="G2" s="229" t="s">
        <v>86</v>
      </c>
      <c r="H2" s="229" t="s">
        <v>87</v>
      </c>
      <c r="I2" s="229" t="s">
        <v>88</v>
      </c>
      <c r="J2" s="229" t="s">
        <v>89</v>
      </c>
      <c r="K2" s="229" t="s">
        <v>90</v>
      </c>
      <c r="M2" s="153"/>
    </row>
    <row r="3" spans="1:13" x14ac:dyDescent="0.25">
      <c r="A3" s="224">
        <v>2.4999999999999999E-7</v>
      </c>
      <c r="B3" s="225">
        <f t="shared" ref="B3:B66" si="0">h_planck*c_light/A3</f>
        <v>7.9457711097600002E-19</v>
      </c>
      <c r="C3" s="226">
        <v>4.0141385007278041E-2</v>
      </c>
      <c r="D3" s="226">
        <v>2.0960129999999997E-2</v>
      </c>
      <c r="E3" s="226">
        <v>6.5076219999999994E-3</v>
      </c>
      <c r="F3" s="226">
        <v>5.4341829999999995E-3</v>
      </c>
      <c r="G3" s="226">
        <v>1.8621419999999996E-3</v>
      </c>
      <c r="H3" s="226">
        <v>1.3620109999999997E-4</v>
      </c>
      <c r="I3" s="226">
        <v>7.3533509999999984E-5</v>
      </c>
      <c r="J3" s="226">
        <v>8.7033179999999991E-5</v>
      </c>
      <c r="K3" s="226">
        <v>1.3779329999999998E-4</v>
      </c>
      <c r="M3" s="153"/>
    </row>
    <row r="4" spans="1:13" x14ac:dyDescent="0.25">
      <c r="A4" s="224">
        <v>2.5100000000000001E-7</v>
      </c>
      <c r="B4" s="225">
        <f t="shared" si="0"/>
        <v>7.9141146511553785E-19</v>
      </c>
      <c r="C4" s="226">
        <v>4.0067627636363484E-2</v>
      </c>
      <c r="D4" s="226">
        <v>2.0212389999999997E-2</v>
      </c>
      <c r="E4" s="226">
        <v>6.2224979999999999E-3</v>
      </c>
      <c r="F4" s="226">
        <v>4.9113989999999986E-3</v>
      </c>
      <c r="G4" s="226">
        <v>1.695446E-3</v>
      </c>
      <c r="H4" s="226">
        <v>1.4309359999999999E-4</v>
      </c>
      <c r="I4" s="226">
        <v>6.759612999999999E-5</v>
      </c>
      <c r="J4" s="226">
        <v>1.0786339999999998E-4</v>
      </c>
      <c r="K4" s="226">
        <v>1.7077029999999996E-4</v>
      </c>
      <c r="M4" s="153"/>
    </row>
    <row r="5" spans="1:13" x14ac:dyDescent="0.25">
      <c r="A5" s="224">
        <v>2.5200000000000003E-7</v>
      </c>
      <c r="B5" s="225">
        <f t="shared" si="0"/>
        <v>7.8827094342857128E-19</v>
      </c>
      <c r="C5" s="226">
        <v>3.8142772925764158E-2</v>
      </c>
      <c r="D5" s="226">
        <v>1.9465009999999998E-2</v>
      </c>
      <c r="E5" s="226">
        <v>5.9373719999999989E-3</v>
      </c>
      <c r="F5" s="226">
        <v>4.388613999999999E-3</v>
      </c>
      <c r="G5" s="226">
        <v>1.3300749999999998E-3</v>
      </c>
      <c r="H5" s="226">
        <v>1.1679859999999999E-4</v>
      </c>
      <c r="I5" s="226">
        <v>4.1148489999999993E-5</v>
      </c>
      <c r="J5" s="226">
        <v>8.4434369999999997E-5</v>
      </c>
      <c r="K5" s="226">
        <v>1.3367799999999998E-4</v>
      </c>
    </row>
    <row r="6" spans="1:13" x14ac:dyDescent="0.25">
      <c r="A6" s="224">
        <v>2.53E-7</v>
      </c>
      <c r="B6" s="225">
        <f t="shared" si="0"/>
        <v>7.85155248E-19</v>
      </c>
      <c r="C6" s="226">
        <v>3.4623499999999974E-2</v>
      </c>
      <c r="D6" s="226">
        <v>1.7730629999999997E-2</v>
      </c>
      <c r="E6" s="226">
        <v>5.2513249999999994E-3</v>
      </c>
      <c r="F6" s="226">
        <v>3.9963439999999998E-3</v>
      </c>
      <c r="G6" s="226">
        <v>1.3734049999999999E-3</v>
      </c>
      <c r="H6" s="226">
        <v>1.6068809999999998E-4</v>
      </c>
      <c r="I6" s="226">
        <v>8.0889409999999992E-5</v>
      </c>
      <c r="J6" s="226">
        <v>1.0627669999999999E-4</v>
      </c>
      <c r="K6" s="226">
        <v>1.6826099999999998E-4</v>
      </c>
    </row>
    <row r="7" spans="1:13" x14ac:dyDescent="0.25">
      <c r="A7" s="224">
        <v>2.5400000000000002E-7</v>
      </c>
      <c r="B7" s="225">
        <f t="shared" si="0"/>
        <v>7.8206408560629913E-19</v>
      </c>
      <c r="C7" s="226">
        <v>3.367713973799126E-2</v>
      </c>
      <c r="D7" s="226">
        <v>1.599662E-2</v>
      </c>
      <c r="E7" s="226">
        <v>4.5649129999999994E-3</v>
      </c>
      <c r="F7" s="226">
        <v>3.6044019999999996E-3</v>
      </c>
      <c r="G7" s="226">
        <v>1.6861689999999997E-3</v>
      </c>
      <c r="H7" s="226">
        <v>2.2696779999999996E-4</v>
      </c>
      <c r="I7" s="226">
        <v>7.8534940000000002E-5</v>
      </c>
      <c r="J7" s="226">
        <v>1.5571919999999998E-4</v>
      </c>
      <c r="K7" s="226">
        <v>2.4654270000000001E-4</v>
      </c>
    </row>
    <row r="8" spans="1:13" x14ac:dyDescent="0.25">
      <c r="A8" s="224">
        <v>2.5499999999999999E-7</v>
      </c>
      <c r="B8" s="225">
        <f t="shared" si="0"/>
        <v>7.7899716762352945E-19</v>
      </c>
      <c r="C8" s="226">
        <v>3.3362731441047996E-2</v>
      </c>
      <c r="D8" s="226">
        <v>1.7611189999999999E-2</v>
      </c>
      <c r="E8" s="226">
        <v>4.9195889999999994E-3</v>
      </c>
      <c r="F8" s="226">
        <v>4.5716249999999993E-3</v>
      </c>
      <c r="G8" s="226">
        <v>1.9005959999999996E-3</v>
      </c>
      <c r="H8" s="226">
        <v>2.4909150000000001E-4</v>
      </c>
      <c r="I8" s="226">
        <v>8.6238169999999995E-5</v>
      </c>
      <c r="J8" s="226">
        <v>1.6154219999999999E-4</v>
      </c>
      <c r="K8" s="226">
        <v>2.5575659999999993E-4</v>
      </c>
    </row>
    <row r="9" spans="1:13" x14ac:dyDescent="0.25">
      <c r="A9" s="224">
        <v>2.5600000000000002E-7</v>
      </c>
      <c r="B9" s="225">
        <f t="shared" si="0"/>
        <v>7.7595420993749993E-19</v>
      </c>
      <c r="C9" s="226">
        <v>3.8476650655021746E-2</v>
      </c>
      <c r="D9" s="226">
        <v>1.9225749999999996E-2</v>
      </c>
      <c r="E9" s="226">
        <v>5.2742650000000002E-3</v>
      </c>
      <c r="F9" s="226">
        <v>5.5384479999999988E-3</v>
      </c>
      <c r="G9" s="226">
        <v>2.669355E-3</v>
      </c>
      <c r="H9" s="226">
        <v>2.3100759999999999E-4</v>
      </c>
      <c r="I9" s="226">
        <v>1.0774289999999999E-4</v>
      </c>
      <c r="J9" s="226">
        <v>1.4953479999999997E-4</v>
      </c>
      <c r="K9" s="226">
        <v>2.3674979999999994E-4</v>
      </c>
    </row>
    <row r="10" spans="1:13" x14ac:dyDescent="0.25">
      <c r="A10" s="224">
        <v>2.5699999999999999E-7</v>
      </c>
      <c r="B10" s="225">
        <f t="shared" si="0"/>
        <v>7.7293493285603116E-19</v>
      </c>
      <c r="C10" s="226">
        <v>3.9769470160116407E-2</v>
      </c>
      <c r="D10" s="226">
        <v>2.0571469999999998E-2</v>
      </c>
      <c r="E10" s="226">
        <v>6.506165999999999E-3</v>
      </c>
      <c r="F10" s="226">
        <v>6.5592249999999993E-3</v>
      </c>
      <c r="G10" s="226">
        <v>3.8090509999999999E-3</v>
      </c>
      <c r="H10" s="226">
        <v>2.5735369999999995E-4</v>
      </c>
      <c r="I10" s="226">
        <v>9.5692629999999981E-5</v>
      </c>
      <c r="J10" s="226">
        <v>1.80211E-4</v>
      </c>
      <c r="K10" s="226">
        <v>2.8531389999999997E-4</v>
      </c>
    </row>
    <row r="11" spans="1:13" x14ac:dyDescent="0.25">
      <c r="A11" s="224">
        <v>2.5800000000000001E-7</v>
      </c>
      <c r="B11" s="225">
        <f t="shared" si="0"/>
        <v>7.6993906102325579E-19</v>
      </c>
      <c r="C11" s="226">
        <v>3.907540829694317E-2</v>
      </c>
      <c r="D11" s="226">
        <v>2.1916819999999997E-2</v>
      </c>
      <c r="E11" s="226">
        <v>7.7380659999999983E-3</v>
      </c>
      <c r="F11" s="226">
        <v>7.5800029999999984E-3</v>
      </c>
      <c r="G11" s="226">
        <v>4.3700399999999995E-3</v>
      </c>
      <c r="H11" s="226">
        <v>2.144541E-4</v>
      </c>
      <c r="I11" s="226">
        <v>1.1688289999999999E-5</v>
      </c>
      <c r="J11" s="226">
        <v>9.7858559999999982E-5</v>
      </c>
      <c r="K11" s="226">
        <v>1.5493549999999999E-4</v>
      </c>
    </row>
    <row r="12" spans="1:13" x14ac:dyDescent="0.25">
      <c r="A12" s="224">
        <v>2.5900000000000003E-7</v>
      </c>
      <c r="B12" s="225">
        <f t="shared" si="0"/>
        <v>7.6696632333590724E-19</v>
      </c>
      <c r="C12" s="226">
        <v>3.9034710334788933E-2</v>
      </c>
      <c r="D12" s="226">
        <v>2.1511709999999996E-2</v>
      </c>
      <c r="E12" s="226">
        <v>7.8961039999999993E-3</v>
      </c>
      <c r="F12" s="226">
        <v>7.3040279999999997E-3</v>
      </c>
      <c r="G12" s="226">
        <v>4.1754039999999997E-3</v>
      </c>
      <c r="H12" s="226">
        <v>2.6447249999999992E-4</v>
      </c>
      <c r="I12" s="226">
        <v>1.1038979999999998E-4</v>
      </c>
      <c r="J12" s="226">
        <v>1.164659E-4</v>
      </c>
      <c r="K12" s="226">
        <v>1.8439079999999996E-4</v>
      </c>
    </row>
    <row r="13" spans="1:13" x14ac:dyDescent="0.25">
      <c r="A13" s="224">
        <v>2.6E-7</v>
      </c>
      <c r="B13" s="225">
        <f t="shared" si="0"/>
        <v>7.6401645286153849E-19</v>
      </c>
      <c r="C13" s="226">
        <v>3.5144144104803474E-2</v>
      </c>
      <c r="D13" s="226">
        <v>2.1106609999999998E-2</v>
      </c>
      <c r="E13" s="226">
        <v>8.0541429999999997E-3</v>
      </c>
      <c r="F13" s="226">
        <v>7.0284189999999993E-3</v>
      </c>
      <c r="G13" s="226">
        <v>2.2076849999999992E-3</v>
      </c>
      <c r="H13" s="226">
        <v>2.9982219999999995E-4</v>
      </c>
      <c r="I13" s="226">
        <v>1.5206479999999999E-4</v>
      </c>
      <c r="J13" s="226">
        <v>1.3112629999999998E-4</v>
      </c>
      <c r="K13" s="226">
        <v>2.0760399999999996E-4</v>
      </c>
    </row>
    <row r="14" spans="1:13" x14ac:dyDescent="0.25">
      <c r="A14" s="224">
        <v>2.6100000000000002E-7</v>
      </c>
      <c r="B14" s="225">
        <f t="shared" si="0"/>
        <v>7.6108918675862061E-19</v>
      </c>
      <c r="C14" s="226">
        <v>3.6658139737991313E-2</v>
      </c>
      <c r="D14" s="226">
        <v>2.0853829999999993E-2</v>
      </c>
      <c r="E14" s="226">
        <v>7.4460219999999983E-3</v>
      </c>
      <c r="F14" s="226">
        <v>6.4925099999999991E-3</v>
      </c>
      <c r="G14" s="226">
        <v>2.513501E-3</v>
      </c>
      <c r="H14" s="226">
        <v>3.013782E-4</v>
      </c>
      <c r="I14" s="226">
        <v>1.8620099999999999E-4</v>
      </c>
      <c r="J14" s="226">
        <v>1.078671E-4</v>
      </c>
      <c r="K14" s="226">
        <v>1.7077759999999998E-4</v>
      </c>
    </row>
    <row r="15" spans="1:13" x14ac:dyDescent="0.25">
      <c r="A15" s="224">
        <v>2.6199999999999999E-7</v>
      </c>
      <c r="B15" s="225">
        <f t="shared" si="0"/>
        <v>7.5818426619847332E-19</v>
      </c>
      <c r="C15" s="226">
        <v>3.7885989810771403E-2</v>
      </c>
      <c r="D15" s="226">
        <v>2.0601049999999996E-2</v>
      </c>
      <c r="E15" s="226">
        <v>6.8379009999999987E-3</v>
      </c>
      <c r="F15" s="226">
        <v>5.9569669999999996E-3</v>
      </c>
      <c r="G15" s="226">
        <v>3.2667979999999996E-3</v>
      </c>
      <c r="H15" s="226">
        <v>3.2236959999999996E-4</v>
      </c>
      <c r="I15" s="226">
        <v>1.8506769999999996E-4</v>
      </c>
      <c r="J15" s="226">
        <v>2.3601499999999998E-4</v>
      </c>
      <c r="K15" s="226">
        <v>3.7365440000000004E-4</v>
      </c>
    </row>
    <row r="16" spans="1:13" x14ac:dyDescent="0.25">
      <c r="A16" s="224">
        <v>2.6300000000000001E-7</v>
      </c>
      <c r="B16" s="225">
        <f t="shared" si="0"/>
        <v>7.5530143628897333E-19</v>
      </c>
      <c r="C16" s="226">
        <v>3.6741783114992606E-2</v>
      </c>
      <c r="D16" s="226">
        <v>2.293195E-2</v>
      </c>
      <c r="E16" s="226">
        <v>8.0698009999999997E-3</v>
      </c>
      <c r="F16" s="226">
        <v>7.7994709999999988E-3</v>
      </c>
      <c r="G16" s="226">
        <v>2.5203759999999995E-3</v>
      </c>
      <c r="H16" s="226">
        <v>3.8143919999999998E-4</v>
      </c>
      <c r="I16" s="226">
        <v>2.1339079999999994E-4</v>
      </c>
      <c r="J16" s="226">
        <v>1.6984459999999998E-4</v>
      </c>
      <c r="K16" s="226">
        <v>2.6890369999999994E-4</v>
      </c>
    </row>
    <row r="17" spans="1:11" x14ac:dyDescent="0.25">
      <c r="A17" s="224">
        <v>2.6400000000000003E-7</v>
      </c>
      <c r="B17" s="225">
        <f t="shared" si="0"/>
        <v>7.5244044599999988E-19</v>
      </c>
      <c r="C17" s="226">
        <v>3.992682678311503E-2</v>
      </c>
      <c r="D17" s="226">
        <v>2.5262469999999999E-2</v>
      </c>
      <c r="E17" s="226">
        <v>9.3020649999999965E-3</v>
      </c>
      <c r="F17" s="226">
        <v>9.6423389999999998E-3</v>
      </c>
      <c r="G17" s="226">
        <v>7.1247799999999998E-3</v>
      </c>
      <c r="H17" s="226">
        <v>5.4222589999999989E-4</v>
      </c>
      <c r="I17" s="226">
        <v>2.0135889999999999E-4</v>
      </c>
      <c r="J17" s="226">
        <v>4.1150909999999999E-4</v>
      </c>
      <c r="K17" s="226">
        <v>6.5149159999999991E-4</v>
      </c>
    </row>
    <row r="18" spans="1:11" x14ac:dyDescent="0.25">
      <c r="A18" s="224">
        <v>2.65E-7</v>
      </c>
      <c r="B18" s="225">
        <f t="shared" si="0"/>
        <v>7.4960104809056598E-19</v>
      </c>
      <c r="C18" s="226">
        <v>4.1303025491624137E-2</v>
      </c>
      <c r="D18" s="226">
        <v>2.5159460000000002E-2</v>
      </c>
      <c r="E18" s="226">
        <v>1.1300129999999999E-2</v>
      </c>
      <c r="F18" s="226">
        <v>1.1878209999999998E-2</v>
      </c>
      <c r="G18" s="226">
        <v>5.7634179999999993E-3</v>
      </c>
      <c r="H18" s="226">
        <v>5.7542789999999986E-4</v>
      </c>
      <c r="I18" s="226">
        <v>1.7283829999999997E-4</v>
      </c>
      <c r="J18" s="226">
        <v>3.4483629999999994E-4</v>
      </c>
      <c r="K18" s="226">
        <v>5.459506E-4</v>
      </c>
    </row>
    <row r="19" spans="1:11" x14ac:dyDescent="0.25">
      <c r="A19" s="224">
        <v>2.6600000000000003E-7</v>
      </c>
      <c r="B19" s="225">
        <f t="shared" si="0"/>
        <v>7.467829990375939E-19</v>
      </c>
      <c r="C19" s="226">
        <v>3.9625443231441036E-2</v>
      </c>
      <c r="D19" s="226">
        <v>2.5056449999999997E-2</v>
      </c>
      <c r="E19" s="226">
        <v>1.3298179999999996E-2</v>
      </c>
      <c r="F19" s="226">
        <v>1.4114439999999999E-2</v>
      </c>
      <c r="G19" s="226">
        <v>7.2062729999999983E-3</v>
      </c>
      <c r="H19" s="226">
        <v>6.2397069999999986E-4</v>
      </c>
      <c r="I19" s="226">
        <v>2.3868319999999999E-4</v>
      </c>
      <c r="J19" s="226">
        <v>3.7952089999999993E-4</v>
      </c>
      <c r="K19" s="226">
        <v>6.0086979999999981E-4</v>
      </c>
    </row>
    <row r="20" spans="1:11" x14ac:dyDescent="0.25">
      <c r="A20" s="224">
        <v>2.67E-7</v>
      </c>
      <c r="B20" s="225">
        <f t="shared" si="0"/>
        <v>7.439860589662921E-19</v>
      </c>
      <c r="C20" s="226">
        <v>3.8771644573925693E-2</v>
      </c>
      <c r="D20" s="226">
        <v>2.4651349999999995E-2</v>
      </c>
      <c r="E20" s="226">
        <v>1.325849E-2</v>
      </c>
      <c r="F20" s="226">
        <v>1.3434889999999998E-2</v>
      </c>
      <c r="G20" s="226">
        <v>6.756607999999999E-3</v>
      </c>
      <c r="H20" s="226">
        <v>6.4124739999999998E-4</v>
      </c>
      <c r="I20" s="226">
        <v>3.0448779999999999E-4</v>
      </c>
      <c r="J20" s="226">
        <v>3.721834999999999E-4</v>
      </c>
      <c r="K20" s="226">
        <v>5.8925229999999996E-4</v>
      </c>
    </row>
    <row r="21" spans="1:11" x14ac:dyDescent="0.25">
      <c r="A21" s="224">
        <v>2.6800000000000002E-7</v>
      </c>
      <c r="B21" s="225">
        <f t="shared" si="0"/>
        <v>7.4120999158208953E-19</v>
      </c>
      <c r="C21" s="226">
        <v>3.878467225054625E-2</v>
      </c>
      <c r="D21" s="226">
        <v>2.4245879999999994E-2</v>
      </c>
      <c r="E21" s="226">
        <v>1.3219169999999999E-2</v>
      </c>
      <c r="F21" s="226">
        <v>1.2755349999999997E-2</v>
      </c>
      <c r="G21" s="226">
        <v>6.6678399999999987E-3</v>
      </c>
      <c r="H21" s="226">
        <v>6.3503799999999988E-4</v>
      </c>
      <c r="I21" s="226">
        <v>2.4905159999999996E-4</v>
      </c>
      <c r="J21" s="226">
        <v>3.3902419999999996E-4</v>
      </c>
      <c r="K21" s="226">
        <v>5.3673679999999995E-4</v>
      </c>
    </row>
    <row r="22" spans="1:11" x14ac:dyDescent="0.25">
      <c r="A22" s="224">
        <v>2.6899999999999999E-7</v>
      </c>
      <c r="B22" s="225">
        <f t="shared" si="0"/>
        <v>7.3845456410408923E-19</v>
      </c>
      <c r="C22" s="226">
        <v>3.7934856518572473E-2</v>
      </c>
      <c r="D22" s="226">
        <v>2.4021599999999994E-2</v>
      </c>
      <c r="E22" s="226">
        <v>1.3211149999999998E-2</v>
      </c>
      <c r="F22" s="226">
        <v>1.2833729999999998E-2</v>
      </c>
      <c r="G22" s="226">
        <v>6.2618319999999993E-3</v>
      </c>
      <c r="H22" s="226">
        <v>6.4548439999999991E-4</v>
      </c>
      <c r="I22" s="226">
        <v>2.5149020000000001E-4</v>
      </c>
      <c r="J22" s="226">
        <v>3.4680259999999994E-4</v>
      </c>
      <c r="K22" s="226">
        <v>5.4908259999999988E-4</v>
      </c>
    </row>
    <row r="23" spans="1:11" x14ac:dyDescent="0.25">
      <c r="A23" s="224">
        <v>2.7000000000000001E-7</v>
      </c>
      <c r="B23" s="225">
        <f t="shared" si="0"/>
        <v>7.3571954719999993E-19</v>
      </c>
      <c r="C23" s="226">
        <v>3.7383426491994012E-2</v>
      </c>
      <c r="D23" s="226">
        <v>2.3797309999999995E-2</v>
      </c>
      <c r="E23" s="226">
        <v>1.3203509999999998E-2</v>
      </c>
      <c r="F23" s="226">
        <v>1.2912109999999997E-2</v>
      </c>
      <c r="G23" s="226">
        <v>7.4976820000000003E-3</v>
      </c>
      <c r="H23" s="226">
        <v>6.4668979999999994E-4</v>
      </c>
      <c r="I23" s="226">
        <v>2.7641689999999996E-4</v>
      </c>
      <c r="J23" s="226">
        <v>3.5527849999999995E-4</v>
      </c>
      <c r="K23" s="226">
        <v>5.6248460000000002E-4</v>
      </c>
    </row>
    <row r="24" spans="1:11" x14ac:dyDescent="0.25">
      <c r="A24" s="224">
        <v>2.7100000000000003E-7</v>
      </c>
      <c r="B24" s="225">
        <f t="shared" si="0"/>
        <v>7.3300471492250912E-19</v>
      </c>
      <c r="C24" s="226">
        <v>3.6770162299854407E-2</v>
      </c>
      <c r="D24" s="226">
        <v>2.3977029999999996E-2</v>
      </c>
      <c r="E24" s="226">
        <v>1.2753059999999998E-2</v>
      </c>
      <c r="F24" s="226">
        <v>1.2663839999999997E-2</v>
      </c>
      <c r="G24" s="226">
        <v>6.9912639999999996E-3</v>
      </c>
      <c r="H24" s="226">
        <v>7.3044339999999992E-4</v>
      </c>
      <c r="I24" s="226">
        <v>3.1107599999999997E-4</v>
      </c>
      <c r="J24" s="226">
        <v>3.5314239999999989E-4</v>
      </c>
      <c r="K24" s="226">
        <v>5.5909769999999985E-4</v>
      </c>
    </row>
    <row r="25" spans="1:11" x14ac:dyDescent="0.25">
      <c r="A25" s="224">
        <v>2.72E-7</v>
      </c>
      <c r="B25" s="225">
        <f t="shared" si="0"/>
        <v>7.3030984464705882E-19</v>
      </c>
      <c r="C25" s="226">
        <v>3.7081052439912582E-2</v>
      </c>
      <c r="D25" s="226">
        <v>2.4156389999999993E-2</v>
      </c>
      <c r="E25" s="226">
        <v>1.2302979999999998E-2</v>
      </c>
      <c r="F25" s="226">
        <v>1.2415569999999999E-2</v>
      </c>
      <c r="G25" s="226">
        <v>4.2772689999999993E-3</v>
      </c>
      <c r="H25" s="226">
        <v>6.0771669999999992E-4</v>
      </c>
      <c r="I25" s="226">
        <v>2.8299779999999995E-4</v>
      </c>
      <c r="J25" s="226">
        <v>2.8096469999999994E-4</v>
      </c>
      <c r="K25" s="226">
        <v>4.448163E-4</v>
      </c>
    </row>
    <row r="26" spans="1:11" x14ac:dyDescent="0.25">
      <c r="A26" s="224">
        <v>2.7300000000000002E-7</v>
      </c>
      <c r="B26" s="225">
        <f t="shared" si="0"/>
        <v>7.2763471701098891E-19</v>
      </c>
      <c r="C26" s="226">
        <v>3.7829776402039321E-2</v>
      </c>
      <c r="D26" s="226">
        <v>2.2857069999999993E-2</v>
      </c>
      <c r="E26" s="226">
        <v>1.2137289999999997E-2</v>
      </c>
      <c r="F26" s="226">
        <v>1.0990859999999998E-2</v>
      </c>
      <c r="G26" s="226">
        <v>7.1087729999999997E-3</v>
      </c>
      <c r="H26" s="226">
        <v>6.8062219999999994E-4</v>
      </c>
      <c r="I26" s="226">
        <v>3.4853930000000003E-4</v>
      </c>
      <c r="J26" s="226">
        <v>2.7998159999999999E-4</v>
      </c>
      <c r="K26" s="226">
        <v>4.432866999999999E-4</v>
      </c>
    </row>
    <row r="27" spans="1:11" x14ac:dyDescent="0.25">
      <c r="A27" s="224">
        <v>2.7399999999999999E-7</v>
      </c>
      <c r="B27" s="225">
        <f t="shared" si="0"/>
        <v>7.2497911585401463E-19</v>
      </c>
      <c r="C27" s="226">
        <v>3.6618138383102627E-2</v>
      </c>
      <c r="D27" s="226">
        <v>2.1558109999999995E-2</v>
      </c>
      <c r="E27" s="226">
        <v>1.1971239999999998E-2</v>
      </c>
      <c r="F27" s="226">
        <v>9.5665099999999986E-3</v>
      </c>
      <c r="G27" s="226">
        <v>3.7723059999999991E-3</v>
      </c>
      <c r="H27" s="226">
        <v>5.8744479999999996E-4</v>
      </c>
      <c r="I27" s="226">
        <v>3.8658739999999995E-4</v>
      </c>
      <c r="J27" s="226">
        <v>3.5097009999999996E-4</v>
      </c>
      <c r="K27" s="226">
        <v>5.5567439999999984E-4</v>
      </c>
    </row>
    <row r="28" spans="1:11" x14ac:dyDescent="0.25">
      <c r="A28" s="224">
        <v>2.7500000000000001E-7</v>
      </c>
      <c r="B28" s="225">
        <f t="shared" si="0"/>
        <v>7.2234282815999994E-19</v>
      </c>
      <c r="C28" s="226">
        <v>3.3003621267297792E-2</v>
      </c>
      <c r="D28" s="226">
        <v>2.1676089999999995E-2</v>
      </c>
      <c r="E28" s="226">
        <v>1.1040129999999997E-2</v>
      </c>
      <c r="F28" s="226">
        <v>9.3182419999999992E-3</v>
      </c>
      <c r="G28" s="226">
        <v>3.9633050000000003E-3</v>
      </c>
      <c r="H28" s="226">
        <v>6.3416139999999987E-4</v>
      </c>
      <c r="I28" s="226">
        <v>4.0015119999999997E-4</v>
      </c>
      <c r="J28" s="226">
        <v>3.6437619999999998E-4</v>
      </c>
      <c r="K28" s="226">
        <v>5.7690639999999989E-4</v>
      </c>
    </row>
    <row r="29" spans="1:11" x14ac:dyDescent="0.25">
      <c r="A29" s="224">
        <v>2.7600000000000004E-7</v>
      </c>
      <c r="B29" s="225">
        <f t="shared" si="0"/>
        <v>7.1972564399999986E-19</v>
      </c>
      <c r="C29" s="226">
        <v>3.6584307580174939E-2</v>
      </c>
      <c r="D29" s="226">
        <v>2.1794079999999993E-2</v>
      </c>
      <c r="E29" s="226">
        <v>1.010901E-2</v>
      </c>
      <c r="F29" s="226">
        <v>9.0696089999999993E-3</v>
      </c>
      <c r="G29" s="226">
        <v>6.684939E-3</v>
      </c>
      <c r="H29" s="226">
        <v>8.0955839999999996E-4</v>
      </c>
      <c r="I29" s="226">
        <v>3.9488659999999993E-4</v>
      </c>
      <c r="J29" s="226">
        <v>4.9091929999999992E-4</v>
      </c>
      <c r="K29" s="226">
        <v>7.7720849999999989E-4</v>
      </c>
    </row>
    <row r="30" spans="1:11" x14ac:dyDescent="0.25">
      <c r="A30" s="224">
        <v>2.7700000000000001E-7</v>
      </c>
      <c r="B30" s="225">
        <f t="shared" si="0"/>
        <v>7.171273564765343E-19</v>
      </c>
      <c r="C30" s="226">
        <v>3.5752140568099E-2</v>
      </c>
      <c r="D30" s="226">
        <v>2.1287429999999996E-2</v>
      </c>
      <c r="E30" s="226">
        <v>1.122985E-2</v>
      </c>
      <c r="F30" s="226">
        <v>1.0023669999999997E-2</v>
      </c>
      <c r="G30" s="226">
        <v>6.6052649999999999E-3</v>
      </c>
      <c r="H30" s="226">
        <v>9.1709039999999988E-4</v>
      </c>
      <c r="I30" s="226">
        <v>3.9463059999999991E-4</v>
      </c>
      <c r="J30" s="226">
        <v>5.197267E-4</v>
      </c>
      <c r="K30" s="226">
        <v>8.2284099999999994E-4</v>
      </c>
    </row>
    <row r="31" spans="1:11" x14ac:dyDescent="0.25">
      <c r="A31" s="224">
        <v>2.7800000000000003E-7</v>
      </c>
      <c r="B31" s="225">
        <f t="shared" si="0"/>
        <v>7.1454776166906463E-19</v>
      </c>
      <c r="C31" s="226">
        <v>3.5936055353241056E-2</v>
      </c>
      <c r="D31" s="226">
        <v>2.0780409999999996E-2</v>
      </c>
      <c r="E31" s="226">
        <v>1.235032E-2</v>
      </c>
      <c r="F31" s="226">
        <v>1.0977729999999998E-2</v>
      </c>
      <c r="G31" s="226">
        <v>4.6825489999999994E-3</v>
      </c>
      <c r="H31" s="226">
        <v>8.5043079999999984E-4</v>
      </c>
      <c r="I31" s="226">
        <v>4.1108269999999997E-4</v>
      </c>
      <c r="J31" s="226">
        <v>5.6602829999999988E-4</v>
      </c>
      <c r="K31" s="226">
        <v>8.9611509999999988E-4</v>
      </c>
    </row>
    <row r="32" spans="1:11" x14ac:dyDescent="0.25">
      <c r="A32" s="224">
        <v>2.79E-7</v>
      </c>
      <c r="B32" s="225">
        <f t="shared" si="0"/>
        <v>7.1198665858064511E-19</v>
      </c>
      <c r="C32" s="226">
        <v>3.6859276239067047E-2</v>
      </c>
      <c r="D32" s="226">
        <v>2.0257319999999999E-2</v>
      </c>
      <c r="E32" s="226">
        <v>9.3887319999999986E-3</v>
      </c>
      <c r="F32" s="226">
        <v>7.4363649999999995E-3</v>
      </c>
      <c r="G32" s="226">
        <v>3.1413209999999994E-3</v>
      </c>
      <c r="H32" s="226">
        <v>6.955978E-4</v>
      </c>
      <c r="I32" s="226">
        <v>1.3011769999999999E-3</v>
      </c>
      <c r="J32" s="226">
        <v>8.4951229999999996E-4</v>
      </c>
      <c r="K32" s="226">
        <v>1.3449739999999999E-3</v>
      </c>
    </row>
    <row r="33" spans="1:23" x14ac:dyDescent="0.25">
      <c r="A33" s="224">
        <v>2.8000000000000002E-7</v>
      </c>
      <c r="B33" s="225">
        <f t="shared" si="0"/>
        <v>7.0944384908571426E-19</v>
      </c>
      <c r="C33" s="226">
        <v>3.2241332847778498E-2</v>
      </c>
      <c r="D33" s="226">
        <v>1.9734229999999998E-2</v>
      </c>
      <c r="E33" s="226">
        <v>6.427145999999999E-3</v>
      </c>
      <c r="F33" s="226">
        <v>3.894631E-3</v>
      </c>
      <c r="G33" s="226">
        <v>2.1232459999999996E-3</v>
      </c>
      <c r="H33" s="226">
        <v>6.8485919999999986E-4</v>
      </c>
      <c r="I33" s="226">
        <v>2.1302159999999999E-3</v>
      </c>
      <c r="J33" s="226">
        <v>2.4605239999999995E-3</v>
      </c>
      <c r="K33" s="226">
        <v>3.8956929999999996E-3</v>
      </c>
    </row>
    <row r="34" spans="1:23" x14ac:dyDescent="0.25">
      <c r="A34" s="224">
        <v>2.8099999999999999E-7</v>
      </c>
      <c r="B34" s="225">
        <f t="shared" si="0"/>
        <v>7.0691913787900359E-19</v>
      </c>
      <c r="C34" s="226">
        <v>3.7842120174799689E-2</v>
      </c>
      <c r="D34" s="226">
        <v>2.1556639999999998E-2</v>
      </c>
      <c r="E34" s="226">
        <v>8.5919839999999987E-3</v>
      </c>
      <c r="F34" s="226">
        <v>7.2781449999999989E-3</v>
      </c>
      <c r="G34" s="226">
        <v>4.4078759999999989E-3</v>
      </c>
      <c r="H34" s="226">
        <v>7.5206669999999993E-4</v>
      </c>
      <c r="I34" s="226">
        <v>8.0319070000000009E-4</v>
      </c>
      <c r="J34" s="226">
        <v>1.1907199999999997E-3</v>
      </c>
      <c r="K34" s="226">
        <v>1.8852069999999999E-3</v>
      </c>
    </row>
    <row r="35" spans="1:23" x14ac:dyDescent="0.25">
      <c r="A35" s="224">
        <v>2.8200000000000001E-7</v>
      </c>
      <c r="B35" s="225">
        <f t="shared" si="0"/>
        <v>7.044123324255319E-19</v>
      </c>
      <c r="C35" s="226">
        <v>3.8186746355685114E-2</v>
      </c>
      <c r="D35" s="226">
        <v>2.3379059999999997E-2</v>
      </c>
      <c r="E35" s="226">
        <v>1.0756819999999999E-2</v>
      </c>
      <c r="F35" s="226">
        <v>1.0661659999999998E-2</v>
      </c>
      <c r="G35" s="226">
        <v>7.3001349999999993E-3</v>
      </c>
      <c r="H35" s="226">
        <v>1.0637049999999996E-3</v>
      </c>
      <c r="I35" s="226">
        <v>5.0347029999999989E-4</v>
      </c>
      <c r="J35" s="226">
        <v>4.4111169999999997E-4</v>
      </c>
      <c r="K35" s="226">
        <v>6.9836229999999989E-4</v>
      </c>
    </row>
    <row r="36" spans="1:23" x14ac:dyDescent="0.25">
      <c r="A36" s="224">
        <v>2.8300000000000003E-7</v>
      </c>
      <c r="B36" s="225">
        <f t="shared" si="0"/>
        <v>7.0192324291166069E-19</v>
      </c>
      <c r="C36" s="226">
        <v>3.6965935860058322E-2</v>
      </c>
      <c r="D36" s="226">
        <v>2.4217749999999996E-2</v>
      </c>
      <c r="E36" s="226">
        <v>1.2991579999999999E-2</v>
      </c>
      <c r="F36" s="226">
        <v>1.2086010000000001E-2</v>
      </c>
      <c r="G36" s="226">
        <v>8.7167959999999989E-3</v>
      </c>
      <c r="H36" s="226">
        <v>1.1076459999999997E-3</v>
      </c>
      <c r="I36" s="226">
        <v>4.2278199999999996E-4</v>
      </c>
      <c r="J36" s="226">
        <v>5.3212439999999995E-4</v>
      </c>
      <c r="K36" s="226">
        <v>8.4247049999999985E-4</v>
      </c>
    </row>
    <row r="37" spans="1:23" x14ac:dyDescent="0.25">
      <c r="A37" s="224">
        <v>2.84E-7</v>
      </c>
      <c r="B37" s="225">
        <f t="shared" si="0"/>
        <v>6.9945168219718311E-19</v>
      </c>
      <c r="C37" s="226">
        <v>3.593427405247808E-2</v>
      </c>
      <c r="D37" s="226">
        <v>2.5056449999999997E-2</v>
      </c>
      <c r="E37" s="226">
        <v>1.5226689999999998E-2</v>
      </c>
      <c r="F37" s="226">
        <v>1.3510719999999999E-2</v>
      </c>
      <c r="G37" s="226">
        <v>8.5599959999999985E-3</v>
      </c>
      <c r="H37" s="226">
        <v>1.0104499999999998E-3</v>
      </c>
      <c r="I37" s="226">
        <v>4.6234009999999997E-4</v>
      </c>
      <c r="J37" s="226">
        <v>5.5312459999999988E-4</v>
      </c>
      <c r="K37" s="226">
        <v>8.756841999999998E-4</v>
      </c>
      <c r="N37" s="290"/>
      <c r="O37" s="118"/>
      <c r="P37" s="290"/>
      <c r="Q37" s="290"/>
      <c r="R37" s="290"/>
      <c r="S37" s="290"/>
      <c r="T37" s="290"/>
      <c r="U37" s="290"/>
      <c r="V37" s="290"/>
      <c r="W37" s="290"/>
    </row>
    <row r="38" spans="1:23" x14ac:dyDescent="0.25">
      <c r="A38" s="224">
        <v>2.8500000000000002E-7</v>
      </c>
      <c r="B38" s="225">
        <f t="shared" si="0"/>
        <v>6.9699746576842102E-19</v>
      </c>
      <c r="C38" s="226">
        <v>3.5343457725947526E-2</v>
      </c>
      <c r="D38" s="226">
        <v>2.4337199999999996E-2</v>
      </c>
      <c r="E38" s="226">
        <v>1.4902969999999996E-2</v>
      </c>
      <c r="F38" s="226">
        <v>1.3015279999999999E-2</v>
      </c>
      <c r="G38" s="226">
        <v>2.9373709999999998E-3</v>
      </c>
      <c r="H38" s="226">
        <v>5.499693999999999E-4</v>
      </c>
      <c r="I38" s="226">
        <v>3.4162199999999998E-4</v>
      </c>
      <c r="J38" s="226">
        <v>6.8310149999999993E-4</v>
      </c>
      <c r="K38" s="226">
        <v>1.081486E-3</v>
      </c>
      <c r="N38" s="290"/>
      <c r="O38" s="118"/>
      <c r="P38" s="290"/>
      <c r="Q38" s="290"/>
      <c r="R38" s="290"/>
      <c r="S38" s="290"/>
      <c r="T38" s="290"/>
      <c r="U38" s="290"/>
      <c r="V38" s="290"/>
      <c r="W38" s="290"/>
    </row>
    <row r="39" spans="1:23" x14ac:dyDescent="0.25">
      <c r="A39" s="224">
        <v>2.8599999999999999E-7</v>
      </c>
      <c r="B39" s="225">
        <f t="shared" si="0"/>
        <v>6.9456041169230773E-19</v>
      </c>
      <c r="C39" s="226">
        <v>3.5461519679300162E-2</v>
      </c>
      <c r="D39" s="226">
        <v>2.361795999999999E-2</v>
      </c>
      <c r="E39" s="226">
        <v>1.4579239999999997E-2</v>
      </c>
      <c r="F39" s="226">
        <v>1.2519839999999999E-2</v>
      </c>
      <c r="G39" s="226">
        <v>8.0219259999999987E-3</v>
      </c>
      <c r="H39" s="226">
        <v>7.0798010000000001E-4</v>
      </c>
      <c r="I39" s="226">
        <v>4.6504559999999996E-4</v>
      </c>
      <c r="J39" s="226">
        <v>6.697277999999999E-4</v>
      </c>
      <c r="K39" s="226">
        <v>1.0603259999999999E-3</v>
      </c>
      <c r="N39" s="290"/>
      <c r="O39" s="118"/>
      <c r="P39" s="290"/>
      <c r="Q39" s="290"/>
      <c r="R39" s="290"/>
      <c r="S39" s="290"/>
      <c r="T39" s="290"/>
      <c r="U39" s="290"/>
      <c r="V39" s="290"/>
      <c r="W39" s="290"/>
    </row>
    <row r="40" spans="1:23" ht="15.75" x14ac:dyDescent="0.25">
      <c r="A40" s="224">
        <v>2.8700000000000002E-7</v>
      </c>
      <c r="B40" s="225">
        <f t="shared" si="0"/>
        <v>6.9214034057142852E-19</v>
      </c>
      <c r="C40" s="226">
        <v>3.5308607142857142E-2</v>
      </c>
      <c r="D40" s="226">
        <v>2.3887169999999992E-2</v>
      </c>
      <c r="E40" s="226">
        <v>1.5187359999999999E-2</v>
      </c>
      <c r="F40" s="226">
        <v>1.3160379999999998E-2</v>
      </c>
      <c r="G40" s="226">
        <v>9.3276259999999986E-3</v>
      </c>
      <c r="H40" s="226">
        <v>1.2793539999999997E-3</v>
      </c>
      <c r="I40" s="226">
        <v>6.2558129999999983E-4</v>
      </c>
      <c r="J40" s="226">
        <v>6.9427019999999994E-4</v>
      </c>
      <c r="K40" s="226">
        <v>1.0991849999999997E-3</v>
      </c>
      <c r="N40" s="290"/>
      <c r="O40" s="118"/>
      <c r="P40" s="290"/>
      <c r="Q40" s="290"/>
      <c r="R40" s="290"/>
      <c r="S40" s="290"/>
      <c r="T40" s="290"/>
      <c r="U40" s="290"/>
      <c r="V40" s="141"/>
      <c r="W40" s="141"/>
    </row>
    <row r="41" spans="1:23" ht="15.75" x14ac:dyDescent="0.25">
      <c r="A41" s="224">
        <v>2.8799999999999998E-7</v>
      </c>
      <c r="B41" s="225">
        <f t="shared" si="0"/>
        <v>6.8973707550000005E-19</v>
      </c>
      <c r="C41" s="226">
        <v>3.5524358600583082E-2</v>
      </c>
      <c r="D41" s="226">
        <v>2.4156389999999993E-2</v>
      </c>
      <c r="E41" s="226">
        <v>1.5795489999999999E-2</v>
      </c>
      <c r="F41" s="226">
        <v>1.3800549999999998E-2</v>
      </c>
      <c r="G41" s="226">
        <v>5.9438649999999996E-3</v>
      </c>
      <c r="H41" s="226">
        <v>1.349264E-3</v>
      </c>
      <c r="I41" s="226">
        <v>5.9560199999999987E-4</v>
      </c>
      <c r="J41" s="226">
        <v>7.2752349999999984E-4</v>
      </c>
      <c r="K41" s="226">
        <v>1.1518099999999999E-3</v>
      </c>
      <c r="N41" s="290"/>
      <c r="O41" s="118"/>
      <c r="P41" s="290"/>
      <c r="Q41" s="290"/>
      <c r="R41" s="290"/>
      <c r="S41" s="290"/>
      <c r="T41" s="290"/>
      <c r="U41" s="290"/>
      <c r="V41" s="141"/>
      <c r="W41" s="141"/>
    </row>
    <row r="42" spans="1:23" ht="15.75" x14ac:dyDescent="0.25">
      <c r="A42" s="224">
        <v>2.8900000000000001E-7</v>
      </c>
      <c r="B42" s="225">
        <f t="shared" si="0"/>
        <v>6.8735044202076119E-19</v>
      </c>
      <c r="C42" s="226">
        <v>3.53127448979592E-2</v>
      </c>
      <c r="D42" s="226">
        <v>2.4709429999999991E-2</v>
      </c>
      <c r="E42" s="226">
        <v>1.698005E-2</v>
      </c>
      <c r="F42" s="226">
        <v>1.5877470000000001E-2</v>
      </c>
      <c r="G42" s="226">
        <v>1.0516179999999997E-2</v>
      </c>
      <c r="H42" s="226">
        <v>1.9047489999999996E-3</v>
      </c>
      <c r="I42" s="226">
        <v>7.9821859999999983E-4</v>
      </c>
      <c r="J42" s="226">
        <v>6.550169E-4</v>
      </c>
      <c r="K42" s="226">
        <v>1.0370549999999998E-3</v>
      </c>
      <c r="N42" s="290"/>
      <c r="O42" s="118"/>
      <c r="P42" s="290"/>
      <c r="Q42" s="290"/>
      <c r="R42" s="290"/>
      <c r="S42" s="290"/>
      <c r="T42" s="290"/>
      <c r="U42" s="290"/>
      <c r="V42" s="141"/>
      <c r="W42" s="141"/>
    </row>
    <row r="43" spans="1:23" ht="15.75" x14ac:dyDescent="0.25">
      <c r="A43" s="224">
        <v>2.9000000000000003E-7</v>
      </c>
      <c r="B43" s="225">
        <f t="shared" si="0"/>
        <v>6.849802680827585E-19</v>
      </c>
      <c r="C43" s="226">
        <v>3.6413673469387696E-2</v>
      </c>
      <c r="D43" s="226">
        <v>2.5262469999999999E-2</v>
      </c>
      <c r="E43" s="226">
        <v>1.8164609999999998E-2</v>
      </c>
      <c r="F43" s="226">
        <v>1.7954019999999998E-2</v>
      </c>
      <c r="G43" s="226">
        <v>1.5387179999999997E-2</v>
      </c>
      <c r="H43" s="226">
        <v>2.7674149999999992E-3</v>
      </c>
      <c r="I43" s="226">
        <v>8.3269479999999987E-4</v>
      </c>
      <c r="J43" s="226">
        <v>7.4263209999999994E-4</v>
      </c>
      <c r="K43" s="226">
        <v>1.1757729999999997E-3</v>
      </c>
      <c r="O43" s="118"/>
      <c r="P43" s="290"/>
      <c r="Q43" s="290"/>
      <c r="R43" s="290"/>
      <c r="S43" s="290"/>
      <c r="T43" s="290"/>
      <c r="U43" s="290"/>
      <c r="V43" s="141"/>
      <c r="W43" s="141"/>
    </row>
    <row r="44" spans="1:23" x14ac:dyDescent="0.25">
      <c r="A44" s="224">
        <v>2.91E-7</v>
      </c>
      <c r="B44" s="225">
        <f t="shared" si="0"/>
        <v>6.8262638400000001E-19</v>
      </c>
      <c r="C44" s="226">
        <v>3.6704293216630192E-2</v>
      </c>
      <c r="D44" s="226">
        <v>2.6026650000000002E-2</v>
      </c>
      <c r="E44" s="226">
        <v>1.8638719999999998E-2</v>
      </c>
      <c r="F44" s="226">
        <v>1.7914650000000001E-2</v>
      </c>
      <c r="G44" s="226">
        <v>1.5075759999999997E-2</v>
      </c>
      <c r="H44" s="226">
        <v>3.0634579999999998E-3</v>
      </c>
      <c r="I44" s="226">
        <v>9.412419999999999E-4</v>
      </c>
      <c r="J44" s="226">
        <v>8.1300609999999983E-4</v>
      </c>
      <c r="K44" s="226">
        <v>1.2872139999999998E-3</v>
      </c>
      <c r="O44" s="118"/>
      <c r="P44" s="290"/>
      <c r="Q44" s="290"/>
      <c r="R44" s="290"/>
      <c r="S44" s="290"/>
      <c r="T44" s="290"/>
      <c r="U44" s="290"/>
    </row>
    <row r="45" spans="1:23" x14ac:dyDescent="0.25">
      <c r="A45" s="224">
        <v>2.9200000000000002E-7</v>
      </c>
      <c r="B45" s="225">
        <f t="shared" si="0"/>
        <v>6.8028862241095882E-19</v>
      </c>
      <c r="C45" s="226">
        <v>3.7533164723032066E-2</v>
      </c>
      <c r="D45" s="226">
        <v>2.6790469999999997E-2</v>
      </c>
      <c r="E45" s="226">
        <v>1.9112480000000001E-2</v>
      </c>
      <c r="F45" s="226">
        <v>1.7875639999999998E-2</v>
      </c>
      <c r="G45" s="226">
        <v>1.4439469999999999E-2</v>
      </c>
      <c r="H45" s="226">
        <v>3.0965860000000001E-3</v>
      </c>
      <c r="I45" s="226">
        <v>1.0284749999999998E-3</v>
      </c>
      <c r="J45" s="226">
        <v>1.027526E-3</v>
      </c>
      <c r="K45" s="226">
        <v>1.6267809999999995E-3</v>
      </c>
      <c r="O45" s="118"/>
      <c r="P45" s="290"/>
      <c r="Q45" s="290"/>
      <c r="R45" s="290"/>
      <c r="S45" s="290"/>
      <c r="T45" s="290"/>
      <c r="U45" s="290"/>
    </row>
    <row r="46" spans="1:23" x14ac:dyDescent="0.25">
      <c r="A46" s="224">
        <v>2.9299999999999999E-7</v>
      </c>
      <c r="B46" s="225">
        <f t="shared" si="0"/>
        <v>6.7796681823890791E-19</v>
      </c>
      <c r="C46" s="226">
        <v>3.5515638949671816E-2</v>
      </c>
      <c r="D46" s="226">
        <v>2.6326919999999997E-2</v>
      </c>
      <c r="E46" s="226">
        <v>1.8796399999999998E-2</v>
      </c>
      <c r="F46" s="226">
        <v>1.7811479999999998E-2</v>
      </c>
      <c r="G46" s="226">
        <v>1.471632E-2</v>
      </c>
      <c r="H46" s="226">
        <v>2.9500809999999998E-3</v>
      </c>
      <c r="I46" s="226">
        <v>9.9052509999999995E-4</v>
      </c>
      <c r="J46" s="226">
        <v>1.0436459999999999E-3</v>
      </c>
      <c r="K46" s="226">
        <v>1.6523459999999996E-3</v>
      </c>
    </row>
    <row r="47" spans="1:23" x14ac:dyDescent="0.25">
      <c r="A47" s="224">
        <v>2.9400000000000001E-7</v>
      </c>
      <c r="B47" s="225">
        <f t="shared" si="0"/>
        <v>6.7566080865306121E-19</v>
      </c>
      <c r="C47" s="226">
        <v>3.5731148796498927E-2</v>
      </c>
      <c r="D47" s="226">
        <v>2.5863739999999993E-2</v>
      </c>
      <c r="E47" s="226">
        <v>1.8480679999999999E-2</v>
      </c>
      <c r="F47" s="226">
        <v>1.7747309999999999E-2</v>
      </c>
      <c r="G47" s="226">
        <v>1.2760499999999998E-2</v>
      </c>
      <c r="H47" s="226">
        <v>2.9783889999999993E-3</v>
      </c>
      <c r="I47" s="226">
        <v>9.6398239999999987E-4</v>
      </c>
      <c r="J47" s="226">
        <v>1.0840919999999998E-3</v>
      </c>
      <c r="K47" s="226">
        <v>1.7163699999999996E-3</v>
      </c>
    </row>
    <row r="48" spans="1:23" x14ac:dyDescent="0.25">
      <c r="A48" s="224">
        <v>2.9500000000000003E-7</v>
      </c>
      <c r="B48" s="225">
        <f t="shared" si="0"/>
        <v>6.7337043303050834E-19</v>
      </c>
      <c r="C48" s="226">
        <v>3.5510592997811813E-2</v>
      </c>
      <c r="D48" s="226">
        <v>2.6131119999999994E-2</v>
      </c>
      <c r="E48" s="226">
        <v>1.8709729999999997E-2</v>
      </c>
      <c r="F48" s="226">
        <v>1.748483E-2</v>
      </c>
      <c r="G48" s="226">
        <v>1.289656E-2</v>
      </c>
      <c r="H48" s="226">
        <v>2.993328E-3</v>
      </c>
      <c r="I48" s="226">
        <v>1.0292419999999999E-3</v>
      </c>
      <c r="J48" s="226">
        <v>6.5555909999999993E-4</v>
      </c>
      <c r="K48" s="226">
        <v>1.0378919999999999E-3</v>
      </c>
    </row>
    <row r="49" spans="1:11" x14ac:dyDescent="0.25">
      <c r="A49" s="224">
        <v>2.96E-7</v>
      </c>
      <c r="B49" s="225">
        <f t="shared" si="0"/>
        <v>6.7109553291891888E-19</v>
      </c>
      <c r="C49" s="226">
        <v>3.6939306345733003E-2</v>
      </c>
      <c r="D49" s="226">
        <v>2.6398879999999996E-2</v>
      </c>
      <c r="E49" s="226">
        <v>1.8938779999999995E-2</v>
      </c>
      <c r="F49" s="226">
        <v>1.7221979999999998E-2</v>
      </c>
      <c r="G49" s="226">
        <v>1.5542889999999998E-2</v>
      </c>
      <c r="H49" s="226">
        <v>3.0626539999999997E-3</v>
      </c>
      <c r="I49" s="226">
        <v>1.0060629999999997E-3</v>
      </c>
      <c r="J49" s="226">
        <v>8.9498259999999988E-4</v>
      </c>
      <c r="K49" s="226">
        <v>1.416973E-3</v>
      </c>
    </row>
    <row r="50" spans="1:11" x14ac:dyDescent="0.25">
      <c r="A50" s="224">
        <v>2.9700000000000003E-7</v>
      </c>
      <c r="B50" s="225">
        <f t="shared" si="0"/>
        <v>6.6883595199999995E-19</v>
      </c>
      <c r="C50" s="226">
        <v>3.6147816921954658E-2</v>
      </c>
      <c r="D50" s="226">
        <v>2.6475219999999997E-2</v>
      </c>
      <c r="E50" s="226">
        <v>1.910446E-2</v>
      </c>
      <c r="F50" s="226">
        <v>1.7404989999999999E-2</v>
      </c>
      <c r="G50" s="226">
        <v>1.0767939999999997E-2</v>
      </c>
      <c r="H50" s="226">
        <v>2.3484639999999998E-3</v>
      </c>
      <c r="I50" s="226">
        <v>9.5436709999999994E-4</v>
      </c>
      <c r="J50" s="226">
        <v>6.3564329999999997E-4</v>
      </c>
      <c r="K50" s="226">
        <v>1.0063539999999999E-3</v>
      </c>
    </row>
    <row r="51" spans="1:11" x14ac:dyDescent="0.25">
      <c r="A51" s="224">
        <v>2.9799999999999999E-7</v>
      </c>
      <c r="B51" s="225">
        <f t="shared" si="0"/>
        <v>6.6659153605369128E-19</v>
      </c>
      <c r="C51" s="226">
        <v>3.6103547445255457E-2</v>
      </c>
      <c r="D51" s="226">
        <v>2.6551209999999999E-2</v>
      </c>
      <c r="E51" s="226">
        <v>1.9270519999999999E-2</v>
      </c>
      <c r="F51" s="226">
        <v>1.7587999999999996E-2</v>
      </c>
      <c r="G51" s="226">
        <v>1.3988349999999997E-2</v>
      </c>
      <c r="H51" s="226">
        <v>2.7810759999999999E-3</v>
      </c>
      <c r="I51" s="226">
        <v>1.0681789999999998E-3</v>
      </c>
      <c r="J51" s="226">
        <v>7.7096959999999992E-4</v>
      </c>
      <c r="K51" s="226">
        <v>1.2206409999999997E-3</v>
      </c>
    </row>
    <row r="52" spans="1:11" x14ac:dyDescent="0.25">
      <c r="A52" s="224">
        <v>2.9900000000000002E-7</v>
      </c>
      <c r="B52" s="225">
        <f t="shared" si="0"/>
        <v>6.6436213292307685E-19</v>
      </c>
      <c r="C52" s="226">
        <v>3.6746242888402655E-2</v>
      </c>
      <c r="D52" s="226">
        <v>2.7104609999999998E-2</v>
      </c>
      <c r="E52" s="226">
        <v>1.9578219999999997E-2</v>
      </c>
      <c r="F52" s="226">
        <v>1.7824599999999999E-2</v>
      </c>
      <c r="G52" s="226">
        <v>1.4723959999999999E-2</v>
      </c>
      <c r="H52" s="226">
        <v>2.4193979999999997E-3</v>
      </c>
      <c r="I52" s="226">
        <v>1.1404219999999999E-3</v>
      </c>
      <c r="J52" s="226">
        <v>1.0273809999999997E-3</v>
      </c>
      <c r="K52" s="226">
        <v>1.6265619999999996E-3</v>
      </c>
    </row>
    <row r="53" spans="1:11" x14ac:dyDescent="0.25">
      <c r="A53" s="224">
        <v>2.9999999999999999E-7</v>
      </c>
      <c r="B53" s="225">
        <f t="shared" si="0"/>
        <v>6.6214759248000005E-19</v>
      </c>
      <c r="C53" s="226">
        <v>3.6698957664233561E-2</v>
      </c>
      <c r="D53" s="226">
        <v>2.7657659999999994E-2</v>
      </c>
      <c r="E53" s="226">
        <v>1.9886279999999999E-2</v>
      </c>
      <c r="F53" s="226">
        <v>1.8061199999999999E-2</v>
      </c>
      <c r="G53" s="226">
        <v>9.0263949999999996E-3</v>
      </c>
      <c r="H53" s="226">
        <v>2.1421299999999995E-3</v>
      </c>
      <c r="I53" s="226">
        <v>1.1448459999999999E-3</v>
      </c>
      <c r="J53" s="226">
        <v>9.8671809999999974E-4</v>
      </c>
      <c r="K53" s="226">
        <v>1.5622099999999999E-3</v>
      </c>
    </row>
    <row r="54" spans="1:11" x14ac:dyDescent="0.25">
      <c r="A54" s="224">
        <v>3.0100000000000001E-7</v>
      </c>
      <c r="B54" s="225">
        <f t="shared" si="0"/>
        <v>6.5994776659136208E-19</v>
      </c>
      <c r="C54" s="226">
        <v>3.6988939416058395E-2</v>
      </c>
      <c r="D54" s="226">
        <v>2.7896919999999995E-2</v>
      </c>
      <c r="E54" s="226">
        <v>1.9965299999999998E-2</v>
      </c>
      <c r="F54" s="226">
        <v>1.8164369999999999E-2</v>
      </c>
      <c r="G54" s="226">
        <v>1.199251E-2</v>
      </c>
      <c r="H54" s="226">
        <v>2.2122229999999997E-3</v>
      </c>
      <c r="I54" s="226">
        <v>1.2246199999999998E-3</v>
      </c>
      <c r="J54" s="226">
        <v>9.8144099999999978E-4</v>
      </c>
      <c r="K54" s="226">
        <v>1.5538339999999998E-3</v>
      </c>
    </row>
    <row r="55" spans="1:11" x14ac:dyDescent="0.25">
      <c r="A55" s="224">
        <v>3.0200000000000003E-7</v>
      </c>
      <c r="B55" s="225">
        <f t="shared" si="0"/>
        <v>6.5776250908609267E-19</v>
      </c>
      <c r="C55" s="226">
        <v>3.6314524087591241E-2</v>
      </c>
      <c r="D55" s="226">
        <v>2.8135819999999995E-2</v>
      </c>
      <c r="E55" s="226">
        <v>2.0044319999999997E-2</v>
      </c>
      <c r="F55" s="226">
        <v>1.8267549999999997E-2</v>
      </c>
      <c r="G55" s="226">
        <v>7.8913199999999985E-3</v>
      </c>
      <c r="H55" s="226">
        <v>2.165251E-3</v>
      </c>
      <c r="I55" s="226">
        <v>1.1034230000000001E-3</v>
      </c>
      <c r="J55" s="226">
        <v>8.1994579999999982E-4</v>
      </c>
      <c r="K55" s="226">
        <v>1.2981759999999998E-3</v>
      </c>
    </row>
    <row r="56" spans="1:11" x14ac:dyDescent="0.25">
      <c r="A56" s="224">
        <v>3.03E-7</v>
      </c>
      <c r="B56" s="225">
        <f t="shared" si="0"/>
        <v>6.5559167572277229E-19</v>
      </c>
      <c r="C56" s="226">
        <v>3.6514105109489034E-2</v>
      </c>
      <c r="D56" s="226">
        <v>2.8074809999999992E-2</v>
      </c>
      <c r="E56" s="226">
        <v>2.0920819999999996E-2</v>
      </c>
      <c r="F56" s="226">
        <v>1.9053179999999999E-2</v>
      </c>
      <c r="G56" s="226">
        <v>1.5826659999999999E-2</v>
      </c>
      <c r="H56" s="226">
        <v>3.2395850000000001E-3</v>
      </c>
      <c r="I56" s="226">
        <v>1.5606449999999996E-3</v>
      </c>
      <c r="J56" s="226">
        <v>1.089984E-3</v>
      </c>
      <c r="K56" s="226">
        <v>1.7256929999999995E-3</v>
      </c>
    </row>
    <row r="57" spans="1:11" x14ac:dyDescent="0.25">
      <c r="A57" s="224">
        <v>3.0400000000000002E-7</v>
      </c>
      <c r="B57" s="225">
        <f t="shared" si="0"/>
        <v>6.5343512415789466E-19</v>
      </c>
      <c r="C57" s="226">
        <v>3.6216640145985413E-2</v>
      </c>
      <c r="D57" s="226">
        <v>2.8013440000000001E-2</v>
      </c>
      <c r="E57" s="226">
        <v>2.1797679999999996E-2</v>
      </c>
      <c r="F57" s="226">
        <v>1.9838449999999997E-2</v>
      </c>
      <c r="G57" s="226">
        <v>1.3577250000000001E-2</v>
      </c>
      <c r="H57" s="226">
        <v>3.5045069999999992E-3</v>
      </c>
      <c r="I57" s="226">
        <v>1.5309579999999996E-3</v>
      </c>
      <c r="J57" s="226">
        <v>1.3302029999999996E-3</v>
      </c>
      <c r="K57" s="226">
        <v>2.106049E-3</v>
      </c>
    </row>
    <row r="58" spans="1:11" x14ac:dyDescent="0.25">
      <c r="A58" s="224">
        <v>3.0499999999999999E-7</v>
      </c>
      <c r="B58" s="225">
        <f t="shared" si="0"/>
        <v>6.5129271391475411E-19</v>
      </c>
      <c r="C58" s="226">
        <v>3.5645350364963496E-2</v>
      </c>
      <c r="D58" s="226">
        <v>2.7908609999999993E-2</v>
      </c>
      <c r="E58" s="226">
        <v>2.1947699999999994E-2</v>
      </c>
      <c r="F58" s="226">
        <v>1.9732719999999995E-2</v>
      </c>
      <c r="G58" s="226">
        <v>1.6321800000000001E-2</v>
      </c>
      <c r="H58" s="226">
        <v>3.7358609999999992E-3</v>
      </c>
      <c r="I58" s="226">
        <v>1.5898929999999998E-3</v>
      </c>
      <c r="J58" s="226">
        <v>1.152515E-3</v>
      </c>
      <c r="K58" s="226">
        <v>1.8247159999999999E-3</v>
      </c>
    </row>
    <row r="59" spans="1:11" x14ac:dyDescent="0.25">
      <c r="A59" s="224">
        <v>3.0600000000000001E-7</v>
      </c>
      <c r="B59" s="225">
        <f t="shared" si="0"/>
        <v>6.491643063529411E-19</v>
      </c>
      <c r="C59" s="226">
        <v>3.5383440145985406E-2</v>
      </c>
      <c r="D59" s="226">
        <v>2.7804139999999998E-2</v>
      </c>
      <c r="E59" s="226">
        <v>2.2097729999999999E-2</v>
      </c>
      <c r="F59" s="226">
        <v>1.9626639999999997E-2</v>
      </c>
      <c r="G59" s="226">
        <v>1.2712119999999997E-2</v>
      </c>
      <c r="H59" s="226">
        <v>3.2774259999999995E-3</v>
      </c>
      <c r="I59" s="226">
        <v>1.4469789999999997E-3</v>
      </c>
      <c r="J59" s="226">
        <v>8.8001859999999998E-4</v>
      </c>
      <c r="K59" s="226">
        <v>1.3932649999999999E-3</v>
      </c>
    </row>
    <row r="60" spans="1:11" x14ac:dyDescent="0.25">
      <c r="A60" s="224">
        <v>3.0700000000000004E-7</v>
      </c>
      <c r="B60" s="225">
        <f t="shared" si="0"/>
        <v>6.4704976463843642E-19</v>
      </c>
      <c r="C60" s="226">
        <v>3.5410541514930796E-2</v>
      </c>
      <c r="D60" s="226">
        <v>2.8267679999999996E-2</v>
      </c>
      <c r="E60" s="226">
        <v>2.234243E-2</v>
      </c>
      <c r="F60" s="226">
        <v>1.9745849999999999E-2</v>
      </c>
      <c r="G60" s="226">
        <v>1.5625839999999998E-2</v>
      </c>
      <c r="H60" s="226">
        <v>3.655139E-3</v>
      </c>
      <c r="I60" s="226">
        <v>1.6136199999999996E-3</v>
      </c>
      <c r="J60" s="226">
        <v>9.1988629999999985E-4</v>
      </c>
      <c r="K60" s="226">
        <v>1.4563779999999999E-3</v>
      </c>
    </row>
    <row r="61" spans="1:11" x14ac:dyDescent="0.25">
      <c r="A61" s="224">
        <v>3.0800000000000001E-7</v>
      </c>
      <c r="B61" s="225">
        <f t="shared" si="0"/>
        <v>6.4494895371428568E-19</v>
      </c>
      <c r="C61" s="226">
        <v>3.5492643845593613E-2</v>
      </c>
      <c r="D61" s="226">
        <v>2.8730869999999995E-2</v>
      </c>
      <c r="E61" s="226">
        <v>2.2587509999999998E-2</v>
      </c>
      <c r="F61" s="226">
        <v>1.9864699999999999E-2</v>
      </c>
      <c r="G61" s="226">
        <v>1.4482399999999998E-2</v>
      </c>
      <c r="H61" s="226">
        <v>4.4309479999999997E-3</v>
      </c>
      <c r="I61" s="226">
        <v>1.9004719999999998E-3</v>
      </c>
      <c r="J61" s="226">
        <v>1.1542859999999998E-3</v>
      </c>
      <c r="K61" s="226">
        <v>1.82752E-3</v>
      </c>
    </row>
    <row r="62" spans="1:11" x14ac:dyDescent="0.25">
      <c r="A62" s="224">
        <v>3.0900000000000003E-7</v>
      </c>
      <c r="B62" s="225">
        <f t="shared" si="0"/>
        <v>6.428617402718446E-19</v>
      </c>
      <c r="C62" s="226">
        <v>3.4917888565185726E-2</v>
      </c>
      <c r="D62" s="226">
        <v>2.8462019999999994E-2</v>
      </c>
      <c r="E62" s="226">
        <v>2.2587509999999998E-2</v>
      </c>
      <c r="F62" s="226">
        <v>1.9954739999999995E-2</v>
      </c>
      <c r="G62" s="226">
        <v>1.2307199999999999E-2</v>
      </c>
      <c r="H62" s="226">
        <v>4.1482379999999994E-3</v>
      </c>
      <c r="I62" s="226">
        <v>1.8327989999999995E-3</v>
      </c>
      <c r="J62" s="226">
        <v>1.3200099999999995E-3</v>
      </c>
      <c r="K62" s="226">
        <v>2.0898429999999996E-3</v>
      </c>
    </row>
    <row r="63" spans="1:11" x14ac:dyDescent="0.25">
      <c r="A63" s="224">
        <v>3.1E-7</v>
      </c>
      <c r="B63" s="225">
        <f t="shared" si="0"/>
        <v>6.4078799272258065E-19</v>
      </c>
      <c r="C63" s="226">
        <v>3.5065802257829577E-2</v>
      </c>
      <c r="D63" s="226">
        <v>2.819279999999999E-2</v>
      </c>
      <c r="E63" s="226">
        <v>2.2587509999999998E-2</v>
      </c>
      <c r="F63" s="226">
        <v>2.0045159999999996E-2</v>
      </c>
      <c r="G63" s="226">
        <v>1.0979669999999999E-2</v>
      </c>
      <c r="H63" s="226">
        <v>3.7877279999999993E-3</v>
      </c>
      <c r="I63" s="226">
        <v>2.1124109999999998E-3</v>
      </c>
      <c r="J63" s="226">
        <v>1.3747329999999999E-3</v>
      </c>
      <c r="K63" s="226">
        <v>2.1764819999999995E-3</v>
      </c>
    </row>
    <row r="64" spans="1:11" x14ac:dyDescent="0.25">
      <c r="A64" s="224">
        <v>3.1100000000000002E-7</v>
      </c>
      <c r="B64" s="225">
        <f t="shared" si="0"/>
        <v>6.38727581170418E-19</v>
      </c>
      <c r="C64" s="226">
        <v>3.5230900218499631E-2</v>
      </c>
      <c r="D64" s="226">
        <v>2.8254169999999995E-2</v>
      </c>
      <c r="E64" s="226">
        <v>2.3061259999999997E-2</v>
      </c>
      <c r="F64" s="226">
        <v>2.0384929999999999E-2</v>
      </c>
      <c r="G64" s="226">
        <v>1.5507239999999997E-2</v>
      </c>
      <c r="H64" s="226">
        <v>5.8101629999999993E-3</v>
      </c>
      <c r="I64" s="226">
        <v>2.808554E-3</v>
      </c>
      <c r="J64" s="226">
        <v>1.9422789999999997E-3</v>
      </c>
      <c r="K64" s="226">
        <v>3.0750739999999993E-3</v>
      </c>
    </row>
    <row r="65" spans="1:11" x14ac:dyDescent="0.25">
      <c r="A65" s="224">
        <v>3.1199999999999999E-7</v>
      </c>
      <c r="B65" s="225">
        <f t="shared" si="0"/>
        <v>6.3668037738461539E-19</v>
      </c>
      <c r="C65" s="226">
        <v>3.4335318529304687E-2</v>
      </c>
      <c r="D65" s="226">
        <v>2.8315539999999997E-2</v>
      </c>
      <c r="E65" s="226">
        <v>2.3535009999999999E-2</v>
      </c>
      <c r="F65" s="226">
        <v>2.0724699999999999E-2</v>
      </c>
      <c r="G65" s="226">
        <v>1.5453399999999997E-2</v>
      </c>
      <c r="H65" s="226">
        <v>5.2604489999999995E-3</v>
      </c>
      <c r="I65" s="226">
        <v>2.6166119999999999E-3</v>
      </c>
      <c r="J65" s="226">
        <v>1.702711E-3</v>
      </c>
      <c r="K65" s="226">
        <v>2.6957740000000002E-3</v>
      </c>
    </row>
    <row r="66" spans="1:11" x14ac:dyDescent="0.25">
      <c r="A66" s="224">
        <v>3.1300000000000001E-7</v>
      </c>
      <c r="B66" s="225">
        <f t="shared" si="0"/>
        <v>6.3464625477316288E-19</v>
      </c>
      <c r="C66" s="226">
        <v>3.4408914056809903E-2</v>
      </c>
      <c r="D66" s="226">
        <v>2.8584389999999994E-2</v>
      </c>
      <c r="E66" s="226">
        <v>2.3685039999999997E-2</v>
      </c>
      <c r="F66" s="226">
        <v>2.0791419999999998E-2</v>
      </c>
      <c r="G66" s="226">
        <v>1.5672039999999998E-2</v>
      </c>
      <c r="H66" s="226">
        <v>4.9477879999999981E-3</v>
      </c>
      <c r="I66" s="226">
        <v>2.8250789999999994E-3</v>
      </c>
      <c r="J66" s="226">
        <v>1.3962389999999999E-3</v>
      </c>
      <c r="K66" s="226">
        <v>2.2106069999999994E-3</v>
      </c>
    </row>
    <row r="67" spans="1:11" x14ac:dyDescent="0.25">
      <c r="A67" s="224">
        <v>3.1400000000000003E-7</v>
      </c>
      <c r="B67" s="225">
        <f t="shared" ref="B67:B130" si="1">h_planck*c_light/A67</f>
        <v>6.3262508835668783E-19</v>
      </c>
      <c r="C67" s="226">
        <v>3.5068244355426069E-2</v>
      </c>
      <c r="D67" s="226">
        <v>2.8853599999999997E-2</v>
      </c>
      <c r="E67" s="226">
        <v>2.3835429999999998E-2</v>
      </c>
      <c r="F67" s="226">
        <v>2.0857769999999998E-2</v>
      </c>
      <c r="G67" s="226">
        <v>1.6004929999999997E-2</v>
      </c>
      <c r="H67" s="226">
        <v>5.5588649999999988E-3</v>
      </c>
      <c r="I67" s="226">
        <v>3.2707839999999992E-3</v>
      </c>
      <c r="J67" s="226">
        <v>9.5682639999999995E-4</v>
      </c>
      <c r="K67" s="226">
        <v>1.5148659999999997E-3</v>
      </c>
    </row>
    <row r="68" spans="1:11" x14ac:dyDescent="0.25">
      <c r="A68" s="224">
        <v>3.15E-7</v>
      </c>
      <c r="B68" s="225">
        <f t="shared" si="1"/>
        <v>6.3061675474285714E-19</v>
      </c>
      <c r="C68" s="226">
        <v>3.4827016381507092E-2</v>
      </c>
      <c r="D68" s="226">
        <v>2.891351E-2</v>
      </c>
      <c r="E68" s="226">
        <v>2.3685039999999997E-2</v>
      </c>
      <c r="F68" s="226">
        <v>2.1053899999999997E-2</v>
      </c>
      <c r="G68" s="226">
        <v>1.6183919999999997E-2</v>
      </c>
      <c r="H68" s="226">
        <v>5.4759509999999997E-3</v>
      </c>
      <c r="I68" s="226">
        <v>3.3797329999999993E-3</v>
      </c>
      <c r="J68" s="226">
        <v>1.6706150000000001E-3</v>
      </c>
      <c r="K68" s="226">
        <v>2.6449339999999994E-3</v>
      </c>
    </row>
    <row r="69" spans="1:11" x14ac:dyDescent="0.25">
      <c r="A69" s="224">
        <v>3.1600000000000002E-7</v>
      </c>
      <c r="B69" s="225">
        <f t="shared" si="1"/>
        <v>6.2862113210126574E-19</v>
      </c>
      <c r="C69" s="226">
        <v>3.3892900946831742E-2</v>
      </c>
      <c r="D69" s="226">
        <v>2.8973049999999997E-2</v>
      </c>
      <c r="E69" s="226">
        <v>2.3535009999999999E-2</v>
      </c>
      <c r="F69" s="226">
        <v>2.1250039999999998E-2</v>
      </c>
      <c r="G69" s="226">
        <v>1.4357969999999998E-2</v>
      </c>
      <c r="H69" s="226">
        <v>4.9382909999999992E-3</v>
      </c>
      <c r="I69" s="226">
        <v>3.7996999999999996E-3</v>
      </c>
      <c r="J69" s="226">
        <v>1.7001089999999998E-3</v>
      </c>
      <c r="K69" s="226">
        <v>2.6916959999999995E-3</v>
      </c>
    </row>
    <row r="70" spans="1:11" x14ac:dyDescent="0.25">
      <c r="A70" s="224">
        <v>3.1699999999999999E-7</v>
      </c>
      <c r="B70" s="225">
        <f t="shared" si="1"/>
        <v>6.2663810013880126E-19</v>
      </c>
      <c r="C70" s="226">
        <v>3.4438926101201292E-2</v>
      </c>
      <c r="D70" s="226">
        <v>2.9031499999999991E-2</v>
      </c>
      <c r="E70" s="226">
        <v>2.3772069999999999E-2</v>
      </c>
      <c r="F70" s="226">
        <v>2.0897139999999995E-2</v>
      </c>
      <c r="G70" s="226">
        <v>1.6695789999999999E-2</v>
      </c>
      <c r="H70" s="226">
        <v>6.2148689999999987E-3</v>
      </c>
      <c r="I70" s="226">
        <v>4.7798789999999999E-3</v>
      </c>
      <c r="J70" s="226">
        <v>1.1004659999999998E-3</v>
      </c>
      <c r="K70" s="226">
        <v>1.7423E-3</v>
      </c>
    </row>
    <row r="71" spans="1:11" x14ac:dyDescent="0.25">
      <c r="A71" s="224">
        <v>3.1800000000000002E-7</v>
      </c>
      <c r="B71" s="225">
        <f t="shared" si="1"/>
        <v>6.2466754007547165E-19</v>
      </c>
      <c r="C71" s="226">
        <v>3.3230007647487264E-2</v>
      </c>
      <c r="D71" s="226">
        <v>2.9089939999999995E-2</v>
      </c>
      <c r="E71" s="226">
        <v>2.4009119999999998E-2</v>
      </c>
      <c r="F71" s="226">
        <v>2.0544239999999998E-2</v>
      </c>
      <c r="G71" s="226">
        <v>1.6771099999999997E-2</v>
      </c>
      <c r="H71" s="226">
        <v>6.3076449999999989E-3</v>
      </c>
      <c r="I71" s="226">
        <v>4.9341630000000001E-3</v>
      </c>
      <c r="J71" s="226">
        <v>1.5119029999999998E-3</v>
      </c>
      <c r="K71" s="226">
        <v>2.3936829999999993E-3</v>
      </c>
    </row>
    <row r="72" spans="1:11" x14ac:dyDescent="0.25">
      <c r="A72" s="224">
        <v>3.1900000000000004E-7</v>
      </c>
      <c r="B72" s="225">
        <f t="shared" si="1"/>
        <v>6.2270933462068953E-19</v>
      </c>
      <c r="C72" s="226">
        <v>3.3735548434085945E-2</v>
      </c>
      <c r="D72" s="226">
        <v>2.9089939999999995E-2</v>
      </c>
      <c r="E72" s="226">
        <v>2.4403859999999996E-2</v>
      </c>
      <c r="F72" s="226">
        <v>2.1313840000000001E-2</v>
      </c>
      <c r="G72" s="226">
        <v>1.6445129999999999E-2</v>
      </c>
      <c r="H72" s="226">
        <v>5.99681E-3</v>
      </c>
      <c r="I72" s="226">
        <v>4.4694829999999998E-3</v>
      </c>
      <c r="J72" s="226">
        <v>1.6589759999999997E-3</v>
      </c>
      <c r="K72" s="226">
        <v>2.6265429999999994E-3</v>
      </c>
    </row>
    <row r="73" spans="1:11" x14ac:dyDescent="0.25">
      <c r="A73" s="224">
        <v>3.2000000000000001E-7</v>
      </c>
      <c r="B73" s="225">
        <f t="shared" si="1"/>
        <v>6.2076336794999994E-19</v>
      </c>
      <c r="C73" s="226">
        <v>3.4174798325445926E-2</v>
      </c>
      <c r="D73" s="226">
        <v>2.9089939999999995E-2</v>
      </c>
      <c r="E73" s="226">
        <v>2.4798949999999997E-2</v>
      </c>
      <c r="F73" s="226">
        <v>2.2083789999999996E-2</v>
      </c>
      <c r="G73" s="226">
        <v>1.6957369999999999E-2</v>
      </c>
      <c r="H73" s="226">
        <v>6.2912079999999995E-3</v>
      </c>
      <c r="I73" s="226">
        <v>4.2801009999999997E-3</v>
      </c>
      <c r="J73" s="226">
        <v>2.2072569999999998E-3</v>
      </c>
      <c r="K73" s="226">
        <v>3.4946159999999994E-3</v>
      </c>
    </row>
    <row r="74" spans="1:11" x14ac:dyDescent="0.25">
      <c r="A74" s="224">
        <v>3.2100000000000003E-7</v>
      </c>
      <c r="B74" s="225">
        <f t="shared" si="1"/>
        <v>6.1882952568224295E-19</v>
      </c>
      <c r="C74" s="226">
        <v>3.3589507462686526E-2</v>
      </c>
      <c r="D74" s="226">
        <v>2.8777260000000002E-2</v>
      </c>
      <c r="E74" s="226">
        <v>2.4403859999999996E-2</v>
      </c>
      <c r="F74" s="226">
        <v>2.1993379999999996E-2</v>
      </c>
      <c r="G74" s="226">
        <v>1.6442949999999998E-2</v>
      </c>
      <c r="H74" s="226">
        <v>5.9982709999999986E-3</v>
      </c>
      <c r="I74" s="226">
        <v>4.0808479999999989E-3</v>
      </c>
      <c r="J74" s="226">
        <v>2.1044979999999998E-3</v>
      </c>
      <c r="K74" s="226">
        <v>3.3318979999999994E-3</v>
      </c>
    </row>
    <row r="75" spans="1:11" x14ac:dyDescent="0.25">
      <c r="A75" s="224">
        <v>3.22E-7</v>
      </c>
      <c r="B75" s="225">
        <f t="shared" si="1"/>
        <v>6.1690769485714288E-19</v>
      </c>
      <c r="C75" s="226">
        <v>3.357199235529669E-2</v>
      </c>
      <c r="D75" s="226">
        <v>2.8464939999999998E-2</v>
      </c>
      <c r="E75" s="226">
        <v>2.4009119999999998E-2</v>
      </c>
      <c r="F75" s="226">
        <v>2.1903339999999997E-2</v>
      </c>
      <c r="G75" s="226">
        <v>1.592853E-2</v>
      </c>
      <c r="H75" s="226">
        <v>5.7053339999999994E-3</v>
      </c>
      <c r="I75" s="226">
        <v>3.8812289999999995E-3</v>
      </c>
      <c r="J75" s="226">
        <v>2.0017019999999997E-3</v>
      </c>
      <c r="K75" s="226">
        <v>3.1691799999999997E-3</v>
      </c>
    </row>
    <row r="76" spans="1:11" x14ac:dyDescent="0.25">
      <c r="A76" s="224">
        <v>3.2300000000000002E-7</v>
      </c>
      <c r="B76" s="225">
        <f t="shared" si="1"/>
        <v>6.1499776391331268E-19</v>
      </c>
      <c r="C76" s="226">
        <v>3.2923428467418997E-2</v>
      </c>
      <c r="D76" s="226">
        <v>2.8285579999999998E-2</v>
      </c>
      <c r="E76" s="226">
        <v>2.4009119999999998E-2</v>
      </c>
      <c r="F76" s="226">
        <v>2.2086349999999998E-2</v>
      </c>
      <c r="G76" s="226">
        <v>1.7680979999999995E-2</v>
      </c>
      <c r="H76" s="226">
        <v>6.5238779999999994E-3</v>
      </c>
      <c r="I76" s="226">
        <v>4.4384070000000001E-3</v>
      </c>
      <c r="J76" s="226">
        <v>2.2889450000000001E-3</v>
      </c>
      <c r="K76" s="226">
        <v>3.6239379999999993E-3</v>
      </c>
    </row>
    <row r="77" spans="1:11" x14ac:dyDescent="0.25">
      <c r="A77" s="224">
        <v>3.2399999999999999E-7</v>
      </c>
      <c r="B77" s="225">
        <f t="shared" si="1"/>
        <v>6.1309962266666666E-19</v>
      </c>
      <c r="C77" s="226">
        <v>3.2929593010556979E-2</v>
      </c>
      <c r="D77" s="226">
        <v>2.8106229999999999E-2</v>
      </c>
      <c r="E77" s="226">
        <v>2.4009119999999998E-2</v>
      </c>
      <c r="F77" s="226">
        <v>2.2269359999999998E-2</v>
      </c>
      <c r="G77" s="226">
        <v>1.9433069999999997E-2</v>
      </c>
      <c r="H77" s="226">
        <v>7.3427859999999987E-3</v>
      </c>
      <c r="I77" s="226">
        <v>4.9952180000000001E-3</v>
      </c>
      <c r="J77" s="226">
        <v>2.5761879999999997E-3</v>
      </c>
      <c r="K77" s="226">
        <v>4.0788789999999997E-3</v>
      </c>
    </row>
    <row r="78" spans="1:11" x14ac:dyDescent="0.25">
      <c r="A78" s="224">
        <v>3.2500000000000001E-7</v>
      </c>
      <c r="B78" s="225">
        <f t="shared" si="1"/>
        <v>6.1121316228923073E-19</v>
      </c>
      <c r="C78" s="226">
        <v>3.3213032751091692E-2</v>
      </c>
      <c r="D78" s="226">
        <v>2.9203914999999997E-2</v>
      </c>
      <c r="E78" s="226">
        <v>2.5520319999999999E-2</v>
      </c>
      <c r="F78" s="226">
        <v>2.4048244999999999E-2</v>
      </c>
      <c r="G78" s="226">
        <v>1.9738484999999997E-2</v>
      </c>
      <c r="H78" s="226">
        <v>8.2265285E-3</v>
      </c>
      <c r="I78" s="226">
        <v>5.3725194999999998E-3</v>
      </c>
      <c r="J78" s="226">
        <v>2.5048379999999997E-3</v>
      </c>
      <c r="K78" s="226">
        <v>3.9657994999999996E-3</v>
      </c>
    </row>
    <row r="79" spans="1:11" x14ac:dyDescent="0.25">
      <c r="A79" s="224">
        <v>3.2600000000000003E-7</v>
      </c>
      <c r="B79" s="225">
        <f t="shared" si="1"/>
        <v>6.0933827528834351E-19</v>
      </c>
      <c r="C79" s="226">
        <v>3.3429611576265006E-2</v>
      </c>
      <c r="D79" s="226">
        <v>3.0301599999999995E-2</v>
      </c>
      <c r="E79" s="226">
        <v>2.7031519999999996E-2</v>
      </c>
      <c r="F79" s="226">
        <v>2.582713E-2</v>
      </c>
      <c r="G79" s="226">
        <v>2.0043899999999996E-2</v>
      </c>
      <c r="H79" s="226">
        <v>9.1102709999999996E-3</v>
      </c>
      <c r="I79" s="226">
        <v>5.7498209999999996E-3</v>
      </c>
      <c r="J79" s="226">
        <v>2.4334880000000001E-3</v>
      </c>
      <c r="K79" s="226">
        <v>3.8527199999999996E-3</v>
      </c>
    </row>
    <row r="80" spans="1:11" x14ac:dyDescent="0.25">
      <c r="A80" s="224">
        <v>3.27E-7</v>
      </c>
      <c r="B80" s="225">
        <f t="shared" si="1"/>
        <v>6.0747485548623849E-19</v>
      </c>
      <c r="C80" s="226">
        <v>3.3401945394976332E-2</v>
      </c>
      <c r="D80" s="226">
        <v>3.1059929999999999E-2</v>
      </c>
      <c r="E80" s="226">
        <v>2.8502659999999999E-2</v>
      </c>
      <c r="F80" s="226">
        <v>2.3481889999999995E-2</v>
      </c>
      <c r="G80" s="226">
        <v>2.1750879999999997E-2</v>
      </c>
      <c r="H80" s="226">
        <v>1.0263029999999999E-2</v>
      </c>
      <c r="I80" s="226">
        <v>5.9933109999999986E-3</v>
      </c>
      <c r="J80" s="226">
        <v>2.3495239999999995E-3</v>
      </c>
      <c r="K80" s="226">
        <v>1.5915999999999996E-2</v>
      </c>
    </row>
    <row r="81" spans="1:11" x14ac:dyDescent="0.25">
      <c r="A81" s="224">
        <v>3.2800000000000003E-7</v>
      </c>
      <c r="B81" s="225">
        <f t="shared" si="1"/>
        <v>6.0562279799999991E-19</v>
      </c>
      <c r="C81" s="226">
        <v>3.3015337336244524E-2</v>
      </c>
      <c r="D81" s="226">
        <v>2.7017669999999994E-2</v>
      </c>
      <c r="E81" s="226">
        <v>2.4231979999999997E-2</v>
      </c>
      <c r="F81" s="226">
        <v>2.4905519999999997E-2</v>
      </c>
      <c r="G81" s="226">
        <v>1.9364309999999999E-2</v>
      </c>
      <c r="H81" s="226">
        <v>9.099313999999999E-3</v>
      </c>
      <c r="I81" s="226">
        <v>5.7702940000000005E-3</v>
      </c>
      <c r="J81" s="226">
        <v>2.6919240000000001E-3</v>
      </c>
      <c r="K81" s="226">
        <v>5.6583519999999984E-3</v>
      </c>
    </row>
    <row r="82" spans="1:11" x14ac:dyDescent="0.25">
      <c r="A82" s="224">
        <v>3.2899999999999999E-7</v>
      </c>
      <c r="B82" s="225">
        <f t="shared" si="1"/>
        <v>6.0378199922188448E-19</v>
      </c>
      <c r="C82" s="226">
        <v>3.3314721514379322E-2</v>
      </c>
      <c r="D82" s="226">
        <v>3.0239129999999993E-2</v>
      </c>
      <c r="E82" s="226">
        <v>2.8452049999999996E-2</v>
      </c>
      <c r="F82" s="226">
        <v>2.6169819999999993E-2</v>
      </c>
      <c r="G82" s="226">
        <v>2.049902E-2</v>
      </c>
      <c r="H82" s="226">
        <v>9.7030850000000002E-3</v>
      </c>
      <c r="I82" s="226">
        <v>6.4488509999999994E-3</v>
      </c>
      <c r="J82" s="226">
        <v>2.9503589999999996E-3</v>
      </c>
      <c r="K82" s="226">
        <v>6.1929759999999993E-3</v>
      </c>
    </row>
    <row r="83" spans="1:11" x14ac:dyDescent="0.25">
      <c r="A83" s="224">
        <v>3.3000000000000002E-7</v>
      </c>
      <c r="B83" s="225">
        <f t="shared" si="1"/>
        <v>6.0195235679999996E-19</v>
      </c>
      <c r="C83" s="226">
        <v>3.3496275836972338E-2</v>
      </c>
      <c r="D83" s="226">
        <v>3.1703569999999993E-2</v>
      </c>
      <c r="E83" s="226">
        <v>2.8289999999999996E-2</v>
      </c>
      <c r="F83" s="226">
        <v>2.545528E-2</v>
      </c>
      <c r="G83" s="226">
        <v>2.1772339999999998E-2</v>
      </c>
      <c r="H83" s="226">
        <v>1.1235339999999998E-2</v>
      </c>
      <c r="I83" s="226">
        <v>7.2736489999999984E-3</v>
      </c>
      <c r="J83" s="226">
        <v>2.7109719999999999E-3</v>
      </c>
      <c r="K83" s="226">
        <v>2.286649E-3</v>
      </c>
    </row>
    <row r="84" spans="1:11" x14ac:dyDescent="0.25">
      <c r="A84" s="224">
        <v>3.3099999999999999E-7</v>
      </c>
      <c r="B84" s="225">
        <f t="shared" si="1"/>
        <v>6.0013376961933537E-19</v>
      </c>
      <c r="C84" s="226">
        <v>3.3203901382823857E-2</v>
      </c>
      <c r="D84" s="226">
        <v>3.0223789999999997E-2</v>
      </c>
      <c r="E84" s="226">
        <v>2.7948799999999999E-2</v>
      </c>
      <c r="F84" s="226">
        <v>2.5230709999999996E-2</v>
      </c>
      <c r="G84" s="226">
        <v>2.0956329999999995E-2</v>
      </c>
      <c r="H84" s="226">
        <v>1.0155639999999999E-2</v>
      </c>
      <c r="I84" s="226">
        <v>6.2835989999999991E-3</v>
      </c>
      <c r="J84" s="226">
        <v>2.3494869999999999E-3</v>
      </c>
      <c r="K84" s="226">
        <v>2.784417E-3</v>
      </c>
    </row>
    <row r="85" spans="1:11" x14ac:dyDescent="0.25">
      <c r="A85" s="224">
        <v>3.3200000000000001E-7</v>
      </c>
      <c r="B85" s="225">
        <f t="shared" si="1"/>
        <v>5.9832613778313254E-19</v>
      </c>
      <c r="C85" s="226">
        <v>3.3087401018922866E-2</v>
      </c>
      <c r="D85" s="226">
        <v>2.9684999999999996E-2</v>
      </c>
      <c r="E85" s="226">
        <v>2.8378129999999991E-2</v>
      </c>
      <c r="F85" s="226">
        <v>2.5128629999999999E-2</v>
      </c>
      <c r="G85" s="226">
        <v>2.0840269999999998E-2</v>
      </c>
      <c r="H85" s="226">
        <v>9.4985409999999992E-3</v>
      </c>
      <c r="I85" s="226">
        <v>6.5402519999999981E-3</v>
      </c>
      <c r="J85" s="226">
        <v>3.216928E-3</v>
      </c>
      <c r="K85" s="226">
        <v>8.8435189999999993E-3</v>
      </c>
    </row>
    <row r="86" spans="1:11" x14ac:dyDescent="0.25">
      <c r="A86" s="224">
        <v>3.3300000000000003E-7</v>
      </c>
      <c r="B86" s="225">
        <f t="shared" si="1"/>
        <v>5.9652936259459457E-19</v>
      </c>
      <c r="C86" s="226">
        <v>3.2725778748180487E-2</v>
      </c>
      <c r="D86" s="226">
        <v>2.9398609999999995E-2</v>
      </c>
      <c r="E86" s="226">
        <v>2.7980479999999999E-2</v>
      </c>
      <c r="F86" s="226">
        <v>2.4730159999999998E-2</v>
      </c>
      <c r="G86" s="226">
        <v>2.0029349999999998E-2</v>
      </c>
      <c r="H86" s="226">
        <v>9.7933040000000009E-3</v>
      </c>
      <c r="I86" s="226">
        <v>6.4386149999999974E-3</v>
      </c>
      <c r="J86" s="226">
        <v>2.9921789999999993E-3</v>
      </c>
      <c r="K86" s="226">
        <v>3.4260029999999995E-3</v>
      </c>
    </row>
    <row r="87" spans="1:11" x14ac:dyDescent="0.25">
      <c r="A87" s="224">
        <v>3.34E-7</v>
      </c>
      <c r="B87" s="225">
        <f t="shared" si="1"/>
        <v>5.9474334653892218E-19</v>
      </c>
      <c r="C87" s="226">
        <v>3.2204831816527113E-2</v>
      </c>
      <c r="D87" s="226">
        <v>3.0222699999999998E-2</v>
      </c>
      <c r="E87" s="226">
        <v>2.7024969999999999E-2</v>
      </c>
      <c r="F87" s="226">
        <v>2.4769899999999997E-2</v>
      </c>
      <c r="G87" s="226">
        <v>1.9731389999999998E-2</v>
      </c>
      <c r="H87" s="226">
        <v>9.3104319999999987E-3</v>
      </c>
      <c r="I87" s="226">
        <v>6.6839330000000004E-3</v>
      </c>
      <c r="J87" s="226">
        <v>3.4450380000000001E-3</v>
      </c>
      <c r="K87" s="226">
        <v>1.7667009999999996E-3</v>
      </c>
    </row>
    <row r="88" spans="1:11" x14ac:dyDescent="0.25">
      <c r="A88" s="224">
        <v>3.3500000000000002E-7</v>
      </c>
      <c r="B88" s="225">
        <f t="shared" si="1"/>
        <v>5.9296799326567161E-19</v>
      </c>
      <c r="C88" s="226">
        <v>3.2023820960698682E-2</v>
      </c>
      <c r="D88" s="226">
        <v>2.8989849999999998E-2</v>
      </c>
      <c r="E88" s="226">
        <v>2.9106419999999997E-2</v>
      </c>
      <c r="F88" s="226">
        <v>2.3983540000000001E-2</v>
      </c>
      <c r="G88" s="226">
        <v>2.079261E-2</v>
      </c>
      <c r="H88" s="226">
        <v>9.8236209999999977E-3</v>
      </c>
      <c r="I88" s="226">
        <v>7.2955850000000003E-3</v>
      </c>
      <c r="J88" s="226">
        <v>3.3295189999999995E-3</v>
      </c>
      <c r="K88" s="226">
        <v>1.131452E-2</v>
      </c>
    </row>
    <row r="89" spans="1:11" x14ac:dyDescent="0.25">
      <c r="A89" s="224">
        <v>3.3599999999999999E-7</v>
      </c>
      <c r="B89" s="225">
        <f t="shared" si="1"/>
        <v>5.9120320757142853E-19</v>
      </c>
      <c r="C89" s="226">
        <v>3.2069366448326052E-2</v>
      </c>
      <c r="D89" s="226">
        <v>2.9437700000000001E-2</v>
      </c>
      <c r="E89" s="226">
        <v>2.8602799999999998E-2</v>
      </c>
      <c r="F89" s="226">
        <v>2.342174E-2</v>
      </c>
      <c r="G89" s="226">
        <v>1.9624799999999998E-2</v>
      </c>
      <c r="H89" s="226">
        <v>8.903168999999999E-3</v>
      </c>
      <c r="I89" s="226">
        <v>6.0682589999999986E-3</v>
      </c>
      <c r="J89" s="226">
        <v>2.6746459999999993E-3</v>
      </c>
      <c r="K89" s="226">
        <v>8.156664999999997E-3</v>
      </c>
    </row>
    <row r="90" spans="1:11" x14ac:dyDescent="0.25">
      <c r="A90" s="224">
        <v>3.3700000000000001E-7</v>
      </c>
      <c r="B90" s="225">
        <f t="shared" si="1"/>
        <v>5.8944889538278927E-19</v>
      </c>
      <c r="C90" s="226">
        <v>3.2182731441048031E-2</v>
      </c>
      <c r="D90" s="226">
        <v>2.8887939999999997E-2</v>
      </c>
      <c r="E90" s="226">
        <v>2.681704E-2</v>
      </c>
      <c r="F90" s="226">
        <v>2.3758599999999998E-2</v>
      </c>
      <c r="G90" s="226">
        <v>1.8829149999999996E-2</v>
      </c>
      <c r="H90" s="226">
        <v>7.6821119999999996E-3</v>
      </c>
      <c r="I90" s="226">
        <v>5.6251500000000006E-3</v>
      </c>
      <c r="J90" s="226">
        <v>3.0233359999999997E-3</v>
      </c>
      <c r="K90" s="226">
        <v>5.0720129999999993E-3</v>
      </c>
    </row>
    <row r="91" spans="1:11" x14ac:dyDescent="0.25">
      <c r="A91" s="224">
        <v>3.3800000000000004E-7</v>
      </c>
      <c r="B91" s="225">
        <f t="shared" si="1"/>
        <v>5.877049637396449E-19</v>
      </c>
      <c r="C91" s="226">
        <v>3.2046939592430865E-2</v>
      </c>
      <c r="D91" s="226">
        <v>2.8133259999999993E-2</v>
      </c>
      <c r="E91" s="226">
        <v>2.7803139999999997E-2</v>
      </c>
      <c r="F91" s="226">
        <v>2.4861770000000002E-2</v>
      </c>
      <c r="G91" s="226">
        <v>1.7732999999999995E-2</v>
      </c>
      <c r="H91" s="226">
        <v>8.5039429999999982E-3</v>
      </c>
      <c r="I91" s="226">
        <v>5.892404999999999E-3</v>
      </c>
      <c r="J91" s="226">
        <v>3.1165169999999996E-3</v>
      </c>
      <c r="K91" s="226">
        <v>1.6653479999999999E-3</v>
      </c>
    </row>
    <row r="92" spans="1:11" x14ac:dyDescent="0.25">
      <c r="A92" s="224">
        <v>3.39E-7</v>
      </c>
      <c r="B92" s="225">
        <f t="shared" si="1"/>
        <v>5.85971320778761E-19</v>
      </c>
      <c r="C92" s="226">
        <v>3.2188286026200857E-2</v>
      </c>
      <c r="D92" s="226">
        <v>2.9100169999999995E-2</v>
      </c>
      <c r="E92" s="226">
        <v>2.7945519999999995E-2</v>
      </c>
      <c r="F92" s="226">
        <v>2.5674739999999998E-2</v>
      </c>
      <c r="G92" s="226">
        <v>1.9710290000000002E-2</v>
      </c>
      <c r="H92" s="226">
        <v>9.7008929999999986E-3</v>
      </c>
      <c r="I92" s="226">
        <v>6.4737119999999987E-3</v>
      </c>
      <c r="J92" s="226">
        <v>3.7709919999999999E-3</v>
      </c>
      <c r="K92" s="226">
        <v>7.386776999999998E-3</v>
      </c>
    </row>
    <row r="93" spans="1:11" x14ac:dyDescent="0.25">
      <c r="A93" s="224">
        <v>3.4000000000000003E-7</v>
      </c>
      <c r="B93" s="225">
        <f t="shared" si="1"/>
        <v>5.8424787571764702E-19</v>
      </c>
      <c r="C93" s="226">
        <v>3.240202620087336E-2</v>
      </c>
      <c r="D93" s="226">
        <v>2.9336149999999995E-2</v>
      </c>
      <c r="E93" s="226">
        <v>2.8542359999999992E-2</v>
      </c>
      <c r="F93" s="226">
        <v>2.5275909999999995E-2</v>
      </c>
      <c r="G93" s="226">
        <v>2.1138959999999995E-2</v>
      </c>
      <c r="H93" s="226">
        <v>1.0172079999999998E-2</v>
      </c>
      <c r="I93" s="226">
        <v>7.0151679999999987E-3</v>
      </c>
      <c r="J93" s="226">
        <v>3.8931609999999996E-3</v>
      </c>
      <c r="K93" s="226">
        <v>7.7404009999999983E-3</v>
      </c>
    </row>
    <row r="94" spans="1:11" x14ac:dyDescent="0.25">
      <c r="A94" s="224">
        <v>3.41E-7</v>
      </c>
      <c r="B94" s="225">
        <f t="shared" si="1"/>
        <v>5.8253453883870972E-19</v>
      </c>
      <c r="C94" s="226">
        <v>3.2201300582241611E-2</v>
      </c>
      <c r="D94" s="226">
        <v>3.0377939999999996E-2</v>
      </c>
      <c r="E94" s="226">
        <v>2.8440759999999992E-2</v>
      </c>
      <c r="F94" s="226">
        <v>2.5231430000000003E-2</v>
      </c>
      <c r="G94" s="226">
        <v>2.1252829999999997E-2</v>
      </c>
      <c r="H94" s="226">
        <v>9.4799120000000001E-3</v>
      </c>
      <c r="I94" s="226">
        <v>6.4726149999999993E-3</v>
      </c>
      <c r="J94" s="226">
        <v>3.5993399999999995E-3</v>
      </c>
      <c r="K94" s="226">
        <v>8.0852839999999981E-3</v>
      </c>
    </row>
    <row r="95" spans="1:11" x14ac:dyDescent="0.25">
      <c r="A95" s="224">
        <v>3.4200000000000002E-7</v>
      </c>
      <c r="B95" s="225">
        <f t="shared" si="1"/>
        <v>5.8083122147368416E-19</v>
      </c>
      <c r="C95" s="226">
        <v>3.210361426491995E-2</v>
      </c>
      <c r="D95" s="226">
        <v>3.0350549999999997E-2</v>
      </c>
      <c r="E95" s="226">
        <v>2.8359559999999999E-2</v>
      </c>
      <c r="F95" s="226">
        <v>2.5065559999999997E-2</v>
      </c>
      <c r="G95" s="226">
        <v>2.0421529999999997E-2</v>
      </c>
      <c r="H95" s="226">
        <v>9.7019889999999994E-3</v>
      </c>
      <c r="I95" s="226">
        <v>6.8246900000000004E-3</v>
      </c>
      <c r="J95" s="226">
        <v>3.803884E-3</v>
      </c>
      <c r="K95" s="226">
        <v>6.4566459999999999E-3</v>
      </c>
    </row>
    <row r="96" spans="1:11" x14ac:dyDescent="0.25">
      <c r="A96" s="224">
        <v>3.4299999999999999E-7</v>
      </c>
      <c r="B96" s="225">
        <f t="shared" si="1"/>
        <v>5.7913783598833817E-19</v>
      </c>
      <c r="C96" s="226">
        <v>3.2344067321688492E-2</v>
      </c>
      <c r="D96" s="226">
        <v>2.9355139999999995E-2</v>
      </c>
      <c r="E96" s="226">
        <v>2.9053619999999995E-2</v>
      </c>
      <c r="F96" s="226">
        <v>2.4067749999999995E-2</v>
      </c>
      <c r="G96" s="226">
        <v>2.1426729999999998E-2</v>
      </c>
      <c r="H96" s="226">
        <v>1.0145779999999997E-2</v>
      </c>
      <c r="I96" s="226">
        <v>7.1811519999999988E-3</v>
      </c>
      <c r="J96" s="226">
        <v>3.4945559999999994E-3</v>
      </c>
      <c r="K96" s="226">
        <v>4.8647909999999994E-3</v>
      </c>
    </row>
    <row r="97" spans="1:11" x14ac:dyDescent="0.25">
      <c r="A97" s="224">
        <v>3.4400000000000001E-7</v>
      </c>
      <c r="B97" s="225">
        <f t="shared" si="1"/>
        <v>5.7745429576744184E-19</v>
      </c>
      <c r="C97" s="226">
        <v>3.1774171761280952E-2</v>
      </c>
      <c r="D97" s="226">
        <v>2.7816919999999995E-2</v>
      </c>
      <c r="E97" s="226">
        <v>2.7678239999999996E-2</v>
      </c>
      <c r="F97" s="226">
        <v>2.4411530000000001E-2</v>
      </c>
      <c r="G97" s="226">
        <v>1.9457809999999999E-2</v>
      </c>
      <c r="H97" s="226">
        <v>7.4373879999999988E-3</v>
      </c>
      <c r="I97" s="226">
        <v>5.0208099999999997E-3</v>
      </c>
      <c r="J97" s="226">
        <v>3.3671459999999997E-3</v>
      </c>
      <c r="K97" s="226">
        <v>9.7434219999999981E-3</v>
      </c>
    </row>
    <row r="98" spans="1:11" x14ac:dyDescent="0.25">
      <c r="A98" s="224">
        <v>3.4500000000000003E-7</v>
      </c>
      <c r="B98" s="225">
        <f t="shared" si="1"/>
        <v>5.7578051519999989E-19</v>
      </c>
      <c r="C98" s="226">
        <v>3.2035269286753987E-2</v>
      </c>
      <c r="D98" s="226">
        <v>2.9255049999999991E-2</v>
      </c>
      <c r="E98" s="226">
        <v>2.6298129999999996E-2</v>
      </c>
      <c r="F98" s="226">
        <v>2.5399499999999998E-2</v>
      </c>
      <c r="G98" s="226">
        <v>1.8947389999999998E-2</v>
      </c>
      <c r="H98" s="226">
        <v>8.0959489999999981E-3</v>
      </c>
      <c r="I98" s="226">
        <v>5.3589919999999999E-3</v>
      </c>
      <c r="J98" s="226">
        <v>2.9394069999999994E-3</v>
      </c>
      <c r="K98" s="226">
        <v>9.2160809999999975E-3</v>
      </c>
    </row>
    <row r="99" spans="1:11" x14ac:dyDescent="0.25">
      <c r="A99" s="224">
        <v>3.46E-7</v>
      </c>
      <c r="B99" s="225">
        <f t="shared" si="1"/>
        <v>5.7411640966473987E-19</v>
      </c>
      <c r="C99" s="226">
        <v>3.1643543668122269E-2</v>
      </c>
      <c r="D99" s="226">
        <v>2.9068030000000002E-2</v>
      </c>
      <c r="E99" s="226">
        <v>2.7918579999999995E-2</v>
      </c>
      <c r="F99" s="226">
        <v>2.5354289999999995E-2</v>
      </c>
      <c r="G99" s="226">
        <v>2.0255639999999995E-2</v>
      </c>
      <c r="H99" s="226">
        <v>9.1288989999999993E-3</v>
      </c>
      <c r="I99" s="226">
        <v>6.3614719999999982E-3</v>
      </c>
      <c r="J99" s="226">
        <v>3.4764109999999996E-3</v>
      </c>
      <c r="K99" s="226">
        <v>5.9784709999999991E-3</v>
      </c>
    </row>
    <row r="100" spans="1:11" x14ac:dyDescent="0.25">
      <c r="A100" s="224">
        <v>3.4700000000000002E-7</v>
      </c>
      <c r="B100" s="225">
        <f t="shared" si="1"/>
        <v>5.7246189551585006E-19</v>
      </c>
      <c r="C100" s="226">
        <v>3.1825120087336241E-2</v>
      </c>
      <c r="D100" s="226">
        <v>2.9127199999999995E-2</v>
      </c>
      <c r="E100" s="226">
        <v>2.7274399999999997E-2</v>
      </c>
      <c r="F100" s="226">
        <v>2.4952179999999997E-2</v>
      </c>
      <c r="G100" s="226">
        <v>1.9434529999999998E-2</v>
      </c>
      <c r="H100" s="226">
        <v>8.6211899999999991E-3</v>
      </c>
      <c r="I100" s="226">
        <v>5.9351809999999994E-3</v>
      </c>
      <c r="J100" s="226">
        <v>3.4163389999999996E-3</v>
      </c>
      <c r="K100" s="226">
        <v>4.1207599999999994E-3</v>
      </c>
    </row>
    <row r="101" spans="1:11" x14ac:dyDescent="0.25">
      <c r="A101" s="224">
        <v>3.4799999999999999E-7</v>
      </c>
      <c r="B101" s="225">
        <f t="shared" si="1"/>
        <v>5.7081689006896548E-19</v>
      </c>
      <c r="C101" s="226">
        <v>3.1546999999999992E-2</v>
      </c>
      <c r="D101" s="226">
        <v>2.8363759999999998E-2</v>
      </c>
      <c r="E101" s="226">
        <v>2.7934229999999997E-2</v>
      </c>
      <c r="F101" s="226">
        <v>2.4982439999999995E-2</v>
      </c>
      <c r="G101" s="226">
        <v>1.9085999999999992E-2</v>
      </c>
      <c r="H101" s="226">
        <v>9.4075909999999999E-3</v>
      </c>
      <c r="I101" s="226">
        <v>6.4579909999999989E-3</v>
      </c>
      <c r="J101" s="226">
        <v>3.6303879999999992E-3</v>
      </c>
      <c r="K101" s="226">
        <v>4.8309219999999996E-3</v>
      </c>
    </row>
    <row r="102" spans="1:11" x14ac:dyDescent="0.25">
      <c r="A102" s="224">
        <v>3.4900000000000001E-7</v>
      </c>
      <c r="B102" s="225">
        <f t="shared" si="1"/>
        <v>5.6918131158739251E-19</v>
      </c>
      <c r="C102" s="226">
        <v>3.1217778020378451E-2</v>
      </c>
      <c r="D102" s="226">
        <v>2.8345490000000001E-2</v>
      </c>
      <c r="E102" s="226">
        <v>2.6493679999999999E-2</v>
      </c>
      <c r="F102" s="226">
        <v>2.5688959999999997E-2</v>
      </c>
      <c r="G102" s="226">
        <v>1.9122019999999993E-2</v>
      </c>
      <c r="H102" s="226">
        <v>8.8677389999999995E-3</v>
      </c>
      <c r="I102" s="226">
        <v>6.5409830000000002E-3</v>
      </c>
      <c r="J102" s="226">
        <v>3.3800489999999991E-3</v>
      </c>
      <c r="K102" s="226">
        <v>4.3203339999999995E-3</v>
      </c>
    </row>
    <row r="103" spans="1:11" x14ac:dyDescent="0.25">
      <c r="A103" s="224">
        <v>3.5000000000000004E-7</v>
      </c>
      <c r="B103" s="225">
        <f t="shared" si="1"/>
        <v>5.6755507926857133E-19</v>
      </c>
      <c r="C103" s="226">
        <v>3.1374091305929427E-2</v>
      </c>
      <c r="D103" s="226">
        <v>2.8112069999999999E-2</v>
      </c>
      <c r="E103" s="226">
        <v>2.7696809999999995E-2</v>
      </c>
      <c r="F103" s="226">
        <v>2.6270809999999995E-2</v>
      </c>
      <c r="G103" s="226">
        <v>2.0605259999999997E-2</v>
      </c>
      <c r="H103" s="226">
        <v>1.0540989999999997E-2</v>
      </c>
      <c r="I103" s="226">
        <v>7.3416509999999994E-3</v>
      </c>
      <c r="J103" s="226">
        <v>4.0724399999999992E-3</v>
      </c>
      <c r="K103" s="226">
        <v>7.3711159999999996E-3</v>
      </c>
    </row>
    <row r="104" spans="1:11" x14ac:dyDescent="0.25">
      <c r="A104" s="224">
        <v>3.5100000000000001E-7</v>
      </c>
      <c r="B104" s="225">
        <f t="shared" si="1"/>
        <v>5.659381132307692E-19</v>
      </c>
      <c r="C104" s="226">
        <v>3.1125632957439066E-2</v>
      </c>
      <c r="D104" s="226">
        <v>2.7668249999999998E-2</v>
      </c>
      <c r="E104" s="226">
        <v>2.8315129999999994E-2</v>
      </c>
      <c r="F104" s="226">
        <v>2.5987539999999996E-2</v>
      </c>
      <c r="G104" s="226">
        <v>2.2107409999999997E-2</v>
      </c>
      <c r="H104" s="226">
        <v>1.0822599999999998E-2</v>
      </c>
      <c r="I104" s="226">
        <v>7.6889729999999983E-3</v>
      </c>
      <c r="J104" s="226">
        <v>4.1075E-3</v>
      </c>
      <c r="K104" s="226">
        <v>8.5008209999999987E-3</v>
      </c>
    </row>
    <row r="105" spans="1:11" x14ac:dyDescent="0.25">
      <c r="A105" s="224">
        <v>3.5200000000000003E-7</v>
      </c>
      <c r="B105" s="225">
        <f t="shared" si="1"/>
        <v>5.6433033449999991E-19</v>
      </c>
      <c r="C105" s="226">
        <v>3.1455123726346429E-2</v>
      </c>
      <c r="D105" s="226">
        <v>2.7546969999999994E-2</v>
      </c>
      <c r="E105" s="226">
        <v>2.7400759999999993E-2</v>
      </c>
      <c r="F105" s="226">
        <v>2.6382729999999993E-2</v>
      </c>
      <c r="G105" s="226">
        <v>2.167084E-2</v>
      </c>
      <c r="H105" s="226">
        <v>9.0426979999999983E-3</v>
      </c>
      <c r="I105" s="226">
        <v>6.3497729999999995E-3</v>
      </c>
      <c r="J105" s="226">
        <v>3.7283409999999996E-3</v>
      </c>
      <c r="K105" s="226">
        <v>5.3633609999999996E-3</v>
      </c>
    </row>
    <row r="106" spans="1:11" x14ac:dyDescent="0.25">
      <c r="A106" s="224">
        <v>3.53E-7</v>
      </c>
      <c r="B106" s="225">
        <f t="shared" si="1"/>
        <v>5.6273166499716715E-19</v>
      </c>
      <c r="C106" s="226">
        <v>3.1221414332484536E-2</v>
      </c>
      <c r="D106" s="226">
        <v>2.74878E-2</v>
      </c>
      <c r="E106" s="226">
        <v>2.8374849999999997E-2</v>
      </c>
      <c r="F106" s="226">
        <v>2.7931029999999996E-2</v>
      </c>
      <c r="G106" s="226">
        <v>2.1751609999999998E-2</v>
      </c>
      <c r="H106" s="226">
        <v>1.0157469999999998E-2</v>
      </c>
      <c r="I106" s="226">
        <v>6.9515539999999987E-3</v>
      </c>
      <c r="J106" s="226">
        <v>4.5177449999999992E-3</v>
      </c>
      <c r="K106" s="226">
        <v>3.2220959999999994E-3</v>
      </c>
    </row>
    <row r="107" spans="1:11" x14ac:dyDescent="0.25">
      <c r="A107" s="224">
        <v>3.5400000000000002E-7</v>
      </c>
      <c r="B107" s="225">
        <f t="shared" si="1"/>
        <v>5.6114202752542365E-19</v>
      </c>
      <c r="C107" s="226">
        <v>3.1229935976718803E-2</v>
      </c>
      <c r="D107" s="226">
        <v>2.7471729999999989E-2</v>
      </c>
      <c r="E107" s="226">
        <v>3.0355069999999998E-2</v>
      </c>
      <c r="F107" s="226">
        <v>2.8670729999999995E-2</v>
      </c>
      <c r="G107" s="226">
        <v>2.3282499999999998E-2</v>
      </c>
      <c r="H107" s="226">
        <v>1.2277430000000001E-2</v>
      </c>
      <c r="I107" s="226">
        <v>8.3419379999999984E-3</v>
      </c>
      <c r="J107" s="226">
        <v>5.0114829999999997E-3</v>
      </c>
      <c r="K107" s="226">
        <v>4.3075869999999999E-3</v>
      </c>
    </row>
    <row r="108" spans="1:11" x14ac:dyDescent="0.25">
      <c r="A108" s="224">
        <v>3.5499999999999999E-7</v>
      </c>
      <c r="B108" s="225">
        <f t="shared" si="1"/>
        <v>5.5956134575774647E-19</v>
      </c>
      <c r="C108" s="226">
        <v>3.1376128046562382E-2</v>
      </c>
      <c r="D108" s="226">
        <v>2.8628219999999996E-2</v>
      </c>
      <c r="E108" s="226">
        <v>3.100433E-2</v>
      </c>
      <c r="F108" s="226">
        <v>2.7119139999999993E-2</v>
      </c>
      <c r="G108" s="226">
        <v>2.3921709999999999E-2</v>
      </c>
      <c r="H108" s="226">
        <v>1.1592199999999999E-2</v>
      </c>
      <c r="I108" s="226">
        <v>8.367529999999998E-3</v>
      </c>
      <c r="J108" s="226">
        <v>4.7208779999999995E-3</v>
      </c>
      <c r="K108" s="226">
        <v>1.0778799999999998E-3</v>
      </c>
    </row>
    <row r="109" spans="1:11" x14ac:dyDescent="0.25">
      <c r="A109" s="224">
        <v>3.5600000000000001E-7</v>
      </c>
      <c r="B109" s="225">
        <f t="shared" si="1"/>
        <v>5.5798954422471905E-19</v>
      </c>
      <c r="C109" s="226">
        <v>3.1081697344488905E-2</v>
      </c>
      <c r="D109" s="226">
        <v>2.798459E-2</v>
      </c>
      <c r="E109" s="226">
        <v>2.9780449999999997E-2</v>
      </c>
      <c r="F109" s="226">
        <v>2.4845729999999996E-2</v>
      </c>
      <c r="G109" s="226">
        <v>2.3448039999999996E-2</v>
      </c>
      <c r="H109" s="226">
        <v>9.5496769999999977E-3</v>
      </c>
      <c r="I109" s="226">
        <v>6.7884949999999994E-3</v>
      </c>
      <c r="J109" s="226">
        <v>3.6318339999999991E-3</v>
      </c>
      <c r="K109" s="226">
        <v>9.7241189999999981E-3</v>
      </c>
    </row>
    <row r="110" spans="1:11" x14ac:dyDescent="0.25">
      <c r="A110" s="224">
        <v>3.5700000000000003E-7</v>
      </c>
      <c r="B110" s="225">
        <f t="shared" si="1"/>
        <v>5.5642654830252094E-19</v>
      </c>
      <c r="C110" s="226">
        <v>3.0666332484539826E-2</v>
      </c>
      <c r="D110" s="226">
        <v>2.6866449999999997E-2</v>
      </c>
      <c r="E110" s="226">
        <v>2.7449559999999998E-2</v>
      </c>
      <c r="F110" s="226">
        <v>2.4006499999999997E-2</v>
      </c>
      <c r="G110" s="226">
        <v>2.0350589999999998E-2</v>
      </c>
      <c r="H110" s="226">
        <v>8.1050799999999989E-3</v>
      </c>
      <c r="I110" s="226">
        <v>5.5322869999999986E-3</v>
      </c>
      <c r="J110" s="226">
        <v>3.1176009999999998E-3</v>
      </c>
      <c r="K110" s="226">
        <v>4.3512889999999986E-3</v>
      </c>
    </row>
    <row r="111" spans="1:11" x14ac:dyDescent="0.25">
      <c r="A111" s="224">
        <v>3.58E-7</v>
      </c>
      <c r="B111" s="225">
        <f t="shared" si="1"/>
        <v>5.5487228420111731E-19</v>
      </c>
      <c r="C111" s="226">
        <v>3.0610155692979264E-2</v>
      </c>
      <c r="D111" s="226">
        <v>2.6980779999999996E-2</v>
      </c>
      <c r="E111" s="226">
        <v>2.6189989999999996E-2</v>
      </c>
      <c r="F111" s="226">
        <v>2.4963849999999996E-2</v>
      </c>
      <c r="G111" s="226">
        <v>1.8473349999999996E-2</v>
      </c>
      <c r="H111" s="226">
        <v>6.2627179999999996E-3</v>
      </c>
      <c r="I111" s="226">
        <v>4.3045959999999999E-3</v>
      </c>
      <c r="J111" s="226">
        <v>2.9233229999999998E-3</v>
      </c>
      <c r="K111" s="226">
        <v>1.0958339999999997E-3</v>
      </c>
    </row>
    <row r="112" spans="1:11" x14ac:dyDescent="0.25">
      <c r="A112" s="224">
        <v>3.5900000000000003E-7</v>
      </c>
      <c r="B112" s="225">
        <f t="shared" si="1"/>
        <v>5.533266789526462E-19</v>
      </c>
      <c r="C112" s="226">
        <v>3.0658622771917055E-2</v>
      </c>
      <c r="D112" s="226">
        <v>2.6601249999999996E-2</v>
      </c>
      <c r="E112" s="226">
        <v>2.7220879999999992E-2</v>
      </c>
      <c r="F112" s="226">
        <v>2.6517979999999997E-2</v>
      </c>
      <c r="G112" s="226">
        <v>1.9037979999999999E-2</v>
      </c>
      <c r="H112" s="226">
        <v>7.221520999999999E-3</v>
      </c>
      <c r="I112" s="226">
        <v>5.2741729999999992E-3</v>
      </c>
      <c r="J112" s="226">
        <v>3.2135660000000002E-3</v>
      </c>
      <c r="K112" s="226">
        <v>6.6256290000000001E-3</v>
      </c>
    </row>
    <row r="113" spans="1:11" x14ac:dyDescent="0.25">
      <c r="A113" s="224">
        <v>3.5999999999999999E-7</v>
      </c>
      <c r="B113" s="225">
        <f t="shared" si="1"/>
        <v>5.5178966040000002E-19</v>
      </c>
      <c r="C113" s="226">
        <v>3.0661583697234342E-2</v>
      </c>
      <c r="D113" s="226">
        <v>2.6124919999999996E-2</v>
      </c>
      <c r="E113" s="226">
        <v>2.9224399999999998E-2</v>
      </c>
      <c r="F113" s="226">
        <v>2.6098369999999996E-2</v>
      </c>
      <c r="G113" s="226">
        <v>2.2708419999999997E-2</v>
      </c>
      <c r="H113" s="226">
        <v>1.0177189999999997E-2</v>
      </c>
      <c r="I113" s="226">
        <v>6.6031349999999996E-3</v>
      </c>
      <c r="J113" s="226">
        <v>3.2130239999999997E-3</v>
      </c>
      <c r="K113" s="226">
        <v>1.1126959999999998E-3</v>
      </c>
    </row>
    <row r="114" spans="1:11" x14ac:dyDescent="0.25">
      <c r="A114" s="224">
        <v>3.6100000000000002E-7</v>
      </c>
      <c r="B114" s="225">
        <f t="shared" si="1"/>
        <v>5.502611571855955E-19</v>
      </c>
      <c r="C114" s="226">
        <v>3.0448321571480537E-2</v>
      </c>
      <c r="D114" s="226">
        <v>2.5946649999999998E-2</v>
      </c>
      <c r="E114" s="226">
        <v>2.7619979999999992E-2</v>
      </c>
      <c r="F114" s="226">
        <v>2.5438509999999998E-2</v>
      </c>
      <c r="G114" s="226">
        <v>2.0891209999999997E-2</v>
      </c>
      <c r="H114" s="226">
        <v>9.7041809999999992E-3</v>
      </c>
      <c r="I114" s="226">
        <v>6.764366E-3</v>
      </c>
      <c r="J114" s="226">
        <v>3.2554939999999994E-3</v>
      </c>
      <c r="K114" s="226">
        <v>9.4280359999999973E-3</v>
      </c>
    </row>
    <row r="115" spans="1:11" x14ac:dyDescent="0.25">
      <c r="A115" s="224">
        <v>3.6200000000000004E-7</v>
      </c>
      <c r="B115" s="225">
        <f t="shared" si="1"/>
        <v>5.4874109874033142E-19</v>
      </c>
      <c r="C115" s="226">
        <v>3.0455379410694795E-2</v>
      </c>
      <c r="D115" s="226">
        <v>2.6446369999999997E-2</v>
      </c>
      <c r="E115" s="226">
        <v>2.7786759999999997E-2</v>
      </c>
      <c r="F115" s="226">
        <v>2.6315649999999993E-2</v>
      </c>
      <c r="G115" s="226">
        <v>2.0885749999999998E-2</v>
      </c>
      <c r="H115" s="226">
        <v>9.7348629999999981E-3</v>
      </c>
      <c r="I115" s="226">
        <v>6.7369449999999994E-3</v>
      </c>
      <c r="J115" s="226">
        <v>3.8635229999999998E-3</v>
      </c>
      <c r="K115" s="226">
        <v>7.5703259999999988E-3</v>
      </c>
    </row>
    <row r="116" spans="1:11" x14ac:dyDescent="0.25">
      <c r="A116" s="224">
        <v>3.6300000000000001E-7</v>
      </c>
      <c r="B116" s="225">
        <f t="shared" si="1"/>
        <v>5.4722941527272728E-19</v>
      </c>
      <c r="C116" s="226">
        <v>3.0306499090578386E-2</v>
      </c>
      <c r="D116" s="226">
        <v>2.6973109999999995E-2</v>
      </c>
      <c r="E116" s="226">
        <v>2.782536E-2</v>
      </c>
      <c r="F116" s="226">
        <v>2.6706459999999998E-2</v>
      </c>
      <c r="G116" s="226">
        <v>2.1213899999999997E-2</v>
      </c>
      <c r="H116" s="226">
        <v>1.024513E-2</v>
      </c>
      <c r="I116" s="226">
        <v>7.3489629999999992E-3</v>
      </c>
      <c r="J116" s="226">
        <v>3.8158109999999992E-3</v>
      </c>
      <c r="K116" s="226">
        <v>3.4268769999999996E-3</v>
      </c>
    </row>
    <row r="117" spans="1:11" x14ac:dyDescent="0.25">
      <c r="A117" s="224">
        <v>3.6400000000000003E-7</v>
      </c>
      <c r="B117" s="225">
        <f t="shared" si="1"/>
        <v>5.4572603775824168E-19</v>
      </c>
      <c r="C117" s="226">
        <v>3.0362088395780282E-2</v>
      </c>
      <c r="D117" s="226">
        <v>2.6759779999999993E-2</v>
      </c>
      <c r="E117" s="226">
        <v>2.7697539999999993E-2</v>
      </c>
      <c r="F117" s="226">
        <v>2.7266429999999998E-2</v>
      </c>
      <c r="G117" s="226">
        <v>2.1604999999999999E-2</v>
      </c>
      <c r="H117" s="226">
        <v>1.06239E-2</v>
      </c>
      <c r="I117" s="226">
        <v>7.1738399999999999E-3</v>
      </c>
      <c r="J117" s="226">
        <v>3.8805109999999997E-3</v>
      </c>
      <c r="K117" s="226">
        <v>8.268105999999999E-3</v>
      </c>
    </row>
    <row r="118" spans="1:11" x14ac:dyDescent="0.25">
      <c r="A118" s="224">
        <v>3.65E-7</v>
      </c>
      <c r="B118" s="225">
        <f t="shared" si="1"/>
        <v>5.4423089792876713E-19</v>
      </c>
      <c r="C118" s="226">
        <v>3.0264964350672968E-2</v>
      </c>
      <c r="D118" s="226">
        <v>2.7466979999999995E-2</v>
      </c>
      <c r="E118" s="226">
        <v>2.9089299999999998E-2</v>
      </c>
      <c r="F118" s="226">
        <v>2.8903319999999996E-2</v>
      </c>
      <c r="G118" s="226">
        <v>2.3050759999999997E-2</v>
      </c>
      <c r="H118" s="226">
        <v>1.2090049999999998E-2</v>
      </c>
      <c r="I118" s="226">
        <v>8.5678799999999982E-3</v>
      </c>
      <c r="J118" s="226">
        <v>4.5506359999999994E-3</v>
      </c>
      <c r="K118" s="226">
        <v>7.3423459999999987E-3</v>
      </c>
    </row>
    <row r="119" spans="1:11" x14ac:dyDescent="0.25">
      <c r="A119" s="224">
        <v>3.6600000000000002E-7</v>
      </c>
      <c r="B119" s="225">
        <f t="shared" si="1"/>
        <v>5.4274392826229506E-19</v>
      </c>
      <c r="C119" s="226">
        <v>3.0210345818181817E-2</v>
      </c>
      <c r="D119" s="226">
        <v>2.7880849999999999E-2</v>
      </c>
      <c r="E119" s="226">
        <v>3.0062289999999995E-2</v>
      </c>
      <c r="F119" s="226">
        <v>2.9313089999999997E-2</v>
      </c>
      <c r="G119" s="226">
        <v>2.4842139999999999E-2</v>
      </c>
      <c r="H119" s="226">
        <v>1.4359399999999996E-2</v>
      </c>
      <c r="I119" s="226">
        <v>1.0218569999999996E-2</v>
      </c>
      <c r="J119" s="226">
        <v>5.4965469999999992E-3</v>
      </c>
      <c r="K119" s="226">
        <v>1.2140489999999999E-2</v>
      </c>
    </row>
    <row r="120" spans="1:11" x14ac:dyDescent="0.25">
      <c r="A120" s="224">
        <v>3.6699999999999999E-7</v>
      </c>
      <c r="B120" s="225">
        <f t="shared" si="1"/>
        <v>5.412650619727521E-19</v>
      </c>
      <c r="C120" s="226">
        <v>3.0163623135685696E-2</v>
      </c>
      <c r="D120" s="226">
        <v>2.7062609999999994E-2</v>
      </c>
      <c r="E120" s="226">
        <v>3.0323019999999999E-2</v>
      </c>
      <c r="F120" s="226">
        <v>2.8629899999999996E-2</v>
      </c>
      <c r="G120" s="226">
        <v>2.5418409999999995E-2</v>
      </c>
      <c r="H120" s="226">
        <v>1.5154199999999996E-2</v>
      </c>
      <c r="I120" s="226">
        <v>1.02215E-2</v>
      </c>
      <c r="J120" s="226">
        <v>4.7143719999999997E-3</v>
      </c>
      <c r="K120" s="226">
        <v>4.3775109999999997E-3</v>
      </c>
    </row>
    <row r="121" spans="1:11" x14ac:dyDescent="0.25">
      <c r="A121" s="224">
        <v>3.6800000000000001E-7</v>
      </c>
      <c r="B121" s="225">
        <f t="shared" si="1"/>
        <v>5.3979423299999995E-19</v>
      </c>
      <c r="C121" s="226">
        <v>2.9917001091305927E-2</v>
      </c>
      <c r="D121" s="226">
        <v>2.700489E-2</v>
      </c>
      <c r="E121" s="226">
        <v>2.8657059999999995E-2</v>
      </c>
      <c r="F121" s="226">
        <v>2.8702079999999998E-2</v>
      </c>
      <c r="G121" s="226">
        <v>2.3596109999999997E-2</v>
      </c>
      <c r="H121" s="226">
        <v>1.2262449999999998E-2</v>
      </c>
      <c r="I121" s="226">
        <v>8.5605679999999976E-3</v>
      </c>
      <c r="J121" s="226">
        <v>4.119789999999999E-3</v>
      </c>
      <c r="K121" s="226">
        <v>8.6719879999999985E-3</v>
      </c>
    </row>
    <row r="122" spans="1:11" x14ac:dyDescent="0.25">
      <c r="A122" s="224">
        <v>3.6900000000000004E-7</v>
      </c>
      <c r="B122" s="225">
        <f t="shared" si="1"/>
        <v>5.3833137599999998E-19</v>
      </c>
      <c r="C122" s="226">
        <v>2.9956047653692246E-2</v>
      </c>
      <c r="D122" s="226">
        <v>2.6320339999999998E-2</v>
      </c>
      <c r="E122" s="226">
        <v>3.0028059999999995E-2</v>
      </c>
      <c r="F122" s="226">
        <v>2.9032739999999998E-2</v>
      </c>
      <c r="G122" s="226">
        <v>2.4082879999999997E-2</v>
      </c>
      <c r="H122" s="226">
        <v>1.2994429999999998E-2</v>
      </c>
      <c r="I122" s="226">
        <v>8.8742539999999998E-3</v>
      </c>
      <c r="J122" s="226">
        <v>4.6164199999999996E-3</v>
      </c>
      <c r="K122" s="226">
        <v>2.118249E-3</v>
      </c>
    </row>
    <row r="123" spans="1:11" x14ac:dyDescent="0.25">
      <c r="A123" s="224">
        <v>3.7E-7</v>
      </c>
      <c r="B123" s="225">
        <f t="shared" si="1"/>
        <v>5.3687642633513514E-19</v>
      </c>
      <c r="C123" s="226">
        <v>3.0613310658421246E-2</v>
      </c>
      <c r="D123" s="226">
        <v>2.7024979999999997E-2</v>
      </c>
      <c r="E123" s="226">
        <v>2.9712719999999995E-2</v>
      </c>
      <c r="F123" s="226">
        <v>2.7974049999999993E-2</v>
      </c>
      <c r="G123" s="226">
        <v>2.4388109999999994E-2</v>
      </c>
      <c r="H123" s="226">
        <v>1.334544E-2</v>
      </c>
      <c r="I123" s="226">
        <v>8.7207009999999991E-3</v>
      </c>
      <c r="J123" s="226">
        <v>4.411117E-3</v>
      </c>
      <c r="K123" s="226">
        <v>2.0713049999999994E-3</v>
      </c>
    </row>
    <row r="124" spans="1:11" x14ac:dyDescent="0.25">
      <c r="A124" s="224">
        <v>3.7100000000000003E-7</v>
      </c>
      <c r="B124" s="225">
        <f t="shared" si="1"/>
        <v>5.3542932006468997E-19</v>
      </c>
      <c r="C124" s="226">
        <v>3.0952683157511804E-2</v>
      </c>
      <c r="D124" s="226">
        <v>2.7611269999999993E-2</v>
      </c>
      <c r="E124" s="226">
        <v>3.0352149999999994E-2</v>
      </c>
      <c r="F124" s="226">
        <v>2.7039309999999993E-2</v>
      </c>
      <c r="G124" s="226">
        <v>2.4929449999999995E-2</v>
      </c>
      <c r="H124" s="226">
        <v>1.2588989999999996E-2</v>
      </c>
      <c r="I124" s="226">
        <v>8.1309849999999968E-3</v>
      </c>
      <c r="J124" s="226">
        <v>4.0485839999999992E-3</v>
      </c>
      <c r="K124" s="226">
        <v>3.0433169999999994E-3</v>
      </c>
    </row>
    <row r="125" spans="1:11" x14ac:dyDescent="0.25">
      <c r="A125" s="224">
        <v>3.72E-7</v>
      </c>
      <c r="B125" s="225">
        <f t="shared" si="1"/>
        <v>5.3398999393548386E-19</v>
      </c>
      <c r="C125" s="226">
        <v>3.1892388141142244E-2</v>
      </c>
      <c r="D125" s="226">
        <v>2.9810289999999996E-2</v>
      </c>
      <c r="E125" s="226">
        <v>3.0721029999999993E-2</v>
      </c>
      <c r="F125" s="226">
        <v>2.6352830000000001E-2</v>
      </c>
      <c r="G125" s="226">
        <v>2.3242489999999998E-2</v>
      </c>
      <c r="H125" s="226">
        <v>1.0428489999999999E-2</v>
      </c>
      <c r="I125" s="226">
        <v>6.8846489999999996E-3</v>
      </c>
      <c r="J125" s="226">
        <v>3.7008709999999997E-3</v>
      </c>
      <c r="K125" s="226">
        <v>7.9392459999999988E-3</v>
      </c>
    </row>
    <row r="126" spans="1:11" x14ac:dyDescent="0.25">
      <c r="A126" s="224">
        <v>3.7300000000000002E-7</v>
      </c>
      <c r="B126" s="225">
        <f t="shared" si="1"/>
        <v>5.325583853726541E-19</v>
      </c>
      <c r="C126" s="226">
        <v>3.6673127682793918E-2</v>
      </c>
      <c r="D126" s="226">
        <v>3.0680759999999994E-2</v>
      </c>
      <c r="E126" s="226">
        <v>2.851832E-2</v>
      </c>
      <c r="F126" s="226">
        <v>2.5237629999999997E-2</v>
      </c>
      <c r="G126" s="226">
        <v>2.0115209999999994E-2</v>
      </c>
      <c r="H126" s="226">
        <v>7.7913239999999996E-3</v>
      </c>
      <c r="I126" s="226">
        <v>5.2109229999999992E-3</v>
      </c>
      <c r="J126" s="226">
        <v>3.3574949999999994E-3</v>
      </c>
      <c r="K126" s="226">
        <v>5.940959E-3</v>
      </c>
    </row>
    <row r="127" spans="1:11" x14ac:dyDescent="0.25">
      <c r="A127" s="224">
        <v>3.7399999999999999E-7</v>
      </c>
      <c r="B127" s="225">
        <f t="shared" si="1"/>
        <v>5.3113443247058827E-19</v>
      </c>
      <c r="C127" s="226">
        <v>3.8650581818181769E-2</v>
      </c>
      <c r="D127" s="226">
        <v>3.0579579999999995E-2</v>
      </c>
      <c r="E127" s="226">
        <v>2.9135909999999994E-2</v>
      </c>
      <c r="F127" s="226">
        <v>2.5694069999999999E-2</v>
      </c>
      <c r="G127" s="226">
        <v>2.0520489999999995E-2</v>
      </c>
      <c r="H127" s="226">
        <v>6.9106860000000001E-3</v>
      </c>
      <c r="I127" s="226">
        <v>4.6486279999999984E-3</v>
      </c>
      <c r="J127" s="226">
        <v>2.9224189999999999E-3</v>
      </c>
      <c r="K127" s="226">
        <v>3.9470439999999994E-3</v>
      </c>
    </row>
    <row r="128" spans="1:11" x14ac:dyDescent="0.25">
      <c r="A128" s="224">
        <v>3.7500000000000001E-7</v>
      </c>
      <c r="B128" s="225">
        <f t="shared" si="1"/>
        <v>5.2971807398399998E-19</v>
      </c>
      <c r="C128" s="226">
        <v>3.2116435067297174E-2</v>
      </c>
      <c r="D128" s="226">
        <v>3.3272110000000001E-2</v>
      </c>
      <c r="E128" s="226">
        <v>3.1396149999999998E-2</v>
      </c>
      <c r="F128" s="226">
        <v>2.7664169999999995E-2</v>
      </c>
      <c r="G128" s="226">
        <v>2.165665E-2</v>
      </c>
      <c r="H128" s="226">
        <v>8.4005749999999987E-3</v>
      </c>
      <c r="I128" s="226">
        <v>5.404692E-3</v>
      </c>
      <c r="J128" s="226">
        <v>3.5491709999999994E-3</v>
      </c>
      <c r="K128" s="226">
        <v>2.9489929999999996E-3</v>
      </c>
    </row>
    <row r="129" spans="1:11" x14ac:dyDescent="0.25">
      <c r="A129" s="224">
        <v>3.7600000000000003E-7</v>
      </c>
      <c r="B129" s="225">
        <f t="shared" si="1"/>
        <v>5.2830924931914893E-19</v>
      </c>
      <c r="C129" s="226">
        <v>4.7593600000000007E-2</v>
      </c>
      <c r="D129" s="226">
        <v>3.3620949999999997E-2</v>
      </c>
      <c r="E129" s="226">
        <v>3.2146659999999994E-2</v>
      </c>
      <c r="F129" s="226">
        <v>2.9722489999999997E-2</v>
      </c>
      <c r="G129" s="226">
        <v>2.2851759999999999E-2</v>
      </c>
      <c r="H129" s="226">
        <v>9.2428600000000003E-3</v>
      </c>
      <c r="I129" s="226">
        <v>6.1658749999999986E-3</v>
      </c>
      <c r="J129" s="226">
        <v>3.5494239999999994E-3</v>
      </c>
      <c r="K129" s="226">
        <v>6.8510599999999991E-3</v>
      </c>
    </row>
    <row r="130" spans="1:11" x14ac:dyDescent="0.25">
      <c r="A130" s="224">
        <v>3.77E-7</v>
      </c>
      <c r="B130" s="225">
        <f t="shared" si="1"/>
        <v>5.269078985251989E-19</v>
      </c>
      <c r="C130" s="226">
        <v>3.3330661818181721E-2</v>
      </c>
      <c r="D130" s="226">
        <v>3.6152029999999995E-2</v>
      </c>
      <c r="E130" s="226">
        <v>3.2532649999999996E-2</v>
      </c>
      <c r="F130" s="226">
        <v>3.1503379999999997E-2</v>
      </c>
      <c r="G130" s="226">
        <v>2.4437229999999997E-2</v>
      </c>
      <c r="H130" s="226">
        <v>1.1605349999999999E-2</v>
      </c>
      <c r="I130" s="226">
        <v>8.1404909999999997E-3</v>
      </c>
      <c r="J130" s="226">
        <v>4.860035999999999E-3</v>
      </c>
      <c r="K130" s="226">
        <v>6.8871139999999997E-3</v>
      </c>
    </row>
    <row r="131" spans="1:11" x14ac:dyDescent="0.25">
      <c r="A131" s="224">
        <v>3.7800000000000002E-7</v>
      </c>
      <c r="B131" s="225">
        <f t="shared" ref="B131:B194" si="2">h_planck*c_light/A131</f>
        <v>5.2551396228571425E-19</v>
      </c>
      <c r="C131" s="226">
        <v>5.3705776646053263E-2</v>
      </c>
      <c r="D131" s="226">
        <v>4.1909309999999991E-2</v>
      </c>
      <c r="E131" s="226">
        <v>3.5807399999999996E-2</v>
      </c>
      <c r="F131" s="226">
        <v>3.0781179999999998E-2</v>
      </c>
      <c r="G131" s="226">
        <v>2.8141859999999998E-2</v>
      </c>
      <c r="H131" s="226">
        <v>1.4005099999999998E-2</v>
      </c>
      <c r="I131" s="226">
        <v>9.3305249999999975E-3</v>
      </c>
      <c r="J131" s="226">
        <v>5.2348579999999994E-3</v>
      </c>
      <c r="K131" s="226">
        <v>5.714799999999999E-3</v>
      </c>
    </row>
    <row r="132" spans="1:11" x14ac:dyDescent="0.25">
      <c r="A132" s="224">
        <v>3.7899999999999999E-7</v>
      </c>
      <c r="B132" s="225">
        <f t="shared" si="2"/>
        <v>5.2412738191029027E-19</v>
      </c>
      <c r="C132" s="226">
        <v>5.5029029101491572E-2</v>
      </c>
      <c r="D132" s="226">
        <v>4.0758649999999993E-2</v>
      </c>
      <c r="E132" s="226">
        <v>3.4241220000000003E-2</v>
      </c>
      <c r="F132" s="226">
        <v>3.0121319999999993E-2</v>
      </c>
      <c r="G132" s="226">
        <v>2.6190409999999994E-2</v>
      </c>
      <c r="H132" s="226">
        <v>1.2086029999999999E-2</v>
      </c>
      <c r="I132" s="226">
        <v>7.9854759999999983E-3</v>
      </c>
      <c r="J132" s="226">
        <v>4.7620839999999989E-3</v>
      </c>
      <c r="K132" s="226">
        <v>6.5287550000000007E-3</v>
      </c>
    </row>
    <row r="133" spans="1:11" x14ac:dyDescent="0.25">
      <c r="A133" s="224">
        <v>3.8000000000000001E-7</v>
      </c>
      <c r="B133" s="225">
        <f t="shared" si="2"/>
        <v>5.2274809932631579E-19</v>
      </c>
      <c r="C133" s="226">
        <v>3.4896469625318331E-2</v>
      </c>
      <c r="D133" s="226">
        <v>3.9030849999999992E-2</v>
      </c>
      <c r="E133" s="226">
        <v>3.3307909999999996E-2</v>
      </c>
      <c r="F133" s="226">
        <v>3.1259489999999994E-2</v>
      </c>
      <c r="G133" s="226">
        <v>2.4380839999999997E-2</v>
      </c>
      <c r="H133" s="226">
        <v>1.0317079999999999E-2</v>
      </c>
      <c r="I133" s="226">
        <v>7.6396169999999996E-3</v>
      </c>
      <c r="J133" s="226">
        <v>4.7967819999999994E-3</v>
      </c>
      <c r="K133" s="226">
        <v>7.2549409999999991E-3</v>
      </c>
    </row>
    <row r="134" spans="1:11" x14ac:dyDescent="0.25">
      <c r="A134" s="224">
        <v>3.8100000000000004E-7</v>
      </c>
      <c r="B134" s="225">
        <f t="shared" si="2"/>
        <v>5.2137605707086609E-19</v>
      </c>
      <c r="C134" s="226">
        <v>6.3111813022917226E-2</v>
      </c>
      <c r="D134" s="226">
        <v>4.7914609999999996E-2</v>
      </c>
      <c r="E134" s="226">
        <v>3.7616109999999994E-2</v>
      </c>
      <c r="F134" s="226">
        <v>2.8196429999999998E-2</v>
      </c>
      <c r="G134" s="226">
        <v>2.6257349999999999E-2</v>
      </c>
      <c r="H134" s="226">
        <v>1.0332059999999999E-2</v>
      </c>
      <c r="I134" s="226">
        <v>7.0425889999999993E-3</v>
      </c>
      <c r="J134" s="226">
        <v>4.5636479999999991E-3</v>
      </c>
      <c r="K134" s="226">
        <v>5.2624819999999989E-3</v>
      </c>
    </row>
    <row r="135" spans="1:11" x14ac:dyDescent="0.25">
      <c r="A135" s="224">
        <v>3.8200000000000001E-7</v>
      </c>
      <c r="B135" s="225">
        <f t="shared" si="2"/>
        <v>5.2001119828272252E-19</v>
      </c>
      <c r="C135" s="226">
        <v>7.0936118952346305E-2</v>
      </c>
      <c r="D135" s="226">
        <v>4.9967520000000001E-2</v>
      </c>
      <c r="E135" s="226">
        <v>3.7066249999999995E-2</v>
      </c>
      <c r="F135" s="226">
        <v>2.3820939999999999E-2</v>
      </c>
      <c r="G135" s="226">
        <v>2.2426829999999998E-2</v>
      </c>
      <c r="H135" s="226">
        <v>7.5100749999999997E-3</v>
      </c>
      <c r="I135" s="226">
        <v>5.1908149999999988E-3</v>
      </c>
      <c r="J135" s="226">
        <v>3.6802679999999996E-3</v>
      </c>
      <c r="K135" s="226">
        <v>6.6332769999999999E-3</v>
      </c>
    </row>
    <row r="136" spans="1:11" x14ac:dyDescent="0.25">
      <c r="A136" s="224">
        <v>3.8300000000000003E-7</v>
      </c>
      <c r="B136" s="225">
        <f t="shared" si="2"/>
        <v>5.1865346669451691E-19</v>
      </c>
      <c r="C136" s="226">
        <v>4.861081957075275E-2</v>
      </c>
      <c r="D136" s="226">
        <v>3.8713049999999999E-2</v>
      </c>
      <c r="E136" s="226">
        <v>2.9019019999999993E-2</v>
      </c>
      <c r="F136" s="226">
        <v>2.5116599999999996E-2</v>
      </c>
      <c r="G136" s="226">
        <v>1.7665699999999996E-2</v>
      </c>
      <c r="H136" s="226">
        <v>5.7140999999999989E-3</v>
      </c>
      <c r="I136" s="226">
        <v>4.2654769999999993E-3</v>
      </c>
      <c r="J136" s="226">
        <v>3.497375E-3</v>
      </c>
      <c r="K136" s="226">
        <v>6.829571999999999E-3</v>
      </c>
    </row>
    <row r="137" spans="1:11" x14ac:dyDescent="0.25">
      <c r="A137" s="224">
        <v>3.84E-7</v>
      </c>
      <c r="B137" s="225">
        <f t="shared" si="2"/>
        <v>5.1730280662500002E-19</v>
      </c>
      <c r="C137" s="226">
        <v>4.0460126591488219E-2</v>
      </c>
      <c r="D137" s="226">
        <v>3.9520329999999999E-2</v>
      </c>
      <c r="E137" s="226">
        <v>2.9815040000000001E-2</v>
      </c>
      <c r="F137" s="226">
        <v>2.9446519999999997E-2</v>
      </c>
      <c r="G137" s="226">
        <v>1.8060069999999998E-2</v>
      </c>
      <c r="H137" s="226">
        <v>6.744858999999998E-3</v>
      </c>
      <c r="I137" s="226">
        <v>5.2781939999999991E-3</v>
      </c>
      <c r="J137" s="226">
        <v>4.3832849999999998E-3</v>
      </c>
      <c r="K137" s="226">
        <v>7.0214979999999993E-3</v>
      </c>
    </row>
    <row r="138" spans="1:11" x14ac:dyDescent="0.25">
      <c r="A138" s="224">
        <v>3.8500000000000002E-7</v>
      </c>
      <c r="B138" s="225">
        <f t="shared" si="2"/>
        <v>5.1595916297142853E-19</v>
      </c>
      <c r="C138" s="226">
        <v>7.0672967272727538E-2</v>
      </c>
      <c r="D138" s="226">
        <v>5.2155589999999995E-2</v>
      </c>
      <c r="E138" s="226">
        <v>3.7994819999999992E-2</v>
      </c>
      <c r="F138" s="226">
        <v>3.1709359999999992E-2</v>
      </c>
      <c r="G138" s="226">
        <v>2.2673859999999994E-2</v>
      </c>
      <c r="H138" s="226">
        <v>7.7387259999999996E-3</v>
      </c>
      <c r="I138" s="226">
        <v>5.6664629999999992E-3</v>
      </c>
      <c r="J138" s="226">
        <v>4.6005159999999998E-3</v>
      </c>
      <c r="K138" s="226">
        <v>4.1265870000000001E-3</v>
      </c>
    </row>
    <row r="139" spans="1:11" x14ac:dyDescent="0.25">
      <c r="A139" s="224">
        <v>3.8599999999999999E-7</v>
      </c>
      <c r="B139" s="225">
        <f t="shared" si="2"/>
        <v>5.1462248120207251E-19</v>
      </c>
      <c r="C139" s="226">
        <v>8.1326989090909116E-2</v>
      </c>
      <c r="D139" s="226">
        <v>6.0926109999999992E-2</v>
      </c>
      <c r="E139" s="226">
        <v>4.1323089999999993E-2</v>
      </c>
      <c r="F139" s="226">
        <v>3.1367769999999989E-2</v>
      </c>
      <c r="G139" s="226">
        <v>2.4006109999999997E-2</v>
      </c>
      <c r="H139" s="226">
        <v>7.3661629999999994E-3</v>
      </c>
      <c r="I139" s="226">
        <v>5.5655569999999996E-3</v>
      </c>
      <c r="J139" s="226">
        <v>4.1555729999999992E-3</v>
      </c>
      <c r="K139" s="226">
        <v>8.7590269999999991E-3</v>
      </c>
    </row>
    <row r="140" spans="1:11" x14ac:dyDescent="0.25">
      <c r="A140" s="224">
        <v>3.8700000000000001E-7</v>
      </c>
      <c r="B140" s="225">
        <f t="shared" si="2"/>
        <v>5.132927073488372E-19</v>
      </c>
      <c r="C140" s="226">
        <v>8.0382083999999965E-2</v>
      </c>
      <c r="D140" s="226">
        <v>5.7945369999999982E-2</v>
      </c>
      <c r="E140" s="226">
        <v>4.0165119999999999E-2</v>
      </c>
      <c r="F140" s="226">
        <v>2.9660519999999996E-2</v>
      </c>
      <c r="G140" s="226">
        <v>2.3742359999999994E-2</v>
      </c>
      <c r="H140" s="226">
        <v>7.8512259999999976E-3</v>
      </c>
      <c r="I140" s="226">
        <v>5.652935999999999E-3</v>
      </c>
      <c r="J140" s="226">
        <v>4.580635999999999E-3</v>
      </c>
      <c r="K140" s="226">
        <v>1.3214839999999999E-2</v>
      </c>
    </row>
    <row r="141" spans="1:11" x14ac:dyDescent="0.25">
      <c r="A141" s="224">
        <v>3.8800000000000003E-7</v>
      </c>
      <c r="B141" s="225">
        <f t="shared" si="2"/>
        <v>5.1196978799999996E-19</v>
      </c>
      <c r="C141" s="226">
        <v>6.1679262545455166E-2</v>
      </c>
      <c r="D141" s="226">
        <v>4.4101029999999992E-2</v>
      </c>
      <c r="E141" s="226">
        <v>3.5555049999999998E-2</v>
      </c>
      <c r="F141" s="226">
        <v>2.8571569999999994E-2</v>
      </c>
      <c r="G141" s="226">
        <v>2.3480779999999993E-2</v>
      </c>
      <c r="H141" s="226">
        <v>8.2011439999999988E-3</v>
      </c>
      <c r="I141" s="226">
        <v>5.9903869999999998E-3</v>
      </c>
      <c r="J141" s="226">
        <v>3.3406869999999997E-3</v>
      </c>
      <c r="K141" s="226">
        <v>1.2945709999999998E-3</v>
      </c>
    </row>
    <row r="142" spans="1:11" x14ac:dyDescent="0.25">
      <c r="A142" s="224">
        <v>3.89E-7</v>
      </c>
      <c r="B142" s="225">
        <f t="shared" si="2"/>
        <v>5.1065367029305912E-19</v>
      </c>
      <c r="C142" s="226">
        <v>3.4895327272727358E-2</v>
      </c>
      <c r="D142" s="226">
        <v>3.812128E-2</v>
      </c>
      <c r="E142" s="226">
        <v>3.1740269999999994E-2</v>
      </c>
      <c r="F142" s="226">
        <v>3.102398E-2</v>
      </c>
      <c r="G142" s="226">
        <v>2.2807009999999999E-2</v>
      </c>
      <c r="H142" s="226">
        <v>1.008734E-2</v>
      </c>
      <c r="I142" s="226">
        <v>7.2677989999999984E-3</v>
      </c>
      <c r="J142" s="226">
        <v>4.5293109999999994E-3</v>
      </c>
      <c r="K142" s="226">
        <v>1.2734109999999999E-3</v>
      </c>
    </row>
    <row r="143" spans="1:11" x14ac:dyDescent="0.25">
      <c r="A143" s="224">
        <v>3.9000000000000002E-7</v>
      </c>
      <c r="B143" s="225">
        <f t="shared" si="2"/>
        <v>5.0934430190769229E-19</v>
      </c>
      <c r="C143" s="226">
        <v>6.1085666787922703E-2</v>
      </c>
      <c r="D143" s="226">
        <v>4.9251559999999993E-2</v>
      </c>
      <c r="E143" s="226">
        <v>3.5501519999999995E-2</v>
      </c>
      <c r="F143" s="226">
        <v>3.3103449999999993E-2</v>
      </c>
      <c r="G143" s="226">
        <v>2.4921809999999996E-2</v>
      </c>
      <c r="H143" s="226">
        <v>1.1851169999999998E-2</v>
      </c>
      <c r="I143" s="226">
        <v>8.178879E-3</v>
      </c>
      <c r="J143" s="226">
        <v>5.007868999999999E-3</v>
      </c>
      <c r="K143" s="226">
        <v>8.1493809999999989E-3</v>
      </c>
    </row>
    <row r="144" spans="1:11" x14ac:dyDescent="0.25">
      <c r="A144" s="224">
        <v>3.9099999999999999E-7</v>
      </c>
      <c r="B144" s="225">
        <f t="shared" si="2"/>
        <v>5.0804163105882356E-19</v>
      </c>
      <c r="C144" s="226">
        <v>8.0670890545454413E-2</v>
      </c>
      <c r="D144" s="226">
        <v>5.9490539999999995E-2</v>
      </c>
      <c r="E144" s="226">
        <v>4.1130099999999989E-2</v>
      </c>
      <c r="F144" s="226">
        <v>2.9691499999999992E-2</v>
      </c>
      <c r="G144" s="226">
        <v>2.7412429999999995E-2</v>
      </c>
      <c r="H144" s="226">
        <v>1.313286E-2</v>
      </c>
      <c r="I144" s="226">
        <v>8.8442739999999992E-3</v>
      </c>
      <c r="J144" s="226">
        <v>5.1318459999999998E-3</v>
      </c>
      <c r="K144" s="226">
        <v>6.1656619999999988E-3</v>
      </c>
    </row>
    <row r="145" spans="1:11" x14ac:dyDescent="0.25">
      <c r="A145" s="224">
        <v>3.9200000000000002E-7</v>
      </c>
      <c r="B145" s="225">
        <f t="shared" si="2"/>
        <v>5.0674560648979586E-19</v>
      </c>
      <c r="C145" s="226">
        <v>8.6541595853037459E-2</v>
      </c>
      <c r="D145" s="226">
        <v>5.8789179999999996E-2</v>
      </c>
      <c r="E145" s="226">
        <v>3.9953909999999995E-2</v>
      </c>
      <c r="F145" s="226">
        <v>2.4062649999999994E-2</v>
      </c>
      <c r="G145" s="226">
        <v>2.6762669999999999E-2</v>
      </c>
      <c r="H145" s="226">
        <v>1.2885579999999997E-2</v>
      </c>
      <c r="I145" s="226">
        <v>7.9650019999999988E-3</v>
      </c>
      <c r="J145" s="226">
        <v>4.5538889999999993E-3</v>
      </c>
      <c r="K145" s="226">
        <v>1.1523199999999999E-2</v>
      </c>
    </row>
    <row r="146" spans="1:11" x14ac:dyDescent="0.25">
      <c r="A146" s="224">
        <v>3.9300000000000004E-7</v>
      </c>
      <c r="B146" s="225">
        <f t="shared" si="2"/>
        <v>5.0545617746564878E-19</v>
      </c>
      <c r="C146" s="226">
        <v>8.5357059658057441E-2</v>
      </c>
      <c r="D146" s="226">
        <v>5.3667869999999999E-2</v>
      </c>
      <c r="E146" s="226">
        <v>2.8856249999999996E-2</v>
      </c>
      <c r="F146" s="226">
        <v>2.5680939999999996E-2</v>
      </c>
      <c r="G146" s="226">
        <v>1.6578649999999997E-2</v>
      </c>
      <c r="H146" s="226">
        <v>9.0711889999999986E-3</v>
      </c>
      <c r="I146" s="226">
        <v>6.5705969999999992E-3</v>
      </c>
      <c r="J146" s="226">
        <v>4.5152139999999992E-3</v>
      </c>
      <c r="K146" s="226">
        <v>7.3703879999999994E-3</v>
      </c>
    </row>
    <row r="147" spans="1:11" x14ac:dyDescent="0.25">
      <c r="A147" s="224">
        <v>3.9400000000000001E-7</v>
      </c>
      <c r="B147" s="225">
        <f t="shared" si="2"/>
        <v>5.0417329376649745E-19</v>
      </c>
      <c r="C147" s="226">
        <v>8.4668656966169459E-2</v>
      </c>
      <c r="D147" s="226">
        <v>5.5417590000000003E-2</v>
      </c>
      <c r="E147" s="226">
        <v>2.9155939999999995E-2</v>
      </c>
      <c r="F147" s="226">
        <v>3.1044039999999998E-2</v>
      </c>
      <c r="G147" s="226">
        <v>1.6345809999999999E-2</v>
      </c>
      <c r="H147" s="226">
        <v>9.1606770000000007E-3</v>
      </c>
      <c r="I147" s="226">
        <v>6.9208429999999986E-3</v>
      </c>
      <c r="J147" s="226">
        <v>4.8669039999999992E-3</v>
      </c>
      <c r="K147" s="226">
        <v>1.0971449999999997E-2</v>
      </c>
    </row>
    <row r="148" spans="1:11" x14ac:dyDescent="0.25">
      <c r="A148" s="224">
        <v>3.9500000000000003E-7</v>
      </c>
      <c r="B148" s="225">
        <f t="shared" si="2"/>
        <v>5.0289690568101265E-19</v>
      </c>
      <c r="C148" s="226">
        <v>7.9867565090908865E-2</v>
      </c>
      <c r="D148" s="226">
        <v>5.7360919999999989E-2</v>
      </c>
      <c r="E148" s="226">
        <v>3.9990320000000003E-2</v>
      </c>
      <c r="F148" s="226">
        <v>2.9233979999999993E-2</v>
      </c>
      <c r="G148" s="226">
        <v>2.5432229999999997E-2</v>
      </c>
      <c r="H148" s="226">
        <v>1.3352379999999999E-2</v>
      </c>
      <c r="I148" s="226">
        <v>9.2376620000000007E-3</v>
      </c>
      <c r="J148" s="226">
        <v>4.8199149999999993E-3</v>
      </c>
      <c r="K148" s="226">
        <v>8.961878999999999E-3</v>
      </c>
    </row>
    <row r="149" spans="1:11" x14ac:dyDescent="0.25">
      <c r="A149" s="224">
        <v>3.96E-7</v>
      </c>
      <c r="B149" s="225">
        <f t="shared" si="2"/>
        <v>5.0162696399999999E-19</v>
      </c>
      <c r="C149" s="226">
        <v>6.2433880000000122E-2</v>
      </c>
      <c r="D149" s="226">
        <v>4.4017009999999995E-2</v>
      </c>
      <c r="E149" s="226">
        <v>3.5667569999999996E-2</v>
      </c>
      <c r="F149" s="226">
        <v>2.5960559999999997E-2</v>
      </c>
      <c r="G149" s="226">
        <v>2.3835490000000001E-2</v>
      </c>
      <c r="H149" s="226">
        <v>1.3022919999999999E-2</v>
      </c>
      <c r="I149" s="226">
        <v>8.5656859999999977E-3</v>
      </c>
      <c r="J149" s="226">
        <v>5.1202789999999984E-3</v>
      </c>
      <c r="K149" s="226">
        <v>8.3332949999999992E-3</v>
      </c>
    </row>
    <row r="150" spans="1:11" x14ac:dyDescent="0.25">
      <c r="A150" s="224">
        <v>3.9700000000000002E-7</v>
      </c>
      <c r="B150" s="225">
        <f t="shared" si="2"/>
        <v>5.0036342001007549E-19</v>
      </c>
      <c r="C150" s="226">
        <v>3.4482889778101093E-2</v>
      </c>
      <c r="D150" s="226">
        <v>3.6725889999999997E-2</v>
      </c>
      <c r="E150" s="226">
        <v>2.8332969999999996E-2</v>
      </c>
      <c r="F150" s="226">
        <v>3.2533279999999998E-2</v>
      </c>
      <c r="G150" s="226">
        <v>1.7938919999999997E-2</v>
      </c>
      <c r="H150" s="226">
        <v>1.0634489999999998E-2</v>
      </c>
      <c r="I150" s="226">
        <v>7.8929779999999984E-3</v>
      </c>
      <c r="J150" s="226">
        <v>6.2920949999999993E-3</v>
      </c>
      <c r="K150" s="226">
        <v>1.5375189999999997E-2</v>
      </c>
    </row>
    <row r="151" spans="1:11" x14ac:dyDescent="0.25">
      <c r="A151" s="224">
        <v>3.9799999999999999E-7</v>
      </c>
      <c r="B151" s="225">
        <f t="shared" si="2"/>
        <v>4.991062254874372E-19</v>
      </c>
      <c r="C151" s="226">
        <v>5.6540742545454797E-2</v>
      </c>
      <c r="D151" s="226">
        <v>4.9434199999999991E-2</v>
      </c>
      <c r="E151" s="226">
        <v>3.7965679999999988E-2</v>
      </c>
      <c r="F151" s="226">
        <v>3.8986409999999999E-2</v>
      </c>
      <c r="G151" s="226">
        <v>2.5572659999999997E-2</v>
      </c>
      <c r="H151" s="226">
        <v>1.6064789999999999E-2</v>
      </c>
      <c r="I151" s="226">
        <v>1.2110929999999997E-2</v>
      </c>
      <c r="J151" s="226">
        <v>7.3883679999999985E-3</v>
      </c>
      <c r="K151" s="226">
        <v>8.5386949999999989E-3</v>
      </c>
    </row>
    <row r="152" spans="1:11" x14ac:dyDescent="0.25">
      <c r="A152" s="224">
        <v>3.9900000000000001E-7</v>
      </c>
      <c r="B152" s="225">
        <f t="shared" si="2"/>
        <v>4.978553326917293E-19</v>
      </c>
      <c r="C152" s="226">
        <v>7.6232807999999791E-2</v>
      </c>
      <c r="D152" s="226">
        <v>6.1415599999999987E-2</v>
      </c>
      <c r="E152" s="226">
        <v>4.7229509999999988E-2</v>
      </c>
      <c r="F152" s="226">
        <v>4.005094E-2</v>
      </c>
      <c r="G152" s="226">
        <v>3.3469079999999998E-2</v>
      </c>
      <c r="H152" s="226">
        <v>2.1370159999999999E-2</v>
      </c>
      <c r="I152" s="226">
        <v>1.4773609999999998E-2</v>
      </c>
      <c r="J152" s="226">
        <v>8.4929540000000005E-3</v>
      </c>
      <c r="K152" s="226">
        <v>1.8737349999999996E-2</v>
      </c>
    </row>
    <row r="153" spans="1:11" x14ac:dyDescent="0.25">
      <c r="A153" s="224">
        <v>4.0000000000000003E-7</v>
      </c>
      <c r="B153" s="225">
        <f t="shared" si="2"/>
        <v>4.9661069435999992E-19</v>
      </c>
      <c r="C153" s="226">
        <v>8.3352801018552164E-2</v>
      </c>
      <c r="D153" s="226">
        <v>7.0149589999999984E-2</v>
      </c>
      <c r="E153" s="226">
        <v>5.033929999999999E-2</v>
      </c>
      <c r="F153" s="226">
        <v>4.1122759999999994E-2</v>
      </c>
      <c r="G153" s="226">
        <v>3.5706489999999994E-2</v>
      </c>
      <c r="H153" s="226">
        <v>2.2497719999999995E-2</v>
      </c>
      <c r="I153" s="226">
        <v>1.580753E-2</v>
      </c>
      <c r="J153" s="226">
        <v>9.1240429999999983E-3</v>
      </c>
      <c r="K153" s="226">
        <v>1.162262E-2</v>
      </c>
    </row>
    <row r="154" spans="1:11" x14ac:dyDescent="0.25">
      <c r="A154" s="224">
        <v>4.01E-7</v>
      </c>
      <c r="B154" s="225">
        <f t="shared" si="2"/>
        <v>4.9537226370074808E-19</v>
      </c>
      <c r="C154" s="226">
        <v>8.5806995636363612E-2</v>
      </c>
      <c r="D154" s="226">
        <v>7.1501149999999986E-2</v>
      </c>
      <c r="E154" s="226">
        <v>5.1439019999999988E-2</v>
      </c>
      <c r="F154" s="226">
        <v>4.1768029999999991E-2</v>
      </c>
      <c r="G154" s="226">
        <v>3.6117579999999996E-2</v>
      </c>
      <c r="H154" s="226">
        <v>2.3737399999999999E-2</v>
      </c>
      <c r="I154" s="226">
        <v>1.6907619999999998E-2</v>
      </c>
      <c r="J154" s="226">
        <v>9.5534439999999995E-3</v>
      </c>
      <c r="K154" s="226">
        <v>1.9241379999999999E-2</v>
      </c>
    </row>
    <row r="155" spans="1:11" x14ac:dyDescent="0.25">
      <c r="A155" s="224">
        <v>4.0200000000000003E-7</v>
      </c>
      <c r="B155" s="225">
        <f t="shared" si="2"/>
        <v>4.9413999438805965E-19</v>
      </c>
      <c r="C155" s="226">
        <v>8.6410336122226247E-2</v>
      </c>
      <c r="D155" s="226">
        <v>7.2633530000000002E-2</v>
      </c>
      <c r="E155" s="226">
        <v>5.2043499999999993E-2</v>
      </c>
      <c r="F155" s="226">
        <v>4.1527419999999989E-2</v>
      </c>
      <c r="G155" s="226">
        <v>3.6853569999999995E-2</v>
      </c>
      <c r="H155" s="226">
        <v>2.4608179999999997E-2</v>
      </c>
      <c r="I155" s="226">
        <v>1.7444689999999999E-2</v>
      </c>
      <c r="J155" s="226">
        <v>1.015128E-2</v>
      </c>
      <c r="K155" s="226">
        <v>1.0526419999999998E-2</v>
      </c>
    </row>
    <row r="156" spans="1:11" x14ac:dyDescent="0.25">
      <c r="A156" s="224">
        <v>4.03E-7</v>
      </c>
      <c r="B156" s="225">
        <f t="shared" si="2"/>
        <v>4.9291384055583125E-19</v>
      </c>
      <c r="C156" s="226">
        <v>8.5873530909090917E-2</v>
      </c>
      <c r="D156" s="226">
        <v>7.4028929999999993E-2</v>
      </c>
      <c r="E156" s="226">
        <v>5.1406249999999994E-2</v>
      </c>
      <c r="F156" s="226">
        <v>4.1319619999999987E-2</v>
      </c>
      <c r="G156" s="226">
        <v>3.6609820000000001E-2</v>
      </c>
      <c r="H156" s="226">
        <v>2.2839969999999998E-2</v>
      </c>
      <c r="I156" s="226">
        <v>1.6047359999999997E-2</v>
      </c>
      <c r="J156" s="226">
        <v>9.6864570000000007E-3</v>
      </c>
      <c r="K156" s="226">
        <v>9.6170489999999973E-3</v>
      </c>
    </row>
    <row r="157" spans="1:11" x14ac:dyDescent="0.25">
      <c r="A157" s="224">
        <v>4.0400000000000002E-7</v>
      </c>
      <c r="B157" s="225">
        <f t="shared" si="2"/>
        <v>4.9169375679207922E-19</v>
      </c>
      <c r="C157" s="226">
        <v>8.598769309090909E-2</v>
      </c>
      <c r="D157" s="226">
        <v>7.4869099999999994E-2</v>
      </c>
      <c r="E157" s="226">
        <v>4.9447149999999988E-2</v>
      </c>
      <c r="F157" s="226">
        <v>4.0907659999999992E-2</v>
      </c>
      <c r="G157" s="226">
        <v>3.4833709999999997E-2</v>
      </c>
      <c r="H157" s="226">
        <v>1.9906569999999998E-2</v>
      </c>
      <c r="I157" s="226">
        <v>1.4663559999999999E-2</v>
      </c>
      <c r="J157" s="226">
        <v>9.2118759999999991E-3</v>
      </c>
      <c r="K157" s="226">
        <v>1.2057819999999997E-2</v>
      </c>
    </row>
    <row r="158" spans="1:11" x14ac:dyDescent="0.25">
      <c r="A158" s="224">
        <v>4.0500000000000004E-7</v>
      </c>
      <c r="B158" s="225">
        <f t="shared" si="2"/>
        <v>4.9047969813333329E-19</v>
      </c>
      <c r="C158" s="226">
        <v>8.4749548563113855E-2</v>
      </c>
      <c r="D158" s="226">
        <v>7.4233489999999999E-2</v>
      </c>
      <c r="E158" s="226">
        <v>4.9698409999999991E-2</v>
      </c>
      <c r="F158" s="226">
        <v>4.137065999999999E-2</v>
      </c>
      <c r="G158" s="226">
        <v>3.6227459999999996E-2</v>
      </c>
      <c r="H158" s="226">
        <v>2.1600639999999997E-2</v>
      </c>
      <c r="I158" s="226">
        <v>1.6004219999999996E-2</v>
      </c>
      <c r="J158" s="226">
        <v>1.0665259999999998E-2</v>
      </c>
      <c r="K158" s="226">
        <v>9.1993279999999979E-3</v>
      </c>
    </row>
    <row r="159" spans="1:11" x14ac:dyDescent="0.25">
      <c r="A159" s="224">
        <v>4.0600000000000001E-7</v>
      </c>
      <c r="B159" s="225">
        <f t="shared" si="2"/>
        <v>4.8927162005911325E-19</v>
      </c>
      <c r="C159" s="226">
        <v>8.2905397818181792E-2</v>
      </c>
      <c r="D159" s="226">
        <v>7.2870980000000002E-2</v>
      </c>
      <c r="E159" s="226">
        <v>4.8835389999999999E-2</v>
      </c>
      <c r="F159" s="226">
        <v>4.2504449999999999E-2</v>
      </c>
      <c r="G159" s="226">
        <v>3.4959589999999999E-2</v>
      </c>
      <c r="H159" s="226">
        <v>2.1238669999999998E-2</v>
      </c>
      <c r="I159" s="226">
        <v>1.5919039999999999E-2</v>
      </c>
      <c r="J159" s="226">
        <v>1.0531159999999998E-2</v>
      </c>
      <c r="K159" s="226">
        <v>1.1537759999999998E-2</v>
      </c>
    </row>
    <row r="160" spans="1:11" x14ac:dyDescent="0.25">
      <c r="A160" s="224">
        <v>4.0700000000000003E-7</v>
      </c>
      <c r="B160" s="225">
        <f t="shared" si="2"/>
        <v>4.8806947848648641E-19</v>
      </c>
      <c r="C160" s="226">
        <v>8.0392809090909151E-2</v>
      </c>
      <c r="D160" s="226">
        <v>6.6566130000000001E-2</v>
      </c>
      <c r="E160" s="226">
        <v>4.7983289999999998E-2</v>
      </c>
      <c r="F160" s="226">
        <v>4.3959059999999994E-2</v>
      </c>
      <c r="G160" s="226">
        <v>3.5766509999999994E-2</v>
      </c>
      <c r="H160" s="226">
        <v>2.0089929999999995E-2</v>
      </c>
      <c r="I160" s="226">
        <v>1.5114349999999997E-2</v>
      </c>
      <c r="J160" s="226">
        <v>1.070285E-2</v>
      </c>
      <c r="K160" s="226">
        <v>1.330989E-2</v>
      </c>
    </row>
    <row r="161" spans="1:11" x14ac:dyDescent="0.25">
      <c r="A161" s="224">
        <v>4.08E-7</v>
      </c>
      <c r="B161" s="225">
        <f t="shared" si="2"/>
        <v>4.8687322976470585E-19</v>
      </c>
      <c r="C161" s="226">
        <v>7.5513179701709621E-2</v>
      </c>
      <c r="D161" s="226">
        <v>5.8803799999999996E-2</v>
      </c>
      <c r="E161" s="226">
        <v>4.7076569999999984E-2</v>
      </c>
      <c r="F161" s="226">
        <v>4.2715899999999994E-2</v>
      </c>
      <c r="G161" s="226">
        <v>3.7446569999999992E-2</v>
      </c>
      <c r="H161" s="226">
        <v>2.289037E-2</v>
      </c>
      <c r="I161" s="226">
        <v>1.7283099999999996E-2</v>
      </c>
      <c r="J161" s="226">
        <v>1.1586949999999999E-2</v>
      </c>
      <c r="K161" s="226">
        <v>1.2444589999999997E-2</v>
      </c>
    </row>
    <row r="162" spans="1:11" x14ac:dyDescent="0.25">
      <c r="A162" s="224">
        <v>4.0900000000000002E-7</v>
      </c>
      <c r="B162" s="225">
        <f t="shared" si="2"/>
        <v>4.856828306699266E-19</v>
      </c>
      <c r="C162" s="226">
        <v>6.197736485994907E-2</v>
      </c>
      <c r="D162" s="226">
        <v>4.7607769999999994E-2</v>
      </c>
      <c r="E162" s="226">
        <v>4.4979099999999994E-2</v>
      </c>
      <c r="F162" s="226">
        <v>3.9788449999999989E-2</v>
      </c>
      <c r="G162" s="226">
        <v>3.8388829999999985E-2</v>
      </c>
      <c r="H162" s="226">
        <v>2.6047299999999995E-2</v>
      </c>
      <c r="I162" s="226">
        <v>1.9997689999999999E-2</v>
      </c>
      <c r="J162" s="226">
        <v>1.2583829999999997E-2</v>
      </c>
      <c r="K162" s="226">
        <v>1.0986389999999999E-2</v>
      </c>
    </row>
    <row r="163" spans="1:11" x14ac:dyDescent="0.25">
      <c r="A163" s="224">
        <v>4.0999999999999999E-7</v>
      </c>
      <c r="B163" s="225">
        <f t="shared" si="2"/>
        <v>4.844982384E-19</v>
      </c>
      <c r="C163" s="226">
        <v>3.5830963259367361E-2</v>
      </c>
      <c r="D163" s="226">
        <v>4.0287429999999992E-2</v>
      </c>
      <c r="E163" s="226">
        <v>3.9516939999999987E-2</v>
      </c>
      <c r="F163" s="226">
        <v>4.0707149999999991E-2</v>
      </c>
      <c r="G163" s="226">
        <v>3.5296839999999996E-2</v>
      </c>
      <c r="H163" s="226">
        <v>2.5161909999999996E-2</v>
      </c>
      <c r="I163" s="226">
        <v>1.8846039999999998E-2</v>
      </c>
      <c r="J163" s="226">
        <v>1.1348039999999998E-2</v>
      </c>
      <c r="K163" s="226">
        <v>1.114189E-2</v>
      </c>
    </row>
    <row r="164" spans="1:11" x14ac:dyDescent="0.25">
      <c r="A164" s="224">
        <v>4.1100000000000001E-7</v>
      </c>
      <c r="B164" s="225">
        <f t="shared" si="2"/>
        <v>4.8331941056934305E-19</v>
      </c>
      <c r="C164" s="226">
        <v>4.821512768279429E-2</v>
      </c>
      <c r="D164" s="226">
        <v>4.8689019999999993E-2</v>
      </c>
      <c r="E164" s="226">
        <v>4.2506559999999999E-2</v>
      </c>
      <c r="F164" s="226">
        <v>4.2220089999999995E-2</v>
      </c>
      <c r="G164" s="226">
        <v>3.6653469999999994E-2</v>
      </c>
      <c r="H164" s="226">
        <v>2.4921210000000003E-2</v>
      </c>
      <c r="I164" s="226">
        <v>1.8971809999999999E-2</v>
      </c>
      <c r="J164" s="226">
        <v>1.157828E-2</v>
      </c>
      <c r="K164" s="226">
        <v>9.3551999999999993E-3</v>
      </c>
    </row>
    <row r="165" spans="1:11" x14ac:dyDescent="0.25">
      <c r="A165" s="224">
        <v>4.1200000000000004E-7</v>
      </c>
      <c r="B165" s="225">
        <f t="shared" si="2"/>
        <v>4.821463052038834E-19</v>
      </c>
      <c r="C165" s="226">
        <v>6.7620016363635946E-2</v>
      </c>
      <c r="D165" s="226">
        <v>6.0736159999999997E-2</v>
      </c>
      <c r="E165" s="226">
        <v>4.9013819999999993E-2</v>
      </c>
      <c r="F165" s="226">
        <v>4.2077909999999996E-2</v>
      </c>
      <c r="G165" s="226">
        <v>3.9221949999999992E-2</v>
      </c>
      <c r="H165" s="226">
        <v>2.6277780000000001E-2</v>
      </c>
      <c r="I165" s="226">
        <v>1.9523510000000001E-2</v>
      </c>
      <c r="J165" s="226">
        <v>1.2169969999999999E-2</v>
      </c>
      <c r="K165" s="226">
        <v>7.5211609999999993E-3</v>
      </c>
    </row>
    <row r="166" spans="1:11" x14ac:dyDescent="0.25">
      <c r="A166" s="224">
        <v>4.1300000000000001E-7</v>
      </c>
      <c r="B166" s="225">
        <f t="shared" si="2"/>
        <v>4.8097888073607746E-19</v>
      </c>
      <c r="C166" s="226">
        <v>7.4943311272727173E-2</v>
      </c>
      <c r="D166" s="226">
        <v>6.7859249999999982E-2</v>
      </c>
      <c r="E166" s="226">
        <v>4.9661989999999996E-2</v>
      </c>
      <c r="F166" s="226">
        <v>4.2683089999999986E-2</v>
      </c>
      <c r="G166" s="226">
        <v>3.8075959999999999E-2</v>
      </c>
      <c r="H166" s="226">
        <v>2.4485449999999992E-2</v>
      </c>
      <c r="I166" s="226">
        <v>1.8501279999999998E-2</v>
      </c>
      <c r="J166" s="226">
        <v>1.2479369999999998E-2</v>
      </c>
      <c r="K166" s="226">
        <v>8.6497719999999983E-3</v>
      </c>
    </row>
    <row r="167" spans="1:11" x14ac:dyDescent="0.25">
      <c r="A167" s="224">
        <v>4.1400000000000003E-7</v>
      </c>
      <c r="B167" s="225">
        <f t="shared" si="2"/>
        <v>4.7981709599999994E-19</v>
      </c>
      <c r="C167" s="226">
        <v>7.8725074572571857E-2</v>
      </c>
      <c r="D167" s="226">
        <v>7.1358689999999989E-2</v>
      </c>
      <c r="E167" s="226">
        <v>5.108944E-2</v>
      </c>
      <c r="F167" s="226">
        <v>4.3248159999999994E-2</v>
      </c>
      <c r="G167" s="226">
        <v>3.7948629999999997E-2</v>
      </c>
      <c r="H167" s="226">
        <v>2.2419189999999999E-2</v>
      </c>
      <c r="I167" s="226">
        <v>1.7235199999999999E-2</v>
      </c>
      <c r="J167" s="226">
        <v>1.1797319999999998E-2</v>
      </c>
      <c r="K167" s="226">
        <v>1.3321179999999998E-2</v>
      </c>
    </row>
    <row r="168" spans="1:11" x14ac:dyDescent="0.25">
      <c r="A168" s="224">
        <v>4.15E-7</v>
      </c>
      <c r="B168" s="225">
        <f t="shared" si="2"/>
        <v>4.7866091022650605E-19</v>
      </c>
      <c r="C168" s="226">
        <v>7.9493451272727264E-2</v>
      </c>
      <c r="D168" s="226">
        <v>7.0379719999999993E-2</v>
      </c>
      <c r="E168" s="226">
        <v>5.0474039999999991E-2</v>
      </c>
      <c r="F168" s="226">
        <v>4.3160669999999998E-2</v>
      </c>
      <c r="G168" s="226">
        <v>3.8305149999999996E-2</v>
      </c>
      <c r="H168" s="226">
        <v>2.2111269999999995E-2</v>
      </c>
      <c r="I168" s="226">
        <v>1.7255309999999999E-2</v>
      </c>
      <c r="J168" s="226">
        <v>1.2385749999999999E-2</v>
      </c>
      <c r="K168" s="226">
        <v>1.2371749999999999E-2</v>
      </c>
    </row>
    <row r="169" spans="1:11" x14ac:dyDescent="0.25">
      <c r="A169" s="224">
        <v>4.1600000000000002E-7</v>
      </c>
      <c r="B169" s="225">
        <f t="shared" si="2"/>
        <v>4.7751028303846149E-19</v>
      </c>
      <c r="C169" s="226">
        <v>7.9820329090909081E-2</v>
      </c>
      <c r="D169" s="226">
        <v>7.1176049999999991E-2</v>
      </c>
      <c r="E169" s="226">
        <v>5.0597849999999993E-2</v>
      </c>
      <c r="F169" s="226">
        <v>4.2325809999999998E-2</v>
      </c>
      <c r="G169" s="226">
        <v>3.8879969999999993E-2</v>
      </c>
      <c r="H169" s="226">
        <v>2.3556599999999997E-2</v>
      </c>
      <c r="I169" s="226">
        <v>1.8248649999999998E-2</v>
      </c>
      <c r="J169" s="226">
        <v>1.2553109999999998E-2</v>
      </c>
      <c r="K169" s="226">
        <v>1.5031399999999997E-2</v>
      </c>
    </row>
    <row r="170" spans="1:11" x14ac:dyDescent="0.25">
      <c r="A170" s="224">
        <v>4.1700000000000004E-7</v>
      </c>
      <c r="B170" s="225">
        <f t="shared" si="2"/>
        <v>4.7636517444604315E-19</v>
      </c>
      <c r="C170" s="226">
        <v>7.9192150545454476E-2</v>
      </c>
      <c r="D170" s="226">
        <v>6.9645499999999999E-2</v>
      </c>
      <c r="E170" s="226">
        <v>4.8423899999999992E-2</v>
      </c>
      <c r="F170" s="226">
        <v>4.1760739999999998E-2</v>
      </c>
      <c r="G170" s="226">
        <v>3.7817659999999996E-2</v>
      </c>
      <c r="H170" s="226">
        <v>2.3596779999999998E-2</v>
      </c>
      <c r="I170" s="226">
        <v>1.808413E-2</v>
      </c>
      <c r="J170" s="226">
        <v>1.2221660000000001E-2</v>
      </c>
      <c r="K170" s="226">
        <v>1.2619399999999999E-2</v>
      </c>
    </row>
    <row r="171" spans="1:11" x14ac:dyDescent="0.25">
      <c r="A171" s="224">
        <v>4.1800000000000001E-7</v>
      </c>
      <c r="B171" s="225">
        <f t="shared" si="2"/>
        <v>4.7522554484210526E-19</v>
      </c>
      <c r="C171" s="226">
        <v>7.8467165878501263E-2</v>
      </c>
      <c r="D171" s="226">
        <v>6.8432749999999987E-2</v>
      </c>
      <c r="E171" s="226">
        <v>4.7127549999999997E-2</v>
      </c>
      <c r="F171" s="226">
        <v>4.1775329999999999E-2</v>
      </c>
      <c r="G171" s="226">
        <v>3.6280569999999991E-2</v>
      </c>
      <c r="H171" s="226">
        <v>2.197321E-2</v>
      </c>
      <c r="I171" s="226">
        <v>1.7257869999999998E-2</v>
      </c>
      <c r="J171" s="226">
        <v>1.2131659999999999E-2</v>
      </c>
      <c r="K171" s="226">
        <v>9.2350189999999988E-3</v>
      </c>
    </row>
    <row r="172" spans="1:11" x14ac:dyDescent="0.25">
      <c r="A172" s="224">
        <v>4.1900000000000003E-7</v>
      </c>
      <c r="B172" s="225">
        <f t="shared" si="2"/>
        <v>4.7409135499761334E-19</v>
      </c>
      <c r="C172" s="226">
        <v>7.8822909057839202E-2</v>
      </c>
      <c r="D172" s="226">
        <v>7.0660989999999993E-2</v>
      </c>
      <c r="E172" s="226">
        <v>4.8769839999999995E-2</v>
      </c>
      <c r="F172" s="226">
        <v>4.1808129999999992E-2</v>
      </c>
      <c r="G172" s="226">
        <v>3.7526609999999995E-2</v>
      </c>
      <c r="H172" s="226">
        <v>2.2411519999999997E-2</v>
      </c>
      <c r="I172" s="226">
        <v>1.7270299999999995E-2</v>
      </c>
      <c r="J172" s="226">
        <v>1.2162739999999998E-2</v>
      </c>
      <c r="K172" s="226">
        <v>7.8740570000000003E-3</v>
      </c>
    </row>
    <row r="173" spans="1:11" x14ac:dyDescent="0.25">
      <c r="A173" s="224">
        <v>4.2E-7</v>
      </c>
      <c r="B173" s="225">
        <f t="shared" si="2"/>
        <v>4.7296256605714281E-19</v>
      </c>
      <c r="C173" s="226">
        <v>7.7955608886389249E-2</v>
      </c>
      <c r="D173" s="226">
        <v>7.2374189999999991E-2</v>
      </c>
      <c r="E173" s="226">
        <v>4.9021099999999991E-2</v>
      </c>
      <c r="F173" s="226">
        <v>4.2216449999999996E-2</v>
      </c>
      <c r="G173" s="226">
        <v>3.774124999999999E-2</v>
      </c>
      <c r="H173" s="226">
        <v>2.2707369999999994E-2</v>
      </c>
      <c r="I173" s="226">
        <v>1.7472479999999995E-2</v>
      </c>
      <c r="J173" s="226">
        <v>1.2079609999999999E-2</v>
      </c>
      <c r="K173" s="226">
        <v>7.6082009999999985E-3</v>
      </c>
    </row>
    <row r="174" spans="1:11" x14ac:dyDescent="0.25">
      <c r="A174" s="224">
        <v>4.2100000000000002E-7</v>
      </c>
      <c r="B174" s="225">
        <f t="shared" si="2"/>
        <v>4.7183913953444173E-19</v>
      </c>
      <c r="C174" s="226">
        <v>7.787788225829384E-2</v>
      </c>
      <c r="D174" s="226">
        <v>7.0547750000000006E-2</v>
      </c>
      <c r="E174" s="226">
        <v>4.9731179999999993E-2</v>
      </c>
      <c r="F174" s="226">
        <v>4.1953959999999998E-2</v>
      </c>
      <c r="G174" s="226">
        <v>3.8010469999999991E-2</v>
      </c>
      <c r="H174" s="226">
        <v>2.3876569999999993E-2</v>
      </c>
      <c r="I174" s="226">
        <v>1.8427429999999995E-2</v>
      </c>
      <c r="J174" s="226">
        <v>1.1762979999999998E-2</v>
      </c>
      <c r="K174" s="226">
        <v>1.1758829999999998E-2</v>
      </c>
    </row>
    <row r="175" spans="1:11" x14ac:dyDescent="0.25">
      <c r="A175" s="224">
        <v>4.2199999999999999E-7</v>
      </c>
      <c r="B175" s="225">
        <f t="shared" si="2"/>
        <v>4.7072103730805685E-19</v>
      </c>
      <c r="C175" s="226">
        <v>7.6998785777146889E-2</v>
      </c>
      <c r="D175" s="226">
        <v>7.0149589999999984E-2</v>
      </c>
      <c r="E175" s="226">
        <v>4.8165359999999997E-2</v>
      </c>
      <c r="F175" s="226">
        <v>4.1155569999999995E-2</v>
      </c>
      <c r="G175" s="226">
        <v>3.6526139999999999E-2</v>
      </c>
      <c r="H175" s="226">
        <v>2.2032009999999994E-2</v>
      </c>
      <c r="I175" s="226">
        <v>1.5204649999999998E-2</v>
      </c>
      <c r="J175" s="226">
        <v>8.1531929999999996E-3</v>
      </c>
      <c r="K175" s="226">
        <v>6.5294839999999995E-3</v>
      </c>
    </row>
    <row r="176" spans="1:11" x14ac:dyDescent="0.25">
      <c r="A176" s="224">
        <v>4.2300000000000002E-7</v>
      </c>
      <c r="B176" s="225">
        <f t="shared" si="2"/>
        <v>4.6960822161702124E-19</v>
      </c>
      <c r="C176" s="226">
        <v>7.5763946229933932E-2</v>
      </c>
      <c r="D176" s="226">
        <v>6.914505999999998E-2</v>
      </c>
      <c r="E176" s="226">
        <v>4.7469849999999994E-2</v>
      </c>
      <c r="F176" s="226">
        <v>4.1053489999999991E-2</v>
      </c>
      <c r="G176" s="226">
        <v>3.5212439999999991E-2</v>
      </c>
      <c r="H176" s="226">
        <v>2.1518819999999998E-2</v>
      </c>
      <c r="I176" s="226">
        <v>1.413527E-2</v>
      </c>
      <c r="J176" s="226">
        <v>7.286800999999999E-3</v>
      </c>
      <c r="K176" s="226">
        <v>4.7588129999999989E-3</v>
      </c>
    </row>
    <row r="177" spans="1:11" x14ac:dyDescent="0.25">
      <c r="A177" s="224">
        <v>4.2400000000000004E-7</v>
      </c>
      <c r="B177" s="225">
        <f t="shared" si="2"/>
        <v>4.6850065505660374E-19</v>
      </c>
      <c r="C177" s="226">
        <v>7.5591989861143807E-2</v>
      </c>
      <c r="D177" s="226">
        <v>6.6876619999999984E-2</v>
      </c>
      <c r="E177" s="226">
        <v>4.7935949999999998E-2</v>
      </c>
      <c r="F177" s="226">
        <v>4.0907659999999992E-2</v>
      </c>
      <c r="G177" s="226">
        <v>3.7399269999999998E-2</v>
      </c>
      <c r="H177" s="226">
        <v>2.406467E-2</v>
      </c>
      <c r="I177" s="226">
        <v>1.7082749999999997E-2</v>
      </c>
      <c r="J177" s="226">
        <v>1.0348629999999998E-2</v>
      </c>
      <c r="K177" s="226">
        <v>1.0177169999999999E-2</v>
      </c>
    </row>
    <row r="178" spans="1:11" x14ac:dyDescent="0.25">
      <c r="A178" s="224">
        <v>4.2500000000000001E-7</v>
      </c>
      <c r="B178" s="225">
        <f t="shared" si="2"/>
        <v>4.6739830057411761E-19</v>
      </c>
      <c r="C178" s="226">
        <v>7.4890094133395937E-2</v>
      </c>
      <c r="D178" s="226">
        <v>6.6865669999999988E-2</v>
      </c>
      <c r="E178" s="226">
        <v>4.8045190000000002E-2</v>
      </c>
      <c r="F178" s="226">
        <v>4.0404559999999992E-2</v>
      </c>
      <c r="G178" s="226">
        <v>3.7060940000000001E-2</v>
      </c>
      <c r="H178" s="226">
        <v>2.4160009999999996E-2</v>
      </c>
      <c r="I178" s="226">
        <v>1.6989519999999998E-2</v>
      </c>
      <c r="J178" s="226">
        <v>1.0449469999999999E-2</v>
      </c>
      <c r="K178" s="226">
        <v>8.3110799999999985E-3</v>
      </c>
    </row>
    <row r="179" spans="1:11" x14ac:dyDescent="0.25">
      <c r="A179" s="224">
        <v>4.2600000000000003E-7</v>
      </c>
      <c r="B179" s="225">
        <f t="shared" si="2"/>
        <v>4.6630112146478871E-19</v>
      </c>
      <c r="C179" s="226">
        <v>7.4639512521657667E-2</v>
      </c>
      <c r="D179" s="226">
        <v>6.7216339999999986E-2</v>
      </c>
      <c r="E179" s="226">
        <v>4.9075719999999996E-2</v>
      </c>
      <c r="F179" s="226">
        <v>3.9952509999999997E-2</v>
      </c>
      <c r="G179" s="226">
        <v>3.7057299999999994E-2</v>
      </c>
      <c r="H179" s="226">
        <v>2.3612849999999994E-2</v>
      </c>
      <c r="I179" s="226">
        <v>1.6787339999999998E-2</v>
      </c>
      <c r="J179" s="226">
        <v>1.1525509999999999E-2</v>
      </c>
      <c r="K179" s="226">
        <v>6.222839E-3</v>
      </c>
    </row>
    <row r="180" spans="1:11" x14ac:dyDescent="0.25">
      <c r="A180" s="224">
        <v>4.27E-7</v>
      </c>
      <c r="B180" s="225">
        <f t="shared" si="2"/>
        <v>4.6520908136768147E-19</v>
      </c>
      <c r="C180" s="226">
        <v>7.3987956735218491E-2</v>
      </c>
      <c r="D180" s="226">
        <v>6.7797149999999987E-2</v>
      </c>
      <c r="E180" s="226">
        <v>4.7746599999999993E-2</v>
      </c>
      <c r="F180" s="226">
        <v>3.9471279999999997E-2</v>
      </c>
      <c r="G180" s="226">
        <v>3.5879289999999994E-2</v>
      </c>
      <c r="H180" s="226">
        <v>2.2991179999999996E-2</v>
      </c>
      <c r="I180" s="226">
        <v>1.6806719999999997E-2</v>
      </c>
      <c r="J180" s="226">
        <v>1.1607200000000002E-2</v>
      </c>
      <c r="K180" s="226">
        <v>8.9312869999999996E-3</v>
      </c>
    </row>
    <row r="181" spans="1:11" x14ac:dyDescent="0.25">
      <c r="A181" s="224">
        <v>4.2800000000000002E-7</v>
      </c>
      <c r="B181" s="225">
        <f t="shared" si="2"/>
        <v>4.6412214426168219E-19</v>
      </c>
      <c r="C181" s="226">
        <v>7.3577641842350716E-2</v>
      </c>
      <c r="D181" s="226">
        <v>6.4852939999999998E-2</v>
      </c>
      <c r="E181" s="226">
        <v>4.6570409999999993E-2</v>
      </c>
      <c r="F181" s="226">
        <v>3.7181829999999992E-2</v>
      </c>
      <c r="G181" s="226">
        <v>3.4647079999999997E-2</v>
      </c>
      <c r="H181" s="226">
        <v>2.2205869999999996E-2</v>
      </c>
      <c r="I181" s="226">
        <v>1.6241499999999999E-2</v>
      </c>
      <c r="J181" s="226">
        <v>1.0823569999999999E-2</v>
      </c>
      <c r="K181" s="226">
        <v>1.0967089999999999E-2</v>
      </c>
    </row>
    <row r="182" spans="1:11" x14ac:dyDescent="0.25">
      <c r="A182" s="224">
        <v>4.2899999999999999E-7</v>
      </c>
      <c r="B182" s="225">
        <f t="shared" si="2"/>
        <v>4.6304027446153846E-19</v>
      </c>
      <c r="C182" s="226">
        <v>7.2417567449430384E-2</v>
      </c>
      <c r="D182" s="226">
        <v>6.2591819999999992E-2</v>
      </c>
      <c r="E182" s="226">
        <v>4.4735119999999989E-2</v>
      </c>
      <c r="F182" s="226">
        <v>3.3410779999999994E-2</v>
      </c>
      <c r="G182" s="226">
        <v>3.3557119999999996E-2</v>
      </c>
      <c r="H182" s="226">
        <v>2.2807819999999996E-2</v>
      </c>
      <c r="I182" s="226">
        <v>1.6619899999999996E-2</v>
      </c>
      <c r="J182" s="226">
        <v>1.1456109999999999E-2</v>
      </c>
      <c r="K182" s="226">
        <v>1.0240899999999999E-2</v>
      </c>
    </row>
    <row r="183" spans="1:11" x14ac:dyDescent="0.25">
      <c r="A183" s="224">
        <v>4.3000000000000001E-7</v>
      </c>
      <c r="B183" s="225">
        <f t="shared" si="2"/>
        <v>4.6196343661395346E-19</v>
      </c>
      <c r="C183" s="226">
        <v>7.0305940626595509E-2</v>
      </c>
      <c r="D183" s="226">
        <v>5.8296049999999988E-2</v>
      </c>
      <c r="E183" s="226">
        <v>4.1170150000000003E-2</v>
      </c>
      <c r="F183" s="226">
        <v>3.4816539999999993E-2</v>
      </c>
      <c r="G183" s="226">
        <v>2.8918589999999994E-2</v>
      </c>
      <c r="H183" s="226">
        <v>1.9444159999999999E-2</v>
      </c>
      <c r="I183" s="226">
        <v>1.4818569999999998E-2</v>
      </c>
      <c r="J183" s="226">
        <v>1.133611E-2</v>
      </c>
      <c r="K183" s="226">
        <v>1.040806E-2</v>
      </c>
    </row>
    <row r="184" spans="1:11" x14ac:dyDescent="0.25">
      <c r="A184" s="224">
        <v>4.3100000000000003E-7</v>
      </c>
      <c r="B184" s="225">
        <f t="shared" si="2"/>
        <v>4.6089159569373546E-19</v>
      </c>
      <c r="C184" s="226">
        <v>6.815653007179244E-2</v>
      </c>
      <c r="D184" s="226">
        <v>5.1735499999999997E-2</v>
      </c>
      <c r="E184" s="226">
        <v>4.3162020000000002E-2</v>
      </c>
      <c r="F184" s="226">
        <v>3.9493159999999999E-2</v>
      </c>
      <c r="G184" s="226">
        <v>2.9888129999999992E-2</v>
      </c>
      <c r="H184" s="226">
        <v>2.1670769999999995E-2</v>
      </c>
      <c r="I184" s="226">
        <v>1.7336479999999998E-2</v>
      </c>
      <c r="J184" s="226">
        <v>1.3566969999999999E-2</v>
      </c>
      <c r="K184" s="226">
        <v>1.1764289999999998E-2</v>
      </c>
    </row>
    <row r="185" spans="1:11" x14ac:dyDescent="0.25">
      <c r="A185" s="224">
        <v>4.32E-7</v>
      </c>
      <c r="B185" s="225">
        <f t="shared" si="2"/>
        <v>4.5982471699999997E-19</v>
      </c>
      <c r="C185" s="226">
        <v>6.3484791067714277E-2</v>
      </c>
      <c r="D185" s="226">
        <v>4.8294509999999999E-2</v>
      </c>
      <c r="E185" s="226">
        <v>4.5765649999999998E-2</v>
      </c>
      <c r="F185" s="226">
        <v>3.958794999999999E-2</v>
      </c>
      <c r="G185" s="226">
        <v>3.5975339999999995E-2</v>
      </c>
      <c r="H185" s="226">
        <v>2.5927489999999994E-2</v>
      </c>
      <c r="I185" s="226">
        <v>2.0260559999999997E-2</v>
      </c>
      <c r="J185" s="226">
        <v>1.540421E-2</v>
      </c>
      <c r="K185" s="226">
        <v>9.0736849999999997E-3</v>
      </c>
    </row>
    <row r="186" spans="1:11" x14ac:dyDescent="0.25">
      <c r="A186" s="224">
        <v>4.3300000000000003E-7</v>
      </c>
      <c r="B186" s="225">
        <f t="shared" si="2"/>
        <v>4.5876276615242489E-19</v>
      </c>
      <c r="C186" s="226">
        <v>4.9925041604056322E-2</v>
      </c>
      <c r="D186" s="226">
        <v>3.9180609999999998E-2</v>
      </c>
      <c r="E186" s="226">
        <v>4.0995359999999995E-2</v>
      </c>
      <c r="F186" s="226">
        <v>3.6875589999999993E-2</v>
      </c>
      <c r="G186" s="226">
        <v>3.747202999999999E-2</v>
      </c>
      <c r="H186" s="226">
        <v>2.8760069999999999E-2</v>
      </c>
      <c r="I186" s="226">
        <v>2.1772319999999998E-2</v>
      </c>
      <c r="J186" s="226">
        <v>1.5584209999999999E-2</v>
      </c>
      <c r="K186" s="226">
        <v>1.1211819999999999E-2</v>
      </c>
    </row>
    <row r="187" spans="1:11" x14ac:dyDescent="0.25">
      <c r="A187" s="224">
        <v>4.34E-7</v>
      </c>
      <c r="B187" s="225">
        <f t="shared" si="2"/>
        <v>4.5770570908755759E-19</v>
      </c>
      <c r="C187" s="226">
        <v>2.9668498942042619E-2</v>
      </c>
      <c r="D187" s="226">
        <v>3.5817419999999996E-2</v>
      </c>
      <c r="E187" s="226">
        <v>3.5955969999999997E-2</v>
      </c>
      <c r="F187" s="226">
        <v>3.8231769999999998E-2</v>
      </c>
      <c r="G187" s="226">
        <v>3.5901849999999992E-2</v>
      </c>
      <c r="H187" s="226">
        <v>3.0424189999999997E-2</v>
      </c>
      <c r="I187" s="226">
        <v>2.3382429999999996E-2</v>
      </c>
      <c r="J187" s="226">
        <v>1.6900969999999998E-2</v>
      </c>
      <c r="K187" s="226">
        <v>1.1972239999999999E-2</v>
      </c>
    </row>
    <row r="188" spans="1:11" x14ac:dyDescent="0.25">
      <c r="A188" s="224">
        <v>4.3500000000000002E-7</v>
      </c>
      <c r="B188" s="225">
        <f t="shared" si="2"/>
        <v>4.5665351205517236E-19</v>
      </c>
      <c r="C188" s="226">
        <v>4.2439929903603263E-2</v>
      </c>
      <c r="D188" s="226">
        <v>4.335217999999999E-2</v>
      </c>
      <c r="E188" s="226">
        <v>4.0875189999999985E-2</v>
      </c>
      <c r="F188" s="226">
        <v>4.0991510000000002E-2</v>
      </c>
      <c r="G188" s="226">
        <v>3.6984539999999989E-2</v>
      </c>
      <c r="H188" s="226">
        <v>2.9551949999999994E-2</v>
      </c>
      <c r="I188" s="226">
        <v>2.3168920000000003E-2</v>
      </c>
      <c r="J188" s="226">
        <v>1.6514579999999997E-2</v>
      </c>
      <c r="K188" s="226">
        <v>1.2455879999999997E-2</v>
      </c>
    </row>
    <row r="189" spans="1:11" x14ac:dyDescent="0.25">
      <c r="A189" s="224">
        <v>4.3600000000000004E-7</v>
      </c>
      <c r="B189" s="225">
        <f t="shared" si="2"/>
        <v>4.5560614161467889E-19</v>
      </c>
      <c r="C189" s="226">
        <v>5.9401705711670576E-2</v>
      </c>
      <c r="D189" s="226">
        <v>5.2685249999999989E-2</v>
      </c>
      <c r="E189" s="226">
        <v>4.8769839999999995E-2</v>
      </c>
      <c r="F189" s="226">
        <v>4.0499349999999996E-2</v>
      </c>
      <c r="G189" s="226">
        <v>4.1088269999999996E-2</v>
      </c>
      <c r="H189" s="226">
        <v>3.0980479999999991E-2</v>
      </c>
      <c r="I189" s="226">
        <v>2.4511039999999998E-2</v>
      </c>
      <c r="J189" s="226">
        <v>1.7224459999999997E-2</v>
      </c>
      <c r="K189" s="226">
        <v>1.264999E-2</v>
      </c>
    </row>
    <row r="190" spans="1:11" x14ac:dyDescent="0.25">
      <c r="A190" s="224">
        <v>4.3700000000000001E-7</v>
      </c>
      <c r="B190" s="225">
        <f t="shared" si="2"/>
        <v>4.5456356463157896E-19</v>
      </c>
      <c r="C190" s="226">
        <v>6.5544843112582851E-2</v>
      </c>
      <c r="D190" s="226">
        <v>5.8084189999999994E-2</v>
      </c>
      <c r="E190" s="226">
        <v>5.0179079999999987E-2</v>
      </c>
      <c r="F190" s="226">
        <v>3.940566999999999E-2</v>
      </c>
      <c r="G190" s="226">
        <v>4.0378849999999994E-2</v>
      </c>
      <c r="H190" s="226">
        <v>3.0042859999999994E-2</v>
      </c>
      <c r="I190" s="226">
        <v>2.400213E-2</v>
      </c>
      <c r="J190" s="226">
        <v>1.6757839999999996E-2</v>
      </c>
      <c r="K190" s="226">
        <v>1.3546979999999998E-2</v>
      </c>
    </row>
    <row r="191" spans="1:11" x14ac:dyDescent="0.25">
      <c r="A191" s="224">
        <v>4.3800000000000003E-7</v>
      </c>
      <c r="B191" s="225">
        <f t="shared" si="2"/>
        <v>4.5352574827397261E-19</v>
      </c>
      <c r="C191" s="226">
        <v>6.7142624817684571E-2</v>
      </c>
      <c r="D191" s="226">
        <v>5.970604999999999E-2</v>
      </c>
      <c r="E191" s="226">
        <v>4.6650519999999994E-2</v>
      </c>
      <c r="F191" s="226">
        <v>3.9154119999999987E-2</v>
      </c>
      <c r="G191" s="226">
        <v>3.7519329999999997E-2</v>
      </c>
      <c r="H191" s="226">
        <v>2.5516939999999995E-2</v>
      </c>
      <c r="I191" s="226">
        <v>2.0063869999999998E-2</v>
      </c>
      <c r="J191" s="226">
        <v>1.5242279999999997E-2</v>
      </c>
      <c r="K191" s="226">
        <v>1.5798009999999998E-2</v>
      </c>
    </row>
    <row r="192" spans="1:11" x14ac:dyDescent="0.25">
      <c r="A192" s="224">
        <v>4.39E-7</v>
      </c>
      <c r="B192" s="225">
        <f t="shared" si="2"/>
        <v>4.524926600091116E-19</v>
      </c>
      <c r="C192" s="226">
        <v>6.7159762824358107E-2</v>
      </c>
      <c r="D192" s="226">
        <v>5.874900999999999E-2</v>
      </c>
      <c r="E192" s="226">
        <v>4.7477129999999992E-2</v>
      </c>
      <c r="F192" s="226">
        <v>3.967909E-2</v>
      </c>
      <c r="G192" s="226">
        <v>3.6409719999999993E-2</v>
      </c>
      <c r="H192" s="226">
        <v>2.6010769999999999E-2</v>
      </c>
      <c r="I192" s="226">
        <v>2.101333E-2</v>
      </c>
      <c r="J192" s="226">
        <v>1.7013019999999997E-2</v>
      </c>
      <c r="K192" s="226">
        <v>1.4313950000000001E-2</v>
      </c>
    </row>
    <row r="193" spans="1:11" x14ac:dyDescent="0.25">
      <c r="A193" s="224">
        <v>4.4000000000000002E-7</v>
      </c>
      <c r="B193" s="225">
        <f t="shared" si="2"/>
        <v>4.5146426759999995E-19</v>
      </c>
      <c r="C193" s="226">
        <v>6.7597306958493988E-2</v>
      </c>
      <c r="D193" s="226">
        <v>5.6363679999999985E-2</v>
      </c>
      <c r="E193" s="226">
        <v>4.7091139999999997E-2</v>
      </c>
      <c r="F193" s="226">
        <v>4.1133689999999994E-2</v>
      </c>
      <c r="G193" s="226">
        <v>3.7417459999999993E-2</v>
      </c>
      <c r="H193" s="226">
        <v>2.6763929999999998E-2</v>
      </c>
      <c r="I193" s="226">
        <v>2.1614749999999995E-2</v>
      </c>
      <c r="J193" s="226">
        <v>1.672711E-2</v>
      </c>
      <c r="K193" s="226">
        <v>1.0673189999999999E-2</v>
      </c>
    </row>
    <row r="194" spans="1:11" x14ac:dyDescent="0.25">
      <c r="A194" s="224">
        <v>4.4099999999999999E-7</v>
      </c>
      <c r="B194" s="225">
        <f t="shared" si="2"/>
        <v>4.5044053910204077E-19</v>
      </c>
      <c r="C194" s="226">
        <v>6.7623486634985283E-2</v>
      </c>
      <c r="D194" s="226">
        <v>5.8613849999999995E-2</v>
      </c>
      <c r="E194" s="226">
        <v>4.7546320000000003E-2</v>
      </c>
      <c r="F194" s="226">
        <v>4.2114369999999998E-2</v>
      </c>
      <c r="G194" s="226">
        <v>3.8556179999999995E-2</v>
      </c>
      <c r="H194" s="226">
        <v>2.7098869999999997E-2</v>
      </c>
      <c r="I194" s="226">
        <v>2.2129879999999998E-2</v>
      </c>
      <c r="J194" s="226">
        <v>1.7620609999999998E-2</v>
      </c>
      <c r="K194" s="226">
        <v>1.4654459999999998E-2</v>
      </c>
    </row>
    <row r="195" spans="1:11" x14ac:dyDescent="0.25">
      <c r="A195" s="224">
        <v>4.4200000000000001E-7</v>
      </c>
      <c r="B195" s="225">
        <f t="shared" ref="B195:B258" si="3">h_planck*c_light/A195</f>
        <v>4.4942144285972853E-19</v>
      </c>
      <c r="C195" s="226">
        <v>6.7105814960469828E-2</v>
      </c>
      <c r="D195" s="226">
        <v>5.8628459999999993E-2</v>
      </c>
      <c r="E195" s="226">
        <v>4.847851999999999E-2</v>
      </c>
      <c r="F195" s="226">
        <v>4.206697999999999E-2</v>
      </c>
      <c r="G195" s="226">
        <v>4.0455249999999998E-2</v>
      </c>
      <c r="H195" s="226">
        <v>2.9764159999999994E-2</v>
      </c>
      <c r="I195" s="226">
        <v>2.4375039999999997E-2</v>
      </c>
      <c r="J195" s="226">
        <v>1.8126999999999997E-2</v>
      </c>
      <c r="K195" s="226">
        <v>1.7514409999999998E-2</v>
      </c>
    </row>
    <row r="196" spans="1:11" x14ac:dyDescent="0.25">
      <c r="A196" s="224">
        <v>4.4300000000000004E-7</v>
      </c>
      <c r="B196" s="225">
        <f t="shared" si="3"/>
        <v>4.48406947503386E-19</v>
      </c>
      <c r="C196" s="226">
        <v>6.7336541483900003E-2</v>
      </c>
      <c r="D196" s="226">
        <v>6.0202839999999987E-2</v>
      </c>
      <c r="E196" s="226">
        <v>4.8700649999999984E-2</v>
      </c>
      <c r="F196" s="226">
        <v>4.2289359999999991E-2</v>
      </c>
      <c r="G196" s="226">
        <v>4.0131460000000001E-2</v>
      </c>
      <c r="H196" s="226">
        <v>2.9963959999999998E-2</v>
      </c>
      <c r="I196" s="226">
        <v>2.4742469999999996E-2</v>
      </c>
      <c r="J196" s="226">
        <v>1.7856279999999995E-2</v>
      </c>
      <c r="K196" s="226">
        <v>1.7908099999999996E-2</v>
      </c>
    </row>
    <row r="197" spans="1:11" x14ac:dyDescent="0.25">
      <c r="A197" s="224">
        <v>4.4400000000000001E-7</v>
      </c>
      <c r="B197" s="225">
        <f t="shared" si="3"/>
        <v>4.4739702194594595E-19</v>
      </c>
      <c r="C197" s="226">
        <v>6.6795868701123584E-2</v>
      </c>
      <c r="D197" s="226">
        <v>5.876726999999999E-2</v>
      </c>
      <c r="E197" s="226">
        <v>4.8595050000000001E-2</v>
      </c>
      <c r="F197" s="226">
        <v>4.2012289999999994E-2</v>
      </c>
      <c r="G197" s="226">
        <v>4.0582579999999993E-2</v>
      </c>
      <c r="H197" s="226">
        <v>3.0599869999999994E-2</v>
      </c>
      <c r="I197" s="226">
        <v>2.5320849999999999E-2</v>
      </c>
      <c r="J197" s="226">
        <v>1.9842439999999999E-2</v>
      </c>
      <c r="K197" s="226">
        <v>1.8051949999999997E-2</v>
      </c>
    </row>
    <row r="198" spans="1:11" x14ac:dyDescent="0.25">
      <c r="A198" s="224">
        <v>4.4500000000000003E-7</v>
      </c>
      <c r="B198" s="225">
        <f t="shared" si="3"/>
        <v>4.463916353797752E-19</v>
      </c>
      <c r="C198" s="226">
        <v>6.6284718383045518E-2</v>
      </c>
      <c r="D198" s="226">
        <v>5.8285090000000005E-2</v>
      </c>
      <c r="E198" s="226">
        <v>4.7025589999999999E-2</v>
      </c>
      <c r="F198" s="226">
        <v>4.1778969999999985E-2</v>
      </c>
      <c r="G198" s="226">
        <v>3.954937E-2</v>
      </c>
      <c r="H198" s="226">
        <v>3.0294150000000002E-2</v>
      </c>
      <c r="I198" s="226">
        <v>2.5123059999999996E-2</v>
      </c>
      <c r="J198" s="226">
        <v>1.8484109999999998E-2</v>
      </c>
      <c r="K198" s="226">
        <v>1.6825009999999998E-2</v>
      </c>
    </row>
    <row r="199" spans="1:11" x14ac:dyDescent="0.25">
      <c r="A199" s="224">
        <v>4.46E-7</v>
      </c>
      <c r="B199" s="225">
        <f t="shared" si="3"/>
        <v>4.4539075727354257E-19</v>
      </c>
      <c r="C199" s="226">
        <v>6.6084953643688438E-2</v>
      </c>
      <c r="D199" s="226">
        <v>5.9172739999999988E-2</v>
      </c>
      <c r="E199" s="226">
        <v>4.6224469999999997E-2</v>
      </c>
      <c r="F199" s="226">
        <v>4.2741409999999994E-2</v>
      </c>
      <c r="G199" s="226">
        <v>3.8290599999999994E-2</v>
      </c>
      <c r="H199" s="226">
        <v>2.9260839999999993E-2</v>
      </c>
      <c r="I199" s="226">
        <v>2.4679589999999998E-2</v>
      </c>
      <c r="J199" s="226">
        <v>1.9884719999999998E-2</v>
      </c>
      <c r="K199" s="226">
        <v>2.3141809999999995E-2</v>
      </c>
    </row>
    <row r="200" spans="1:11" x14ac:dyDescent="0.25">
      <c r="A200" s="224">
        <v>4.4700000000000002E-7</v>
      </c>
      <c r="B200" s="225">
        <f t="shared" si="3"/>
        <v>4.4439435736912745E-19</v>
      </c>
      <c r="C200" s="226">
        <v>6.5038004838205765E-2</v>
      </c>
      <c r="D200" s="226">
        <v>5.7707939999999985E-2</v>
      </c>
      <c r="E200" s="226">
        <v>4.7324189999999995E-2</v>
      </c>
      <c r="F200" s="226">
        <v>4.3113269999999995E-2</v>
      </c>
      <c r="G200" s="226">
        <v>4.045888999999999E-2</v>
      </c>
      <c r="H200" s="226">
        <v>3.1911519999999999E-2</v>
      </c>
      <c r="I200" s="226">
        <v>2.8541439999999994E-2</v>
      </c>
      <c r="J200" s="226">
        <v>2.3614509999999998E-2</v>
      </c>
      <c r="K200" s="226">
        <v>2.2481539999999994E-2</v>
      </c>
    </row>
    <row r="201" spans="1:11" x14ac:dyDescent="0.25">
      <c r="A201" s="224">
        <v>4.4800000000000004E-7</v>
      </c>
      <c r="B201" s="225">
        <f t="shared" si="3"/>
        <v>4.434024056785714E-19</v>
      </c>
      <c r="C201" s="226">
        <v>6.3945537992871448E-2</v>
      </c>
      <c r="D201" s="226">
        <v>5.859193E-2</v>
      </c>
      <c r="E201" s="226">
        <v>4.7681049999999989E-2</v>
      </c>
      <c r="F201" s="226">
        <v>4.3412219999999994E-2</v>
      </c>
      <c r="G201" s="226">
        <v>4.1339299999999995E-2</v>
      </c>
      <c r="H201" s="226">
        <v>3.4283869999999987E-2</v>
      </c>
      <c r="I201" s="226">
        <v>2.9947179999999997E-2</v>
      </c>
      <c r="J201" s="226">
        <v>2.4252829999999996E-2</v>
      </c>
      <c r="K201" s="226">
        <v>2.147785E-2</v>
      </c>
    </row>
    <row r="202" spans="1:11" x14ac:dyDescent="0.25">
      <c r="A202" s="224">
        <v>4.4900000000000001E-7</v>
      </c>
      <c r="B202" s="225">
        <f t="shared" si="3"/>
        <v>4.4241487248106901E-19</v>
      </c>
      <c r="C202" s="226">
        <v>6.4287942920649016E-2</v>
      </c>
      <c r="D202" s="226">
        <v>5.8493299999999998E-2</v>
      </c>
      <c r="E202" s="226">
        <v>4.7637349999999995E-2</v>
      </c>
      <c r="F202" s="226">
        <v>4.4429349999999992E-2</v>
      </c>
      <c r="G202" s="226">
        <v>4.0869989999999988E-2</v>
      </c>
      <c r="H202" s="226">
        <v>3.3201239999999993E-2</v>
      </c>
      <c r="I202" s="226">
        <v>2.9105929999999999E-2</v>
      </c>
      <c r="J202" s="226">
        <v>2.4862959999999996E-2</v>
      </c>
      <c r="K202" s="226">
        <v>2.2923659999999995E-2</v>
      </c>
    </row>
    <row r="203" spans="1:11" x14ac:dyDescent="0.25">
      <c r="A203" s="224">
        <v>4.5000000000000003E-7</v>
      </c>
      <c r="B203" s="225">
        <f t="shared" si="3"/>
        <v>4.4143172832E-19</v>
      </c>
      <c r="C203" s="226">
        <v>6.4301141435544718E-2</v>
      </c>
      <c r="D203" s="226">
        <v>5.9804689999999994E-2</v>
      </c>
      <c r="E203" s="226">
        <v>4.9210459999999984E-2</v>
      </c>
      <c r="F203" s="226">
        <v>4.4772030000000004E-2</v>
      </c>
      <c r="G203" s="226">
        <v>4.2605339999999985E-2</v>
      </c>
      <c r="H203" s="226">
        <v>3.5409599999999999E-2</v>
      </c>
      <c r="I203" s="226">
        <v>3.0871059999999999E-2</v>
      </c>
      <c r="J203" s="226">
        <v>2.5284399999999999E-2</v>
      </c>
      <c r="K203" s="226">
        <v>2.3943019999999999E-2</v>
      </c>
    </row>
    <row r="204" spans="1:11" x14ac:dyDescent="0.25">
      <c r="A204" s="224">
        <v>4.51E-7</v>
      </c>
      <c r="B204" s="225">
        <f t="shared" si="3"/>
        <v>4.4045294400000003E-19</v>
      </c>
      <c r="C204" s="226">
        <v>6.3723816156741192E-2</v>
      </c>
      <c r="D204" s="226">
        <v>6.0611959999999993E-2</v>
      </c>
      <c r="E204" s="226">
        <v>4.9079359999999995E-2</v>
      </c>
      <c r="F204" s="226">
        <v>4.3197119999999992E-2</v>
      </c>
      <c r="G204" s="226">
        <v>4.3405709999999993E-2</v>
      </c>
      <c r="H204" s="226">
        <v>3.7249039999999997E-2</v>
      </c>
      <c r="I204" s="226">
        <v>3.2695769999999999E-2</v>
      </c>
      <c r="J204" s="226">
        <v>2.6480079999999996E-2</v>
      </c>
      <c r="K204" s="226">
        <v>2.4261679999999994E-2</v>
      </c>
    </row>
    <row r="205" spans="1:11" x14ac:dyDescent="0.25">
      <c r="A205" s="224">
        <v>4.5200000000000002E-7</v>
      </c>
      <c r="B205" s="225">
        <f t="shared" si="3"/>
        <v>4.3947849058407077E-19</v>
      </c>
      <c r="C205" s="226">
        <v>6.3066918291390717E-2</v>
      </c>
      <c r="D205" s="226">
        <v>5.9596469999999992E-2</v>
      </c>
      <c r="E205" s="226">
        <v>4.7189459999999996E-2</v>
      </c>
      <c r="F205" s="226">
        <v>4.1895630000000003E-2</v>
      </c>
      <c r="G205" s="226">
        <v>4.2245179999999986E-2</v>
      </c>
      <c r="H205" s="226">
        <v>3.5015479999999995E-2</v>
      </c>
      <c r="I205" s="226">
        <v>3.0554079999999997E-2</v>
      </c>
      <c r="J205" s="226">
        <v>2.4501149999999996E-2</v>
      </c>
      <c r="K205" s="226">
        <v>2.6182759999999996E-2</v>
      </c>
    </row>
    <row r="206" spans="1:11" x14ac:dyDescent="0.25">
      <c r="A206" s="224">
        <v>4.5299999999999999E-7</v>
      </c>
      <c r="B206" s="225">
        <f t="shared" si="3"/>
        <v>4.3850833939072848E-19</v>
      </c>
      <c r="C206" s="226">
        <v>6.2868674878854641E-2</v>
      </c>
      <c r="D206" s="226">
        <v>5.9282329999999994E-2</v>
      </c>
      <c r="E206" s="226">
        <v>4.5765649999999998E-2</v>
      </c>
      <c r="F206" s="226">
        <v>4.2249259999999997E-2</v>
      </c>
      <c r="G206" s="226">
        <v>3.9593029999999987E-2</v>
      </c>
      <c r="H206" s="226">
        <v>3.2552909999999997E-2</v>
      </c>
      <c r="I206" s="226">
        <v>2.8089189999999993E-2</v>
      </c>
      <c r="J206" s="226">
        <v>2.1943169999999994E-2</v>
      </c>
      <c r="K206" s="226">
        <v>2.6944999999999997E-2</v>
      </c>
    </row>
    <row r="207" spans="1:11" x14ac:dyDescent="0.25">
      <c r="A207" s="224">
        <v>4.5400000000000002E-7</v>
      </c>
      <c r="B207" s="225">
        <f t="shared" si="3"/>
        <v>4.3754246199118941E-19</v>
      </c>
      <c r="C207" s="226">
        <v>6.2568704671356334E-2</v>
      </c>
      <c r="D207" s="226">
        <v>5.9391909999999992E-2</v>
      </c>
      <c r="E207" s="226">
        <v>4.6461169999999989E-2</v>
      </c>
      <c r="F207" s="226">
        <v>4.2763289999999995E-2</v>
      </c>
      <c r="G207" s="226">
        <v>4.0786309999999999E-2</v>
      </c>
      <c r="H207" s="226">
        <v>3.3631519999999998E-2</v>
      </c>
      <c r="I207" s="226">
        <v>2.9350149999999998E-2</v>
      </c>
      <c r="J207" s="226">
        <v>2.3713909999999994E-2</v>
      </c>
      <c r="K207" s="226">
        <v>2.5929289999999997E-2</v>
      </c>
    </row>
    <row r="208" spans="1:11" x14ac:dyDescent="0.25">
      <c r="A208" s="224">
        <v>4.5500000000000004E-7</v>
      </c>
      <c r="B208" s="225">
        <f t="shared" si="3"/>
        <v>4.3658083020659332E-19</v>
      </c>
      <c r="C208" s="226">
        <v>6.1348523042333875E-2</v>
      </c>
      <c r="D208" s="226">
        <v>5.8073219999999988E-2</v>
      </c>
      <c r="E208" s="226">
        <v>4.5976860000000001E-2</v>
      </c>
      <c r="F208" s="226">
        <v>4.3762189999999992E-2</v>
      </c>
      <c r="G208" s="226">
        <v>4.0618959999999996E-2</v>
      </c>
      <c r="H208" s="226">
        <v>3.4994299999999999E-2</v>
      </c>
      <c r="I208" s="226">
        <v>3.1821989999999994E-2</v>
      </c>
      <c r="J208" s="226">
        <v>2.7159959999999997E-2</v>
      </c>
      <c r="K208" s="226">
        <v>2.7765509999999993E-2</v>
      </c>
    </row>
    <row r="209" spans="1:11" x14ac:dyDescent="0.25">
      <c r="A209" s="224">
        <v>4.5600000000000001E-7</v>
      </c>
      <c r="B209" s="225">
        <f t="shared" si="3"/>
        <v>4.3562341610526317E-19</v>
      </c>
      <c r="C209" s="226">
        <v>6.1276885382088878E-2</v>
      </c>
      <c r="D209" s="226">
        <v>5.8186460000000002E-2</v>
      </c>
      <c r="E209" s="226">
        <v>4.6508509999999996E-2</v>
      </c>
      <c r="F209" s="226">
        <v>4.4126759999999994E-2</v>
      </c>
      <c r="G209" s="226">
        <v>4.136476E-2</v>
      </c>
      <c r="H209" s="226">
        <v>3.5929719999999998E-2</v>
      </c>
      <c r="I209" s="226">
        <v>3.2272409999999994E-2</v>
      </c>
      <c r="J209" s="226">
        <v>2.9091899999999997E-2</v>
      </c>
      <c r="K209" s="226">
        <v>3.474548999999999E-2</v>
      </c>
    </row>
    <row r="210" spans="1:11" x14ac:dyDescent="0.25">
      <c r="A210" s="224">
        <v>4.5700000000000003E-7</v>
      </c>
      <c r="B210" s="225">
        <f t="shared" si="3"/>
        <v>4.3467019199999993E-19</v>
      </c>
      <c r="C210" s="226">
        <v>6.1480900403841965E-2</v>
      </c>
      <c r="D210" s="226">
        <v>5.8924339999999992E-2</v>
      </c>
      <c r="E210" s="226">
        <v>4.7659199999999992E-2</v>
      </c>
      <c r="F210" s="226">
        <v>4.3299199999999989E-2</v>
      </c>
      <c r="G210" s="226">
        <v>4.1724929999999993E-2</v>
      </c>
      <c r="H210" s="226">
        <v>3.7508369999999999E-2</v>
      </c>
      <c r="I210" s="226">
        <v>3.413807E-2</v>
      </c>
      <c r="J210" s="226">
        <v>2.9072019999999994E-2</v>
      </c>
      <c r="K210" s="226">
        <v>3.2199829999999992E-2</v>
      </c>
    </row>
    <row r="211" spans="1:11" x14ac:dyDescent="0.25">
      <c r="A211" s="224">
        <v>4.58E-7</v>
      </c>
      <c r="B211" s="225">
        <f t="shared" si="3"/>
        <v>4.3372113044541481E-19</v>
      </c>
      <c r="C211" s="226">
        <v>6.070071424836597E-2</v>
      </c>
      <c r="D211" s="226">
        <v>5.8047660000000001E-2</v>
      </c>
      <c r="E211" s="226">
        <v>4.6355569999999992E-2</v>
      </c>
      <c r="F211" s="226">
        <v>4.3084109999999995E-2</v>
      </c>
      <c r="G211" s="226">
        <v>4.125562E-2</v>
      </c>
      <c r="H211" s="226">
        <v>3.6309229999999998E-2</v>
      </c>
      <c r="I211" s="226">
        <v>3.3043089999999997E-2</v>
      </c>
      <c r="J211" s="226">
        <v>2.9041299999999996E-2</v>
      </c>
      <c r="K211" s="226">
        <v>2.9292539999999995E-2</v>
      </c>
    </row>
    <row r="212" spans="1:11" x14ac:dyDescent="0.25">
      <c r="A212" s="224">
        <v>4.5900000000000002E-7</v>
      </c>
      <c r="B212" s="225">
        <f t="shared" si="3"/>
        <v>4.327762042352941E-19</v>
      </c>
      <c r="C212" s="226">
        <v>6.0308004500978465E-2</v>
      </c>
      <c r="D212" s="226">
        <v>5.9764499999999991E-2</v>
      </c>
      <c r="E212" s="226">
        <v>4.5751089999999994E-2</v>
      </c>
      <c r="F212" s="226">
        <v>4.3404919999999993E-2</v>
      </c>
      <c r="G212" s="226">
        <v>4.0564389999999999E-2</v>
      </c>
      <c r="H212" s="226">
        <v>3.5445389999999993E-2</v>
      </c>
      <c r="I212" s="226">
        <v>3.2979109999999999E-2</v>
      </c>
      <c r="J212" s="226">
        <v>2.9069489999999993E-2</v>
      </c>
      <c r="K212" s="226">
        <v>2.6182759999999996E-2</v>
      </c>
    </row>
    <row r="213" spans="1:11" x14ac:dyDescent="0.25">
      <c r="A213" s="224">
        <v>4.6000000000000004E-7</v>
      </c>
      <c r="B213" s="225">
        <f t="shared" si="3"/>
        <v>4.3183538639999997E-19</v>
      </c>
      <c r="C213" s="226">
        <v>6.0629011431980899E-2</v>
      </c>
      <c r="D213" s="226">
        <v>5.9815639999999996E-2</v>
      </c>
      <c r="E213" s="226">
        <v>4.645023999999999E-2</v>
      </c>
      <c r="F213" s="226">
        <v>4.3773129999999993E-2</v>
      </c>
      <c r="G213" s="226">
        <v>4.0673529999999999E-2</v>
      </c>
      <c r="H213" s="226">
        <v>3.5920959999999995E-2</v>
      </c>
      <c r="I213" s="226">
        <v>3.3162279999999995E-2</v>
      </c>
      <c r="J213" s="226">
        <v>2.9722629999999996E-2</v>
      </c>
      <c r="K213" s="226">
        <v>2.8560889999999995E-2</v>
      </c>
    </row>
    <row r="214" spans="1:11" x14ac:dyDescent="0.25">
      <c r="A214" s="224">
        <v>4.6100000000000001E-7</v>
      </c>
      <c r="B214" s="225">
        <f t="shared" si="3"/>
        <v>4.3089865020390452E-19</v>
      </c>
      <c r="C214" s="226">
        <v>6.0333217173489287E-2</v>
      </c>
      <c r="D214" s="226">
        <v>6.0432969999999989E-2</v>
      </c>
      <c r="E214" s="226">
        <v>4.694911999999999E-2</v>
      </c>
      <c r="F214" s="226">
        <v>4.3918959999999993E-2</v>
      </c>
      <c r="G214" s="226">
        <v>4.1597599999999992E-2</v>
      </c>
      <c r="H214" s="226">
        <v>3.6715759999999993E-2</v>
      </c>
      <c r="I214" s="226">
        <v>3.4078109999999995E-2</v>
      </c>
      <c r="J214" s="226">
        <v>3.1251559999999998E-2</v>
      </c>
      <c r="K214" s="226">
        <v>3.0834139999999996E-2</v>
      </c>
    </row>
    <row r="215" spans="1:11" x14ac:dyDescent="0.25">
      <c r="A215" s="224">
        <v>4.6200000000000003E-7</v>
      </c>
      <c r="B215" s="225">
        <f t="shared" si="3"/>
        <v>4.2996596914285709E-19</v>
      </c>
      <c r="C215" s="226">
        <v>5.944897325264753E-2</v>
      </c>
      <c r="D215" s="226">
        <v>5.8632119999999989E-2</v>
      </c>
      <c r="E215" s="226">
        <v>4.7214949999999992E-2</v>
      </c>
      <c r="F215" s="226">
        <v>4.3948129999999988E-2</v>
      </c>
      <c r="G215" s="226">
        <v>4.1965039999999995E-2</v>
      </c>
      <c r="H215" s="226">
        <v>3.7599679999999989E-2</v>
      </c>
      <c r="I215" s="226">
        <v>3.546118999999999E-2</v>
      </c>
      <c r="J215" s="226">
        <v>3.0759259999999997E-2</v>
      </c>
      <c r="K215" s="226">
        <v>2.9399249999999995E-2</v>
      </c>
    </row>
    <row r="216" spans="1:11" x14ac:dyDescent="0.25">
      <c r="A216" s="224">
        <v>4.63E-7</v>
      </c>
      <c r="B216" s="225">
        <f t="shared" si="3"/>
        <v>4.2903731694168467E-19</v>
      </c>
      <c r="C216" s="226">
        <v>5.8966555905172413E-2</v>
      </c>
      <c r="D216" s="226">
        <v>5.7561829999999994E-2</v>
      </c>
      <c r="E216" s="226">
        <v>4.7251359999999985E-2</v>
      </c>
      <c r="F216" s="226">
        <v>4.3561679999999998E-2</v>
      </c>
      <c r="G216" s="226">
        <v>4.1681269999999986E-2</v>
      </c>
      <c r="H216" s="226">
        <v>3.7862669999999994E-2</v>
      </c>
      <c r="I216" s="226">
        <v>3.5063409999999996E-2</v>
      </c>
      <c r="J216" s="226">
        <v>3.109758E-2</v>
      </c>
      <c r="K216" s="226">
        <v>2.8706569999999997E-2</v>
      </c>
    </row>
    <row r="217" spans="1:11" x14ac:dyDescent="0.25">
      <c r="A217" s="224">
        <v>4.6400000000000003E-7</v>
      </c>
      <c r="B217" s="225">
        <f t="shared" si="3"/>
        <v>4.2811266755172408E-19</v>
      </c>
      <c r="C217" s="226">
        <v>5.8911100683870961E-2</v>
      </c>
      <c r="D217" s="226">
        <v>5.8482349999999989E-2</v>
      </c>
      <c r="E217" s="226">
        <v>4.6173499999999992E-2</v>
      </c>
      <c r="F217" s="226">
        <v>4.3324719999999997E-2</v>
      </c>
      <c r="G217" s="226">
        <v>4.0568029999999991E-2</v>
      </c>
      <c r="H217" s="226">
        <v>3.5716409999999997E-2</v>
      </c>
      <c r="I217" s="226">
        <v>3.3716169999999997E-2</v>
      </c>
      <c r="J217" s="226">
        <v>2.9671310000000003E-2</v>
      </c>
      <c r="K217" s="226">
        <v>3.0322819999999993E-2</v>
      </c>
    </row>
    <row r="218" spans="1:11" x14ac:dyDescent="0.25">
      <c r="A218" s="224">
        <v>4.6499999999999999E-7</v>
      </c>
      <c r="B218" s="225">
        <f t="shared" si="3"/>
        <v>4.2719199514838712E-19</v>
      </c>
      <c r="C218" s="226">
        <v>5.8778274115879818E-2</v>
      </c>
      <c r="D218" s="226">
        <v>5.6864129999999992E-2</v>
      </c>
      <c r="E218" s="226">
        <v>4.6384699999999994E-2</v>
      </c>
      <c r="F218" s="226">
        <v>4.315336999999999E-2</v>
      </c>
      <c r="G218" s="226">
        <v>3.9945919999999989E-2</v>
      </c>
      <c r="H218" s="226">
        <v>3.5531960000000001E-2</v>
      </c>
      <c r="I218" s="226">
        <v>3.2550999999999997E-2</v>
      </c>
      <c r="J218" s="226">
        <v>2.9346719999999996E-2</v>
      </c>
      <c r="K218" s="226">
        <v>2.9325319999999992E-2</v>
      </c>
    </row>
    <row r="219" spans="1:11" x14ac:dyDescent="0.25">
      <c r="A219" s="224">
        <v>4.6600000000000002E-7</v>
      </c>
      <c r="B219" s="225">
        <f t="shared" si="3"/>
        <v>4.2627527412875532E-19</v>
      </c>
      <c r="C219" s="226">
        <v>5.8333723092739348E-2</v>
      </c>
      <c r="D219" s="226">
        <v>5.6875089999999989E-2</v>
      </c>
      <c r="E219" s="226">
        <v>4.5641849999999998E-2</v>
      </c>
      <c r="F219" s="226">
        <v>4.2642989999999999E-2</v>
      </c>
      <c r="G219" s="226">
        <v>4.0120539999999989E-2</v>
      </c>
      <c r="H219" s="226">
        <v>3.5732479999999997E-2</v>
      </c>
      <c r="I219" s="226">
        <v>3.2950229999999997E-2</v>
      </c>
      <c r="J219" s="226">
        <v>2.9608409999999998E-2</v>
      </c>
      <c r="K219" s="226">
        <v>2.9229899999999993E-2</v>
      </c>
    </row>
    <row r="220" spans="1:11" x14ac:dyDescent="0.25">
      <c r="A220" s="224">
        <v>4.6700000000000004E-7</v>
      </c>
      <c r="B220" s="225">
        <f t="shared" si="3"/>
        <v>4.2536247910920767E-19</v>
      </c>
      <c r="C220" s="226">
        <v>5.7865188572039324E-2</v>
      </c>
      <c r="D220" s="226">
        <v>5.627966999999999E-2</v>
      </c>
      <c r="E220" s="226">
        <v>4.552896E-2</v>
      </c>
      <c r="F220" s="226">
        <v>4.2996619999999999E-2</v>
      </c>
      <c r="G220" s="226">
        <v>4.0105989999999994E-2</v>
      </c>
      <c r="H220" s="226">
        <v>3.5431879999999992E-2</v>
      </c>
      <c r="I220" s="226">
        <v>3.3427709999999992E-2</v>
      </c>
      <c r="J220" s="226">
        <v>2.9296119999999995E-2</v>
      </c>
      <c r="K220" s="226">
        <v>2.8072149999999997E-2</v>
      </c>
    </row>
    <row r="221" spans="1:11" x14ac:dyDescent="0.25">
      <c r="A221" s="224">
        <v>4.6800000000000001E-7</v>
      </c>
      <c r="B221" s="225">
        <f t="shared" si="3"/>
        <v>4.2445358492307693E-19</v>
      </c>
      <c r="C221" s="226">
        <v>5.771688505119453E-2</v>
      </c>
      <c r="D221" s="226">
        <v>5.6736279999999986E-2</v>
      </c>
      <c r="E221" s="226">
        <v>4.6752479999999992E-2</v>
      </c>
      <c r="F221" s="226">
        <v>4.315336999999999E-2</v>
      </c>
      <c r="G221" s="226">
        <v>4.0284259999999995E-2</v>
      </c>
      <c r="H221" s="226">
        <v>3.6212799999999996E-2</v>
      </c>
      <c r="I221" s="226">
        <v>3.3656579999999998E-2</v>
      </c>
      <c r="J221" s="226">
        <v>2.9570820000000001E-2</v>
      </c>
      <c r="K221" s="226">
        <v>2.7775339999999999E-2</v>
      </c>
    </row>
    <row r="222" spans="1:11" x14ac:dyDescent="0.25">
      <c r="A222" s="224">
        <v>4.6900000000000003E-7</v>
      </c>
      <c r="B222" s="225">
        <f t="shared" si="3"/>
        <v>4.2354856661833683E-19</v>
      </c>
      <c r="C222" s="226">
        <v>5.7340710538641669E-2</v>
      </c>
      <c r="D222" s="226">
        <v>5.5947259999999992E-2</v>
      </c>
      <c r="E222" s="226">
        <v>4.6330079999999996E-2</v>
      </c>
      <c r="F222" s="226">
        <v>4.2606529999999997E-2</v>
      </c>
      <c r="G222" s="226">
        <v>4.0775399999999996E-2</v>
      </c>
      <c r="H222" s="226">
        <v>3.6360730000000001E-2</v>
      </c>
      <c r="I222" s="226">
        <v>3.4034969999999998E-2</v>
      </c>
      <c r="J222" s="226">
        <v>3.0138659999999994E-2</v>
      </c>
      <c r="K222" s="226">
        <v>3.2791999999999995E-2</v>
      </c>
    </row>
    <row r="223" spans="1:11" x14ac:dyDescent="0.25">
      <c r="A223" s="224">
        <v>4.7E-7</v>
      </c>
      <c r="B223" s="225">
        <f t="shared" si="3"/>
        <v>4.2264739945531914E-19</v>
      </c>
      <c r="C223" s="226">
        <v>5.6939103238539873E-2</v>
      </c>
      <c r="D223" s="226">
        <v>5.56112E-2</v>
      </c>
      <c r="E223" s="226">
        <v>4.5051929999999997E-2</v>
      </c>
      <c r="F223" s="226">
        <v>4.2792449999999996E-2</v>
      </c>
      <c r="G223" s="226">
        <v>3.9603939999999997E-2</v>
      </c>
      <c r="H223" s="226">
        <v>3.4966169999999998E-2</v>
      </c>
      <c r="I223" s="226">
        <v>3.2391959999999997E-2</v>
      </c>
      <c r="J223" s="226">
        <v>2.8953829999999996E-2</v>
      </c>
      <c r="K223" s="226">
        <v>2.9481920000000002E-2</v>
      </c>
    </row>
    <row r="224" spans="1:11" x14ac:dyDescent="0.25">
      <c r="A224" s="224">
        <v>4.7100000000000002E-7</v>
      </c>
      <c r="B224" s="225">
        <f t="shared" si="3"/>
        <v>4.2175005890445857E-19</v>
      </c>
      <c r="C224" s="226">
        <v>5.653825406058037E-2</v>
      </c>
      <c r="D224" s="226">
        <v>5.5085179999999984E-2</v>
      </c>
      <c r="E224" s="226">
        <v>4.5070139999999988E-2</v>
      </c>
      <c r="F224" s="226">
        <v>4.3685639999999991E-2</v>
      </c>
      <c r="G224" s="226">
        <v>4.0120539999999989E-2</v>
      </c>
      <c r="H224" s="226">
        <v>3.5027539999999996E-2</v>
      </c>
      <c r="I224" s="226">
        <v>3.3103789999999994E-2</v>
      </c>
      <c r="J224" s="226">
        <v>2.9442869999999996E-2</v>
      </c>
      <c r="K224" s="226">
        <v>2.9437120000000001E-2</v>
      </c>
    </row>
    <row r="225" spans="1:11" x14ac:dyDescent="0.25">
      <c r="A225" s="224">
        <v>4.7199999999999999E-7</v>
      </c>
      <c r="B225" s="225">
        <f t="shared" si="3"/>
        <v>4.2085652064406779E-19</v>
      </c>
      <c r="C225" s="226">
        <v>5.6157599723102927E-2</v>
      </c>
      <c r="D225" s="226">
        <v>5.332449999999999E-2</v>
      </c>
      <c r="E225" s="226">
        <v>4.6555840000000001E-2</v>
      </c>
      <c r="F225" s="226">
        <v>4.3835099999999995E-2</v>
      </c>
      <c r="G225" s="226">
        <v>4.1346569999999992E-2</v>
      </c>
      <c r="H225" s="226">
        <v>3.7449929999999999E-2</v>
      </c>
      <c r="I225" s="226">
        <v>3.409384E-2</v>
      </c>
      <c r="J225" s="226">
        <v>2.9857809999999995E-2</v>
      </c>
      <c r="K225" s="226">
        <v>2.9580979999999996E-2</v>
      </c>
    </row>
    <row r="226" spans="1:11" x14ac:dyDescent="0.25">
      <c r="A226" s="224">
        <v>4.7300000000000001E-7</v>
      </c>
      <c r="B226" s="225">
        <f t="shared" si="3"/>
        <v>4.1996676055813952E-19</v>
      </c>
      <c r="C226" s="226">
        <v>5.5741386367088606E-2</v>
      </c>
      <c r="D226" s="226">
        <v>5.4668749999999995E-2</v>
      </c>
      <c r="E226" s="226">
        <v>4.6676009999999997E-2</v>
      </c>
      <c r="F226" s="226">
        <v>4.3703859999999997E-2</v>
      </c>
      <c r="G226" s="226">
        <v>4.2030529999999997E-2</v>
      </c>
      <c r="H226" s="226">
        <v>3.7157719999999998E-2</v>
      </c>
      <c r="I226" s="226">
        <v>3.4204249999999999E-2</v>
      </c>
      <c r="J226" s="226">
        <v>2.9023949999999993E-2</v>
      </c>
      <c r="K226" s="226">
        <v>3.1571609999999993E-2</v>
      </c>
    </row>
    <row r="227" spans="1:11" x14ac:dyDescent="0.25">
      <c r="A227" s="224">
        <v>4.7400000000000004E-7</v>
      </c>
      <c r="B227" s="225">
        <f t="shared" si="3"/>
        <v>4.1908075473417718E-19</v>
      </c>
      <c r="C227" s="226">
        <v>5.5394443289113499E-2</v>
      </c>
      <c r="D227" s="226">
        <v>5.4193879999999993E-2</v>
      </c>
      <c r="E227" s="226">
        <v>4.6512149999999988E-2</v>
      </c>
      <c r="F227" s="226">
        <v>4.3645539999999997E-2</v>
      </c>
      <c r="G227" s="226">
        <v>4.2019609999999999E-2</v>
      </c>
      <c r="H227" s="226">
        <v>3.7274609999999993E-2</v>
      </c>
      <c r="I227" s="226">
        <v>3.4253599999999995E-2</v>
      </c>
      <c r="J227" s="226">
        <v>2.8582259999999995E-2</v>
      </c>
      <c r="K227" s="226">
        <v>2.9498669999999998E-2</v>
      </c>
    </row>
    <row r="228" spans="1:11" x14ac:dyDescent="0.25">
      <c r="A228" s="224">
        <v>4.75E-7</v>
      </c>
      <c r="B228" s="225">
        <f t="shared" si="3"/>
        <v>4.1819847946105264E-19</v>
      </c>
      <c r="C228" s="226">
        <v>5.5125171796595922E-2</v>
      </c>
      <c r="D228" s="226">
        <v>5.5077879999999989E-2</v>
      </c>
      <c r="E228" s="226">
        <v>4.6461169999999989E-2</v>
      </c>
      <c r="F228" s="226">
        <v>4.3539809999999998E-2</v>
      </c>
      <c r="G228" s="226">
        <v>4.2692649999999999E-2</v>
      </c>
      <c r="H228" s="226">
        <v>3.7921109999999994E-2</v>
      </c>
      <c r="I228" s="226">
        <v>3.4435669999999988E-2</v>
      </c>
      <c r="J228" s="226">
        <v>2.8024549999999995E-2</v>
      </c>
      <c r="K228" s="226">
        <v>2.9942249999999997E-2</v>
      </c>
    </row>
    <row r="229" spans="1:11" x14ac:dyDescent="0.25">
      <c r="A229" s="224">
        <v>4.7600000000000003E-7</v>
      </c>
      <c r="B229" s="225">
        <f t="shared" si="3"/>
        <v>4.173199112268907E-19</v>
      </c>
      <c r="C229" s="226">
        <v>5.4728383020134233E-2</v>
      </c>
      <c r="D229" s="226">
        <v>5.3835899999999985E-2</v>
      </c>
      <c r="E229" s="226">
        <v>4.5204869999999994E-2</v>
      </c>
      <c r="F229" s="226">
        <v>4.3747609999999999E-2</v>
      </c>
      <c r="G229" s="226">
        <v>4.1099189999999994E-2</v>
      </c>
      <c r="H229" s="226">
        <v>3.665000999999999E-2</v>
      </c>
      <c r="I229" s="226">
        <v>3.2923539999999994E-2</v>
      </c>
      <c r="J229" s="226">
        <v>2.5083799999999993E-2</v>
      </c>
      <c r="K229" s="226">
        <v>2.5167769999999999E-2</v>
      </c>
    </row>
    <row r="230" spans="1:11" x14ac:dyDescent="0.25">
      <c r="A230" s="224">
        <v>4.7700000000000005E-7</v>
      </c>
      <c r="B230" s="225">
        <f t="shared" si="3"/>
        <v>4.1644502671698109E-19</v>
      </c>
      <c r="C230" s="226">
        <v>5.4307860238593533E-2</v>
      </c>
      <c r="D230" s="226">
        <v>5.3130899999999988E-2</v>
      </c>
      <c r="E230" s="226">
        <v>4.5685539999999997E-2</v>
      </c>
      <c r="F230" s="226">
        <v>4.3962709999999988E-2</v>
      </c>
      <c r="G230" s="226">
        <v>4.2234259999999996E-2</v>
      </c>
      <c r="H230" s="226">
        <v>3.7409749999999992E-2</v>
      </c>
      <c r="I230" s="226">
        <v>3.2246819999999995E-2</v>
      </c>
      <c r="J230" s="226">
        <v>2.3154029999999992E-2</v>
      </c>
      <c r="K230" s="226">
        <v>2.0996030000000002E-2</v>
      </c>
    </row>
    <row r="231" spans="1:11" x14ac:dyDescent="0.25">
      <c r="A231" s="224">
        <v>4.7800000000000002E-7</v>
      </c>
      <c r="B231" s="225">
        <f t="shared" si="3"/>
        <v>4.1557380281171544E-19</v>
      </c>
      <c r="C231" s="226">
        <v>5.3890138748694381E-2</v>
      </c>
      <c r="D231" s="226">
        <v>5.4533599999999988E-2</v>
      </c>
      <c r="E231" s="226">
        <v>4.6828949999999994E-2</v>
      </c>
      <c r="F231" s="226">
        <v>4.4039269999999998E-2</v>
      </c>
      <c r="G231" s="226">
        <v>4.3063739999999989E-2</v>
      </c>
      <c r="H231" s="226">
        <v>3.7559509999999997E-2</v>
      </c>
      <c r="I231" s="226">
        <v>3.2648610000000002E-2</v>
      </c>
      <c r="J231" s="226">
        <v>2.3297879999999997E-2</v>
      </c>
      <c r="K231" s="226">
        <v>2.3888759999999998E-2</v>
      </c>
    </row>
    <row r="232" spans="1:11" x14ac:dyDescent="0.25">
      <c r="A232" s="224">
        <v>4.7899999999999999E-7</v>
      </c>
      <c r="B232" s="225">
        <f t="shared" si="3"/>
        <v>4.1470621658455115E-19</v>
      </c>
      <c r="C232" s="226">
        <v>5.3451003868415572E-2</v>
      </c>
      <c r="D232" s="226">
        <v>5.2926339999999988E-2</v>
      </c>
      <c r="E232" s="226">
        <v>4.6974609999999993E-2</v>
      </c>
      <c r="F232" s="226">
        <v>4.4137689999999993E-2</v>
      </c>
      <c r="G232" s="226">
        <v>4.3394799999999997E-2</v>
      </c>
      <c r="H232" s="226">
        <v>3.8136609999999994E-2</v>
      </c>
      <c r="I232" s="226">
        <v>3.3139249999999995E-2</v>
      </c>
      <c r="J232" s="226">
        <v>2.478054E-2</v>
      </c>
      <c r="K232" s="226">
        <v>2.5554899999999995E-2</v>
      </c>
    </row>
    <row r="233" spans="1:11" x14ac:dyDescent="0.25">
      <c r="A233" s="224">
        <v>4.8000000000000006E-7</v>
      </c>
      <c r="B233" s="225">
        <f t="shared" si="3"/>
        <v>4.1384224529999995E-19</v>
      </c>
      <c r="C233" s="226">
        <v>5.2877644543753863E-2</v>
      </c>
      <c r="D233" s="226">
        <v>5.2561049999999991E-2</v>
      </c>
      <c r="E233" s="226">
        <v>4.6563130000000001E-2</v>
      </c>
      <c r="F233" s="226">
        <v>4.4535069999999996E-2</v>
      </c>
      <c r="G233" s="226">
        <v>4.337296999999999E-2</v>
      </c>
      <c r="H233" s="226">
        <v>3.856031E-2</v>
      </c>
      <c r="I233" s="226">
        <v>3.4825039999999995E-2</v>
      </c>
      <c r="J233" s="226">
        <v>2.7058759999999998E-2</v>
      </c>
      <c r="K233" s="226">
        <v>2.6044369999999994E-2</v>
      </c>
    </row>
    <row r="234" spans="1:11" x14ac:dyDescent="0.25">
      <c r="A234" s="224">
        <v>4.8100000000000003E-7</v>
      </c>
      <c r="B234" s="225">
        <f t="shared" si="3"/>
        <v>4.1298186641164237E-19</v>
      </c>
      <c r="C234" s="226">
        <v>5.2158611124481329E-2</v>
      </c>
      <c r="D234" s="226">
        <v>5.1205839999999996E-2</v>
      </c>
      <c r="E234" s="226">
        <v>4.6752479999999992E-2</v>
      </c>
      <c r="F234" s="226">
        <v>4.472828999999999E-2</v>
      </c>
      <c r="G234" s="226">
        <v>4.3282019999999997E-2</v>
      </c>
      <c r="H234" s="226">
        <v>3.9367529999999991E-2</v>
      </c>
      <c r="I234" s="226">
        <v>3.5007839999999998E-2</v>
      </c>
      <c r="J234" s="226">
        <v>2.8348039999999994E-2</v>
      </c>
      <c r="K234" s="226">
        <v>2.2004089999999997E-2</v>
      </c>
    </row>
    <row r="235" spans="1:11" x14ac:dyDescent="0.25">
      <c r="A235" s="224">
        <v>4.82E-7</v>
      </c>
      <c r="B235" s="225">
        <f t="shared" si="3"/>
        <v>4.1212505756016596E-19</v>
      </c>
      <c r="C235" s="226">
        <v>5.1141539227903106E-2</v>
      </c>
      <c r="D235" s="226">
        <v>4.8689019999999993E-2</v>
      </c>
      <c r="E235" s="226">
        <v>4.6668729999999992E-2</v>
      </c>
      <c r="F235" s="226">
        <v>4.4411119999999998E-2</v>
      </c>
      <c r="G235" s="226">
        <v>4.3671289999999995E-2</v>
      </c>
      <c r="H235" s="226">
        <v>3.9228739999999991E-2</v>
      </c>
      <c r="I235" s="226">
        <v>3.5390629999999999E-2</v>
      </c>
      <c r="J235" s="226">
        <v>2.7448029999999995E-2</v>
      </c>
      <c r="K235" s="226">
        <v>2.3879649999999999E-2</v>
      </c>
    </row>
    <row r="236" spans="1:11" x14ac:dyDescent="0.25">
      <c r="A236" s="224">
        <v>4.8299999999999997E-7</v>
      </c>
      <c r="B236" s="225">
        <f t="shared" si="3"/>
        <v>4.1127179657142857E-19</v>
      </c>
      <c r="C236" s="226">
        <v>4.9366753049586841E-2</v>
      </c>
      <c r="D236" s="226">
        <v>4.7359379999999993E-2</v>
      </c>
      <c r="E236" s="226">
        <v>4.5048289999999991E-2</v>
      </c>
      <c r="F236" s="226">
        <v>4.4181449999999997E-2</v>
      </c>
      <c r="G236" s="226">
        <v>4.3587619999999994E-2</v>
      </c>
      <c r="H236" s="226">
        <v>3.8089129999999992E-2</v>
      </c>
      <c r="I236" s="226">
        <v>3.4030589999999993E-2</v>
      </c>
      <c r="J236" s="226">
        <v>2.6478269999999998E-2</v>
      </c>
      <c r="K236" s="226">
        <v>2.4565049999999995E-2</v>
      </c>
    </row>
    <row r="237" spans="1:11" x14ac:dyDescent="0.25">
      <c r="A237" s="224">
        <v>4.8400000000000005E-7</v>
      </c>
      <c r="B237" s="225">
        <f t="shared" si="3"/>
        <v>4.1042206145454539E-19</v>
      </c>
      <c r="C237" s="226">
        <v>4.5782883764948393E-2</v>
      </c>
      <c r="D237" s="226">
        <v>4.2870009999999993E-2</v>
      </c>
      <c r="E237" s="226">
        <v>4.3642689999999998E-2</v>
      </c>
      <c r="F237" s="226">
        <v>4.1345139999999996E-2</v>
      </c>
      <c r="G237" s="226">
        <v>4.2412529999999997E-2</v>
      </c>
      <c r="H237" s="226">
        <v>3.7811539999999998E-2</v>
      </c>
      <c r="I237" s="226">
        <v>3.4413739999999998E-2</v>
      </c>
      <c r="J237" s="226">
        <v>2.7202610000000002E-2</v>
      </c>
      <c r="K237" s="226">
        <v>2.4877149999999997E-2</v>
      </c>
    </row>
    <row r="238" spans="1:11" x14ac:dyDescent="0.25">
      <c r="A238" s="224">
        <v>4.8500000000000002E-7</v>
      </c>
      <c r="B238" s="225">
        <f t="shared" si="3"/>
        <v>4.0957583039999998E-19</v>
      </c>
      <c r="C238" s="226">
        <v>3.7532726551440278E-2</v>
      </c>
      <c r="D238" s="226">
        <v>3.4284679999999991E-2</v>
      </c>
      <c r="E238" s="226">
        <v>4.0179679999999995E-2</v>
      </c>
      <c r="F238" s="226">
        <v>3.7488059999999997E-2</v>
      </c>
      <c r="G238" s="226">
        <v>4.0702639999999998E-2</v>
      </c>
      <c r="H238" s="226">
        <v>3.7654479999999997E-2</v>
      </c>
      <c r="I238" s="226">
        <v>3.4489779999999998E-2</v>
      </c>
      <c r="J238" s="226">
        <v>2.8612259999999994E-2</v>
      </c>
      <c r="K238" s="226">
        <v>2.7258559999999994E-2</v>
      </c>
    </row>
    <row r="239" spans="1:11" x14ac:dyDescent="0.25">
      <c r="A239" s="224">
        <v>4.8599999999999998E-7</v>
      </c>
      <c r="B239" s="225">
        <f t="shared" si="3"/>
        <v>4.0873308177777781E-19</v>
      </c>
      <c r="C239" s="226">
        <v>2.5084923408624022E-2</v>
      </c>
      <c r="D239" s="226">
        <v>2.9794579999999998E-2</v>
      </c>
      <c r="E239" s="226">
        <v>3.449975999999999E-2</v>
      </c>
      <c r="F239" s="226">
        <v>3.8198959999999997E-2</v>
      </c>
      <c r="G239" s="226">
        <v>3.659163E-2</v>
      </c>
      <c r="H239" s="226">
        <v>3.5439909999999998E-2</v>
      </c>
      <c r="I239" s="226">
        <v>3.281423E-2</v>
      </c>
      <c r="J239" s="226">
        <v>2.7972139999999996E-2</v>
      </c>
      <c r="K239" s="226">
        <v>2.7627479999999996E-2</v>
      </c>
    </row>
    <row r="240" spans="1:11" x14ac:dyDescent="0.25">
      <c r="A240" s="224">
        <v>4.8700000000000006E-7</v>
      </c>
      <c r="B240" s="225">
        <f t="shared" si="3"/>
        <v>4.0789379413552357E-19</v>
      </c>
      <c r="C240" s="226">
        <v>3.0327029159664325E-2</v>
      </c>
      <c r="D240" s="226">
        <v>3.4704759999999994E-2</v>
      </c>
      <c r="E240" s="226">
        <v>3.659649999999999E-2</v>
      </c>
      <c r="F240" s="226">
        <v>4.0353529999999999E-2</v>
      </c>
      <c r="G240" s="226">
        <v>3.7137339999999998E-2</v>
      </c>
      <c r="H240" s="226">
        <v>3.3736349999999998E-2</v>
      </c>
      <c r="I240" s="226">
        <v>3.2242429999999996E-2</v>
      </c>
      <c r="J240" s="226">
        <v>2.7242009999999997E-2</v>
      </c>
      <c r="K240" s="226">
        <v>2.8911969999999999E-2</v>
      </c>
    </row>
    <row r="241" spans="1:11" x14ac:dyDescent="0.25">
      <c r="A241" s="224">
        <v>4.8800000000000003E-7</v>
      </c>
      <c r="B241" s="225">
        <f t="shared" si="3"/>
        <v>4.0705794619672127E-19</v>
      </c>
      <c r="C241" s="226">
        <v>4.1398235616690746E-2</v>
      </c>
      <c r="D241" s="226">
        <v>4.0988780000000002E-2</v>
      </c>
      <c r="E241" s="226">
        <v>4.1949420000000001E-2</v>
      </c>
      <c r="F241" s="226">
        <v>4.1053489999999991E-2</v>
      </c>
      <c r="G241" s="226">
        <v>3.9629409999999997E-2</v>
      </c>
      <c r="H241" s="226">
        <v>3.486098E-2</v>
      </c>
      <c r="I241" s="226">
        <v>3.138508999999999E-2</v>
      </c>
      <c r="J241" s="226">
        <v>2.6508629999999995E-2</v>
      </c>
      <c r="K241" s="226">
        <v>2.9326049999999992E-2</v>
      </c>
    </row>
    <row r="242" spans="1:11" x14ac:dyDescent="0.25">
      <c r="A242" s="224">
        <v>4.89E-7</v>
      </c>
      <c r="B242" s="225">
        <f t="shared" si="3"/>
        <v>4.0622551685889569E-19</v>
      </c>
      <c r="C242" s="226">
        <v>4.6298366384976447E-2</v>
      </c>
      <c r="D242" s="226">
        <v>4.5134779999999985E-2</v>
      </c>
      <c r="E242" s="226">
        <v>4.2972669999999998E-2</v>
      </c>
      <c r="F242" s="226">
        <v>4.1680539999999995E-2</v>
      </c>
      <c r="G242" s="226">
        <v>4.0447969999999993E-2</v>
      </c>
      <c r="H242" s="226">
        <v>3.5655779999999998E-2</v>
      </c>
      <c r="I242" s="226">
        <v>3.2809109999999995E-2</v>
      </c>
      <c r="J242" s="226">
        <v>2.7193209999999995E-2</v>
      </c>
      <c r="K242" s="226">
        <v>3.0937929999999995E-2</v>
      </c>
    </row>
    <row r="243" spans="1:11" x14ac:dyDescent="0.25">
      <c r="A243" s="224">
        <v>4.8999999999999997E-7</v>
      </c>
      <c r="B243" s="225">
        <f t="shared" si="3"/>
        <v>4.0539648519183675E-19</v>
      </c>
      <c r="C243" s="226">
        <v>4.8244765865933147E-2</v>
      </c>
      <c r="D243" s="226">
        <v>4.6610539999999999E-2</v>
      </c>
      <c r="E243" s="226">
        <v>4.3606269999999996E-2</v>
      </c>
      <c r="F243" s="226">
        <v>4.1192019999999996E-2</v>
      </c>
      <c r="G243" s="226">
        <v>4.1441159999999998E-2</v>
      </c>
      <c r="H243" s="226">
        <v>3.654044E-2</v>
      </c>
      <c r="I243" s="226">
        <v>3.4142459999999993E-2</v>
      </c>
      <c r="J243" s="226">
        <v>2.8839609999999995E-2</v>
      </c>
      <c r="K243" s="226">
        <v>3.2981379999999998E-2</v>
      </c>
    </row>
    <row r="244" spans="1:11" x14ac:dyDescent="0.25">
      <c r="A244" s="224">
        <v>4.9100000000000004E-7</v>
      </c>
      <c r="B244" s="225">
        <f t="shared" si="3"/>
        <v>4.0457083043584516E-19</v>
      </c>
      <c r="C244" s="226">
        <v>4.8857526619231553E-2</v>
      </c>
      <c r="D244" s="226">
        <v>4.7556629999999989E-2</v>
      </c>
      <c r="E244" s="226">
        <v>4.2768749999999994E-2</v>
      </c>
      <c r="F244" s="226">
        <v>4.0393629999999993E-2</v>
      </c>
      <c r="G244" s="226">
        <v>4.0593489999999996E-2</v>
      </c>
      <c r="H244" s="226">
        <v>3.6520709999999998E-2</v>
      </c>
      <c r="I244" s="226">
        <v>3.3397729999999994E-2</v>
      </c>
      <c r="J244" s="226">
        <v>2.8252259999999998E-2</v>
      </c>
      <c r="K244" s="226">
        <v>3.4462879999999994E-2</v>
      </c>
    </row>
    <row r="245" spans="1:11" x14ac:dyDescent="0.25">
      <c r="A245" s="224">
        <v>4.9200000000000001E-7</v>
      </c>
      <c r="B245" s="225">
        <f t="shared" si="3"/>
        <v>4.0374853199999999E-19</v>
      </c>
      <c r="C245" s="226">
        <v>4.8552349673361701E-2</v>
      </c>
      <c r="D245" s="226">
        <v>4.7180389999999996E-2</v>
      </c>
      <c r="E245" s="226">
        <v>4.2339059999999991E-2</v>
      </c>
      <c r="F245" s="226">
        <v>4.0739959999999999E-2</v>
      </c>
      <c r="G245" s="226">
        <v>3.9120079999999995E-2</v>
      </c>
      <c r="H245" s="226">
        <v>3.3948199999999991E-2</v>
      </c>
      <c r="I245" s="226">
        <v>3.2216839999999997E-2</v>
      </c>
      <c r="J245" s="226">
        <v>2.8972259999999993E-2</v>
      </c>
      <c r="K245" s="226">
        <v>3.5633009999999993E-2</v>
      </c>
    </row>
    <row r="246" spans="1:11" x14ac:dyDescent="0.25">
      <c r="A246" s="224">
        <v>4.9299999999999998E-7</v>
      </c>
      <c r="B246" s="225">
        <f t="shared" si="3"/>
        <v>4.0292956946044626E-19</v>
      </c>
      <c r="C246" s="226">
        <v>4.8697365198460928E-2</v>
      </c>
      <c r="D246" s="226">
        <v>4.7801369999999989E-2</v>
      </c>
      <c r="E246" s="226">
        <v>4.1956699999999993E-2</v>
      </c>
      <c r="F246" s="226">
        <v>4.136336999999999E-2</v>
      </c>
      <c r="G246" s="226">
        <v>3.9396569999999999E-2</v>
      </c>
      <c r="H246" s="226">
        <v>3.4170999999999993E-2</v>
      </c>
      <c r="I246" s="226">
        <v>3.2783519999999997E-2</v>
      </c>
      <c r="J246" s="226">
        <v>2.9828539999999997E-2</v>
      </c>
      <c r="K246" s="226">
        <v>3.8585460000000002E-2</v>
      </c>
    </row>
    <row r="247" spans="1:11" x14ac:dyDescent="0.25">
      <c r="A247" s="224">
        <v>4.9400000000000006E-7</v>
      </c>
      <c r="B247" s="225">
        <f t="shared" si="3"/>
        <v>4.0211392255870439E-19</v>
      </c>
      <c r="C247" s="226">
        <v>4.8865113441794658E-2</v>
      </c>
      <c r="D247" s="226">
        <v>4.8860699999999993E-2</v>
      </c>
      <c r="E247" s="226">
        <v>4.2262579999999994E-2</v>
      </c>
      <c r="F247" s="226">
        <v>4.1418049999999998E-2</v>
      </c>
      <c r="G247" s="226">
        <v>3.9920449999999989E-2</v>
      </c>
      <c r="H247" s="226">
        <v>3.6132809999999994E-2</v>
      </c>
      <c r="I247" s="226">
        <v>3.4564359999999995E-2</v>
      </c>
      <c r="J247" s="226">
        <v>3.0089859999999996E-2</v>
      </c>
      <c r="K247" s="226">
        <v>4.0617619999999993E-2</v>
      </c>
    </row>
    <row r="248" spans="1:11" x14ac:dyDescent="0.25">
      <c r="A248" s="224">
        <v>4.9500000000000003E-7</v>
      </c>
      <c r="B248" s="225">
        <f t="shared" si="3"/>
        <v>4.0130157119999996E-19</v>
      </c>
      <c r="C248" s="226">
        <v>4.863998773295683E-2</v>
      </c>
      <c r="D248" s="226">
        <v>4.7815989999999996E-2</v>
      </c>
      <c r="E248" s="226">
        <v>4.3096469999999998E-2</v>
      </c>
      <c r="F248" s="226">
        <v>4.1126399999999994E-2</v>
      </c>
      <c r="G248" s="226">
        <v>4.0204219999999999E-2</v>
      </c>
      <c r="H248" s="226">
        <v>3.5837679999999997E-2</v>
      </c>
      <c r="I248" s="226">
        <v>3.346975E-2</v>
      </c>
      <c r="J248" s="226">
        <v>2.9171419999999997E-2</v>
      </c>
      <c r="K248" s="226">
        <v>2.9152330000000001E-2</v>
      </c>
    </row>
    <row r="249" spans="1:11" x14ac:dyDescent="0.25">
      <c r="A249" s="224">
        <v>4.9599999999999999E-7</v>
      </c>
      <c r="B249" s="225">
        <f t="shared" si="3"/>
        <v>4.0049249545161292E-19</v>
      </c>
      <c r="C249" s="226">
        <v>4.8229737451690832E-2</v>
      </c>
      <c r="D249" s="226">
        <v>4.9313659999999995E-2</v>
      </c>
      <c r="E249" s="226">
        <v>4.2947169999999993E-2</v>
      </c>
      <c r="F249" s="226">
        <v>4.0772779999999995E-2</v>
      </c>
      <c r="G249" s="226">
        <v>4.0327910000000002E-2</v>
      </c>
      <c r="H249" s="226">
        <v>3.5274089999999994E-2</v>
      </c>
      <c r="I249" s="226">
        <v>3.2338219999999994E-2</v>
      </c>
      <c r="J249" s="226">
        <v>2.7229359999999998E-2</v>
      </c>
      <c r="K249" s="226">
        <v>2.4304289999999996E-2</v>
      </c>
    </row>
    <row r="250" spans="1:11" x14ac:dyDescent="0.25">
      <c r="A250" s="224">
        <v>4.9700000000000007E-7</v>
      </c>
      <c r="B250" s="225">
        <f t="shared" si="3"/>
        <v>3.9968667554124744E-19</v>
      </c>
      <c r="C250" s="226">
        <v>4.8204355391723581E-2</v>
      </c>
      <c r="D250" s="226">
        <v>4.7341109999999999E-2</v>
      </c>
      <c r="E250" s="226">
        <v>4.342784999999999E-2</v>
      </c>
      <c r="F250" s="226">
        <v>4.049570999999999E-2</v>
      </c>
      <c r="G250" s="226">
        <v>4.0058699999999996E-2</v>
      </c>
      <c r="H250" s="226">
        <v>3.7256339999999992E-2</v>
      </c>
      <c r="I250" s="226">
        <v>3.3236869999999995E-2</v>
      </c>
      <c r="J250" s="226">
        <v>2.7847069999999995E-2</v>
      </c>
      <c r="K250" s="226">
        <v>2.7858379999999999E-2</v>
      </c>
    </row>
    <row r="251" spans="1:11" x14ac:dyDescent="0.25">
      <c r="A251" s="224">
        <v>4.9800000000000004E-7</v>
      </c>
      <c r="B251" s="225">
        <f t="shared" si="3"/>
        <v>3.9888409185542166E-19</v>
      </c>
      <c r="C251" s="226">
        <v>4.7865500064153958E-2</v>
      </c>
      <c r="D251" s="226">
        <v>4.6362149999999991E-2</v>
      </c>
      <c r="E251" s="226">
        <v>4.1985839999999996E-2</v>
      </c>
      <c r="F251" s="226">
        <v>4.034622999999999E-2</v>
      </c>
      <c r="G251" s="226">
        <v>3.9196479999999999E-2</v>
      </c>
      <c r="H251" s="226">
        <v>3.4606389999999994E-2</v>
      </c>
      <c r="I251" s="226">
        <v>3.1966399999999992E-2</v>
      </c>
      <c r="J251" s="226">
        <v>2.6649229999999999E-2</v>
      </c>
      <c r="K251" s="226">
        <v>2.9135209999999998E-2</v>
      </c>
    </row>
    <row r="252" spans="1:11" x14ac:dyDescent="0.25">
      <c r="A252" s="224">
        <v>4.9900000000000001E-7</v>
      </c>
      <c r="B252" s="225">
        <f t="shared" si="3"/>
        <v>3.9808472493787576E-19</v>
      </c>
      <c r="C252" s="226">
        <v>4.7551950430172067E-2</v>
      </c>
      <c r="D252" s="226">
        <v>4.6873549999999986E-2</v>
      </c>
      <c r="E252" s="226">
        <v>4.0955310000000002E-2</v>
      </c>
      <c r="F252" s="226">
        <v>4.0233219999999993E-2</v>
      </c>
      <c r="G252" s="226">
        <v>3.8945449999999993E-2</v>
      </c>
      <c r="H252" s="226">
        <v>3.3946739999999989E-2</v>
      </c>
      <c r="I252" s="226">
        <v>3.0988049999999996E-2</v>
      </c>
      <c r="J252" s="226">
        <v>2.5537779999999996E-2</v>
      </c>
      <c r="K252" s="226">
        <v>2.9963730000000001E-2</v>
      </c>
    </row>
    <row r="253" spans="1:11" x14ac:dyDescent="0.25">
      <c r="A253" s="224">
        <v>4.9999999999999998E-7</v>
      </c>
      <c r="B253" s="225">
        <f t="shared" si="3"/>
        <v>3.9728855548800001E-19</v>
      </c>
      <c r="C253" s="226">
        <v>4.7189067396685935E-2</v>
      </c>
      <c r="D253" s="226">
        <v>4.7257099999999989E-2</v>
      </c>
      <c r="E253" s="226">
        <v>4.1242979999999999E-2</v>
      </c>
      <c r="F253" s="226">
        <v>3.9613459999999996E-2</v>
      </c>
      <c r="G253" s="226">
        <v>3.8610749999999992E-2</v>
      </c>
      <c r="H253" s="226">
        <v>3.385980999999999E-2</v>
      </c>
      <c r="I253" s="226">
        <v>3.1006689999999996E-2</v>
      </c>
      <c r="J253" s="226">
        <v>2.5395369999999997E-2</v>
      </c>
      <c r="K253" s="226">
        <v>2.4321039999999995E-2</v>
      </c>
    </row>
    <row r="254" spans="1:11" x14ac:dyDescent="0.25">
      <c r="A254" s="224">
        <v>5.0100000000000005E-7</v>
      </c>
      <c r="B254" s="225">
        <f t="shared" si="3"/>
        <v>3.9649556435928138E-19</v>
      </c>
      <c r="C254" s="226">
        <v>4.6883182797927449E-2</v>
      </c>
      <c r="D254" s="226">
        <v>4.5763069999999989E-2</v>
      </c>
      <c r="E254" s="226">
        <v>3.9385849999999993E-2</v>
      </c>
      <c r="F254" s="226">
        <v>3.9890529999999993E-2</v>
      </c>
      <c r="G254" s="226">
        <v>3.7959539999999993E-2</v>
      </c>
      <c r="H254" s="226">
        <v>3.1603599999999996E-2</v>
      </c>
      <c r="I254" s="226">
        <v>2.9786319999999995E-2</v>
      </c>
      <c r="J254" s="226">
        <v>2.4091259999999996E-2</v>
      </c>
      <c r="K254" s="226">
        <v>2.4674669999999996E-2</v>
      </c>
    </row>
    <row r="255" spans="1:11" x14ac:dyDescent="0.25">
      <c r="A255" s="224">
        <v>5.0200000000000002E-7</v>
      </c>
      <c r="B255" s="225">
        <f t="shared" si="3"/>
        <v>3.9570573255776892E-19</v>
      </c>
      <c r="C255" s="226">
        <v>4.6187844647971342E-2</v>
      </c>
      <c r="D255" s="226">
        <v>4.6102789999999991E-2</v>
      </c>
      <c r="E255" s="226">
        <v>3.9287519999999999E-2</v>
      </c>
      <c r="F255" s="226">
        <v>4.0331650000000004E-2</v>
      </c>
      <c r="G255" s="226">
        <v>3.7621199999999994E-2</v>
      </c>
      <c r="H255" s="226">
        <v>3.2525149999999996E-2</v>
      </c>
      <c r="I255" s="226">
        <v>3.0074769999999994E-2</v>
      </c>
      <c r="J255" s="226">
        <v>2.5037170000000001E-2</v>
      </c>
      <c r="K255" s="226">
        <v>2.8886469999999997E-2</v>
      </c>
    </row>
    <row r="256" spans="1:11" x14ac:dyDescent="0.25">
      <c r="A256" s="224">
        <v>5.0299999999999999E-7</v>
      </c>
      <c r="B256" s="225">
        <f t="shared" si="3"/>
        <v>3.9491904124055668E-19</v>
      </c>
      <c r="C256" s="226">
        <v>4.6437051730845572E-2</v>
      </c>
      <c r="D256" s="226">
        <v>4.5226099999999991E-2</v>
      </c>
      <c r="E256" s="226">
        <v>4.0456419999999993E-2</v>
      </c>
      <c r="F256" s="226">
        <v>4.0021769999999998E-2</v>
      </c>
      <c r="G256" s="226">
        <v>3.8574369999999997E-2</v>
      </c>
      <c r="H256" s="226">
        <v>3.451398E-2</v>
      </c>
      <c r="I256" s="226">
        <v>3.0752959999999992E-2</v>
      </c>
      <c r="J256" s="226">
        <v>2.5128619999999997E-2</v>
      </c>
      <c r="K256" s="226">
        <v>2.8989169999999998E-2</v>
      </c>
    </row>
    <row r="257" spans="1:11" x14ac:dyDescent="0.25">
      <c r="A257" s="224">
        <v>5.0400000000000007E-7</v>
      </c>
      <c r="B257" s="225">
        <f t="shared" si="3"/>
        <v>3.9413547171428564E-19</v>
      </c>
      <c r="C257" s="226">
        <v>4.6045736488413536E-2</v>
      </c>
      <c r="D257" s="226">
        <v>4.4400559999999992E-2</v>
      </c>
      <c r="E257" s="226">
        <v>4.0383599999999999E-2</v>
      </c>
      <c r="F257" s="226">
        <v>3.9908759999999995E-2</v>
      </c>
      <c r="G257" s="226">
        <v>3.838519E-2</v>
      </c>
      <c r="H257" s="226">
        <v>3.3673889999999998E-2</v>
      </c>
      <c r="I257" s="226">
        <v>2.9103739999999999E-2</v>
      </c>
      <c r="J257" s="226">
        <v>2.4666689999999998E-2</v>
      </c>
      <c r="K257" s="226">
        <v>2.6250859999999997E-2</v>
      </c>
    </row>
    <row r="258" spans="1:11" x14ac:dyDescent="0.25">
      <c r="A258" s="224">
        <v>5.0500000000000004E-7</v>
      </c>
      <c r="B258" s="225">
        <f t="shared" si="3"/>
        <v>3.9335500543366335E-19</v>
      </c>
      <c r="C258" s="226">
        <v>4.588603733544179E-2</v>
      </c>
      <c r="D258" s="226">
        <v>4.521513999999998E-2</v>
      </c>
      <c r="E258" s="226">
        <v>4.0296209999999999E-2</v>
      </c>
      <c r="F258" s="226">
        <v>3.9518679999999987E-2</v>
      </c>
      <c r="G258" s="226">
        <v>3.8388829999999985E-2</v>
      </c>
      <c r="H258" s="226">
        <v>3.3527419999999988E-2</v>
      </c>
      <c r="I258" s="226">
        <v>2.9429849999999997E-2</v>
      </c>
      <c r="J258" s="226">
        <v>2.4793919999999997E-2</v>
      </c>
      <c r="K258" s="226">
        <v>2.9014669999999996E-2</v>
      </c>
    </row>
    <row r="259" spans="1:11" x14ac:dyDescent="0.25">
      <c r="A259" s="224">
        <v>5.06E-7</v>
      </c>
      <c r="B259" s="225">
        <f t="shared" ref="B259:B322" si="4">h_planck*c_light/A259</f>
        <v>3.92577624E-19</v>
      </c>
      <c r="C259" s="226">
        <v>4.5561434969421971E-2</v>
      </c>
      <c r="D259" s="226">
        <v>4.5291849999999988E-2</v>
      </c>
      <c r="E259" s="226">
        <v>4.0773229999999994E-2</v>
      </c>
      <c r="F259" s="226">
        <v>3.8621849999999992E-2</v>
      </c>
      <c r="G259" s="226">
        <v>3.8639849999999996E-2</v>
      </c>
      <c r="H259" s="226">
        <v>3.4114389999999994E-2</v>
      </c>
      <c r="I259" s="226">
        <v>2.9870769999999994E-2</v>
      </c>
      <c r="J259" s="226">
        <v>2.4156689999999991E-2</v>
      </c>
      <c r="K259" s="226">
        <v>3.0448099999999999E-2</v>
      </c>
    </row>
    <row r="260" spans="1:11" x14ac:dyDescent="0.25">
      <c r="A260" s="224">
        <v>5.0699999999999997E-7</v>
      </c>
      <c r="B260" s="225">
        <f t="shared" si="4"/>
        <v>3.9180330915976333E-19</v>
      </c>
      <c r="C260" s="226">
        <v>4.5467509862150465E-2</v>
      </c>
      <c r="D260" s="226">
        <v>4.5156699999999994E-2</v>
      </c>
      <c r="E260" s="226">
        <v>4.0361749999999995E-2</v>
      </c>
      <c r="F260" s="226">
        <v>3.8691119999999996E-2</v>
      </c>
      <c r="G260" s="226">
        <v>3.8290599999999994E-2</v>
      </c>
      <c r="H260" s="226">
        <v>3.3885009999999993E-2</v>
      </c>
      <c r="I260" s="226">
        <v>2.8860249999999997E-2</v>
      </c>
      <c r="J260" s="226">
        <v>2.3184029999999994E-2</v>
      </c>
      <c r="K260" s="226">
        <v>3.1631339999999994E-2</v>
      </c>
    </row>
    <row r="261" spans="1:11" x14ac:dyDescent="0.25">
      <c r="A261" s="224">
        <v>5.0800000000000005E-7</v>
      </c>
      <c r="B261" s="225">
        <f t="shared" si="4"/>
        <v>3.9103204280314957E-19</v>
      </c>
      <c r="C261" s="226">
        <v>4.5217863202357572E-2</v>
      </c>
      <c r="D261" s="226">
        <v>4.4637989999999995E-2</v>
      </c>
      <c r="E261" s="226">
        <v>4.0339899999999998E-2</v>
      </c>
      <c r="F261" s="226">
        <v>3.940566999999999E-2</v>
      </c>
      <c r="G261" s="226">
        <v>3.7861309999999995E-2</v>
      </c>
      <c r="H261" s="226">
        <v>3.2483879999999993E-2</v>
      </c>
      <c r="I261" s="226">
        <v>2.8331949999999998E-2</v>
      </c>
      <c r="J261" s="226">
        <v>2.2714869999999998E-2</v>
      </c>
      <c r="K261" s="226">
        <v>3.2188179999999997E-2</v>
      </c>
    </row>
    <row r="262" spans="1:11" x14ac:dyDescent="0.25">
      <c r="A262" s="224">
        <v>5.0900000000000002E-7</v>
      </c>
      <c r="B262" s="225">
        <f t="shared" si="4"/>
        <v>3.9026380696267186E-19</v>
      </c>
      <c r="C262" s="226">
        <v>4.4981175228476167E-2</v>
      </c>
      <c r="D262" s="226">
        <v>4.3998739999999995E-2</v>
      </c>
      <c r="E262" s="226">
        <v>4.0478279999999998E-2</v>
      </c>
      <c r="F262" s="226">
        <v>3.8760389999999999E-2</v>
      </c>
      <c r="G262" s="226">
        <v>3.7904969999999989E-2</v>
      </c>
      <c r="H262" s="226">
        <v>3.3619099999999992E-2</v>
      </c>
      <c r="I262" s="226">
        <v>2.8930439999999998E-2</v>
      </c>
      <c r="J262" s="226">
        <v>2.2842099999999994E-2</v>
      </c>
      <c r="K262" s="226">
        <v>3.1204519999999996E-2</v>
      </c>
    </row>
    <row r="263" spans="1:11" x14ac:dyDescent="0.25">
      <c r="A263" s="224">
        <v>5.0999999999999999E-7</v>
      </c>
      <c r="B263" s="225">
        <f t="shared" si="4"/>
        <v>3.8949858381176473E-19</v>
      </c>
      <c r="C263" s="226">
        <v>4.4613651060665352E-2</v>
      </c>
      <c r="D263" s="226">
        <v>4.4203300000000001E-2</v>
      </c>
      <c r="E263" s="226">
        <v>4.0223379999999989E-2</v>
      </c>
      <c r="F263" s="226">
        <v>3.8432279999999992E-2</v>
      </c>
      <c r="G263" s="226">
        <v>3.8090510000000001E-2</v>
      </c>
      <c r="H263" s="226">
        <v>3.2958709999999995E-2</v>
      </c>
      <c r="I263" s="226">
        <v>2.8199969999999998E-2</v>
      </c>
      <c r="J263" s="226">
        <v>2.2420289999999996E-2</v>
      </c>
      <c r="K263" s="226">
        <v>3.1629519999999994E-2</v>
      </c>
    </row>
    <row r="264" spans="1:11" x14ac:dyDescent="0.25">
      <c r="A264" s="224">
        <v>5.1100000000000006E-7</v>
      </c>
      <c r="B264" s="225">
        <f t="shared" si="4"/>
        <v>3.8873635566340505E-19</v>
      </c>
      <c r="C264" s="226">
        <v>4.4466169374999996E-2</v>
      </c>
      <c r="D264" s="226">
        <v>4.3151269999999999E-2</v>
      </c>
      <c r="E264" s="226">
        <v>4.0842419999999997E-2</v>
      </c>
      <c r="F264" s="226">
        <v>3.8330199999999995E-2</v>
      </c>
      <c r="G264" s="226">
        <v>3.841428999999999E-2</v>
      </c>
      <c r="H264" s="226">
        <v>3.3785659999999995E-2</v>
      </c>
      <c r="I264" s="226">
        <v>2.8033989999999998E-2</v>
      </c>
      <c r="J264" s="226">
        <v>2.1838349999999996E-2</v>
      </c>
      <c r="K264" s="226">
        <v>3.1336719999999992E-2</v>
      </c>
    </row>
    <row r="265" spans="1:11" x14ac:dyDescent="0.25">
      <c r="A265" s="224">
        <v>5.1200000000000003E-7</v>
      </c>
      <c r="B265" s="225">
        <f t="shared" si="4"/>
        <v>3.8797710496874996E-19</v>
      </c>
      <c r="C265" s="226">
        <v>4.4216482947368421E-2</v>
      </c>
      <c r="D265" s="226">
        <v>4.3735739999999995E-2</v>
      </c>
      <c r="E265" s="226">
        <v>4.0168749999999996E-2</v>
      </c>
      <c r="F265" s="226">
        <v>3.7597429999999994E-2</v>
      </c>
      <c r="G265" s="226">
        <v>3.8163269999999992E-2</v>
      </c>
      <c r="H265" s="226">
        <v>3.3357569999999996E-2</v>
      </c>
      <c r="I265" s="226">
        <v>2.7699819999999997E-2</v>
      </c>
      <c r="J265" s="226">
        <v>2.1761729999999996E-2</v>
      </c>
      <c r="K265" s="226">
        <v>3.0363249999999998E-2</v>
      </c>
    </row>
    <row r="266" spans="1:11" x14ac:dyDescent="0.25">
      <c r="A266" s="224">
        <v>5.13E-7</v>
      </c>
      <c r="B266" s="225">
        <f t="shared" si="4"/>
        <v>3.8722081431578947E-19</v>
      </c>
      <c r="C266" s="226">
        <v>4.3884738957198445E-2</v>
      </c>
      <c r="D266" s="226">
        <v>4.2522989999999997E-2</v>
      </c>
      <c r="E266" s="226">
        <v>3.9746349999999993E-2</v>
      </c>
      <c r="F266" s="226">
        <v>3.7251089999999994E-2</v>
      </c>
      <c r="G266" s="226">
        <v>3.7533879999999999E-2</v>
      </c>
      <c r="H266" s="226">
        <v>3.1992609999999998E-2</v>
      </c>
      <c r="I266" s="226">
        <v>2.6820919999999995E-2</v>
      </c>
      <c r="J266" s="226">
        <v>2.1655819999999996E-2</v>
      </c>
      <c r="K266" s="226">
        <v>3.3922069999999992E-2</v>
      </c>
    </row>
    <row r="267" spans="1:11" x14ac:dyDescent="0.25">
      <c r="A267" s="224">
        <v>5.1399999999999997E-7</v>
      </c>
      <c r="B267" s="225">
        <f t="shared" si="4"/>
        <v>3.8646746642801558E-19</v>
      </c>
      <c r="C267" s="226">
        <v>4.3565730908561445E-2</v>
      </c>
      <c r="D267" s="226">
        <v>4.2606999999999999E-2</v>
      </c>
      <c r="E267" s="226">
        <v>3.8905179999999998E-2</v>
      </c>
      <c r="F267" s="226">
        <v>3.7619299999999994E-2</v>
      </c>
      <c r="G267" s="226">
        <v>3.7992279999999989E-2</v>
      </c>
      <c r="H267" s="226">
        <v>3.15784E-2</v>
      </c>
      <c r="I267" s="226">
        <v>2.6737559999999994E-2</v>
      </c>
      <c r="J267" s="226">
        <v>2.3266079999999995E-2</v>
      </c>
      <c r="K267" s="226">
        <v>3.2975549999999992E-2</v>
      </c>
    </row>
    <row r="268" spans="1:11" x14ac:dyDescent="0.25">
      <c r="A268" s="224">
        <v>5.1500000000000005E-7</v>
      </c>
      <c r="B268" s="225">
        <f t="shared" si="4"/>
        <v>3.8571704416310674E-19</v>
      </c>
      <c r="C268" s="226">
        <v>4.3323692199186206E-2</v>
      </c>
      <c r="D268" s="226">
        <v>4.335217999999999E-2</v>
      </c>
      <c r="E268" s="226">
        <v>3.9382199999999999E-2</v>
      </c>
      <c r="F268" s="226">
        <v>3.6758929999999995E-2</v>
      </c>
      <c r="G268" s="226">
        <v>3.7562989999999991E-2</v>
      </c>
      <c r="H268" s="226">
        <v>3.1916269999999997E-2</v>
      </c>
      <c r="I268" s="226">
        <v>2.7297660000000001E-2</v>
      </c>
      <c r="J268" s="226">
        <v>2.2397509999999995E-2</v>
      </c>
      <c r="K268" s="226">
        <v>3.3888199999999993E-2</v>
      </c>
    </row>
    <row r="269" spans="1:11" x14ac:dyDescent="0.25">
      <c r="A269" s="224">
        <v>5.1600000000000001E-7</v>
      </c>
      <c r="B269" s="225">
        <f t="shared" si="4"/>
        <v>3.849695305116279E-19</v>
      </c>
      <c r="C269" s="226">
        <v>4.3034633064578505E-2</v>
      </c>
      <c r="D269" s="226">
        <v>4.2278239999999995E-2</v>
      </c>
      <c r="E269" s="226">
        <v>3.8337109999999994E-2</v>
      </c>
      <c r="F269" s="226">
        <v>3.5019599999999998E-2</v>
      </c>
      <c r="G269" s="226">
        <v>3.6686219999999999E-2</v>
      </c>
      <c r="H269" s="226">
        <v>3.0426379999999996E-2</v>
      </c>
      <c r="I269" s="226">
        <v>2.6019879999999995E-2</v>
      </c>
      <c r="J269" s="226">
        <v>2.2133659999999999E-2</v>
      </c>
      <c r="K269" s="226">
        <v>2.8803799999999994E-2</v>
      </c>
    </row>
    <row r="270" spans="1:11" x14ac:dyDescent="0.25">
      <c r="A270" s="224">
        <v>5.1699999999999998E-7</v>
      </c>
      <c r="B270" s="225">
        <f t="shared" si="4"/>
        <v>3.842249085957447E-19</v>
      </c>
      <c r="C270" s="226">
        <v>4.2018923593207254E-2</v>
      </c>
      <c r="D270" s="226">
        <v>4.1620729999999995E-2</v>
      </c>
      <c r="E270" s="226">
        <v>3.754326999999999E-2</v>
      </c>
      <c r="F270" s="226">
        <v>3.5313069999999995E-2</v>
      </c>
      <c r="G270" s="226">
        <v>3.4116289999999994E-2</v>
      </c>
      <c r="H270" s="226">
        <v>2.6266079999999997E-2</v>
      </c>
      <c r="I270" s="226">
        <v>2.2349609999999992E-2</v>
      </c>
      <c r="J270" s="226">
        <v>1.930279E-2</v>
      </c>
      <c r="K270" s="226">
        <v>1.987324E-2</v>
      </c>
    </row>
    <row r="271" spans="1:11" x14ac:dyDescent="0.25">
      <c r="A271" s="224">
        <v>5.1800000000000006E-7</v>
      </c>
      <c r="B271" s="225">
        <f t="shared" si="4"/>
        <v>3.8348316166795362E-19</v>
      </c>
      <c r="C271" s="226">
        <v>4.2247430791754949E-2</v>
      </c>
      <c r="D271" s="226">
        <v>4.1828939999999995E-2</v>
      </c>
      <c r="E271" s="226">
        <v>3.7390329999999999E-2</v>
      </c>
      <c r="F271" s="226">
        <v>3.6474569999999998E-2</v>
      </c>
      <c r="G271" s="226">
        <v>3.380814E-2</v>
      </c>
      <c r="H271" s="226">
        <v>2.5189309999999993E-2</v>
      </c>
      <c r="I271" s="226">
        <v>2.1702489999999998E-2</v>
      </c>
      <c r="J271" s="226">
        <v>1.8968819999999997E-2</v>
      </c>
      <c r="K271" s="226">
        <v>2.3303139999999996E-2</v>
      </c>
    </row>
    <row r="272" spans="1:11" x14ac:dyDescent="0.25">
      <c r="A272" s="224">
        <v>5.1900000000000003E-7</v>
      </c>
      <c r="B272" s="225">
        <f t="shared" si="4"/>
        <v>3.8274427310982655E-19</v>
      </c>
      <c r="C272" s="226">
        <v>4.2027645203767769E-2</v>
      </c>
      <c r="D272" s="226">
        <v>4.0817099999999995E-2</v>
      </c>
      <c r="E272" s="226">
        <v>3.7015259999999994E-2</v>
      </c>
      <c r="F272" s="226">
        <v>3.7163599999999998E-2</v>
      </c>
      <c r="G272" s="226">
        <v>3.5331039999999994E-2</v>
      </c>
      <c r="H272" s="226">
        <v>2.8452889999999991E-2</v>
      </c>
      <c r="I272" s="226">
        <v>2.5194359999999996E-2</v>
      </c>
      <c r="J272" s="226">
        <v>2.2028479999999996E-2</v>
      </c>
      <c r="K272" s="226">
        <v>2.8776849999999996E-2</v>
      </c>
    </row>
    <row r="273" spans="1:11" x14ac:dyDescent="0.25">
      <c r="A273" s="224">
        <v>5.2E-7</v>
      </c>
      <c r="B273" s="225">
        <f t="shared" si="4"/>
        <v>3.8200822643076924E-19</v>
      </c>
      <c r="C273" s="226">
        <v>4.1874821237528774E-2</v>
      </c>
      <c r="D273" s="226">
        <v>3.9984239999999997E-2</v>
      </c>
      <c r="E273" s="226">
        <v>3.7525069999999994E-2</v>
      </c>
      <c r="F273" s="226">
        <v>3.7684919999999997E-2</v>
      </c>
      <c r="G273" s="226">
        <v>3.6628009999999996E-2</v>
      </c>
      <c r="H273" s="226">
        <v>3.1231769999999996E-2</v>
      </c>
      <c r="I273" s="226">
        <v>2.6210729999999995E-2</v>
      </c>
      <c r="J273" s="226">
        <v>2.1910639999999999E-2</v>
      </c>
      <c r="K273" s="226">
        <v>2.7461049999999994E-2</v>
      </c>
    </row>
    <row r="274" spans="1:11" x14ac:dyDescent="0.25">
      <c r="A274" s="224">
        <v>5.2099999999999997E-7</v>
      </c>
      <c r="B274" s="225">
        <f t="shared" si="4"/>
        <v>3.8127500526679466E-19</v>
      </c>
      <c r="C274" s="226">
        <v>4.1869169743245831E-2</v>
      </c>
      <c r="D274" s="226">
        <v>4.110566999999999E-2</v>
      </c>
      <c r="E274" s="226">
        <v>3.8169599999999998E-2</v>
      </c>
      <c r="F274" s="226">
        <v>3.7608369999999995E-2</v>
      </c>
      <c r="G274" s="226">
        <v>3.6926329999999993E-2</v>
      </c>
      <c r="H274" s="226">
        <v>3.1185379999999999E-2</v>
      </c>
      <c r="I274" s="226">
        <v>2.737883E-2</v>
      </c>
      <c r="J274" s="226">
        <v>2.3078849999999998E-2</v>
      </c>
      <c r="K274" s="226">
        <v>3.1555229999999997E-2</v>
      </c>
    </row>
    <row r="275" spans="1:11" x14ac:dyDescent="0.25">
      <c r="A275" s="224">
        <v>5.2200000000000004E-7</v>
      </c>
      <c r="B275" s="225">
        <f t="shared" si="4"/>
        <v>3.805445933793103E-19</v>
      </c>
      <c r="C275" s="226">
        <v>4.160389224942615E-2</v>
      </c>
      <c r="D275" s="226">
        <v>4.0506599999999997E-2</v>
      </c>
      <c r="E275" s="226">
        <v>3.7987529999999992E-2</v>
      </c>
      <c r="F275" s="226">
        <v>3.7232870000000001E-2</v>
      </c>
      <c r="G275" s="226">
        <v>3.6802629999999996E-2</v>
      </c>
      <c r="H275" s="226">
        <v>3.3362319999999994E-2</v>
      </c>
      <c r="I275" s="226">
        <v>3.0485709999999996E-2</v>
      </c>
      <c r="J275" s="226">
        <v>2.8303219999999994E-2</v>
      </c>
      <c r="K275" s="226">
        <v>3.7441920000000004E-2</v>
      </c>
    </row>
    <row r="276" spans="1:11" x14ac:dyDescent="0.25">
      <c r="A276" s="224">
        <v>5.2300000000000001E-7</v>
      </c>
      <c r="B276" s="225">
        <f t="shared" si="4"/>
        <v>3.798169746539197E-19</v>
      </c>
      <c r="C276" s="226">
        <v>4.106393625501048E-2</v>
      </c>
      <c r="D276" s="226">
        <v>4.051391E-2</v>
      </c>
      <c r="E276" s="226">
        <v>3.7601539999999989E-2</v>
      </c>
      <c r="F276" s="226">
        <v>3.7710439999999991E-2</v>
      </c>
      <c r="G276" s="226">
        <v>3.6613449999999992E-2</v>
      </c>
      <c r="H276" s="226">
        <v>3.3632249999999995E-2</v>
      </c>
      <c r="I276" s="226">
        <v>3.2052309999999994E-2</v>
      </c>
      <c r="J276" s="226">
        <v>2.9466359999999997E-2</v>
      </c>
      <c r="K276" s="226">
        <v>3.5347489999999995E-2</v>
      </c>
    </row>
    <row r="277" spans="1:11" x14ac:dyDescent="0.25">
      <c r="A277" s="224">
        <v>5.2399999999999998E-7</v>
      </c>
      <c r="B277" s="225">
        <f t="shared" si="4"/>
        <v>3.7909213309923666E-19</v>
      </c>
      <c r="C277" s="226">
        <v>4.0958996618403493E-2</v>
      </c>
      <c r="D277" s="226">
        <v>4.0557740000000002E-2</v>
      </c>
      <c r="E277" s="226">
        <v>3.7980249999999993E-2</v>
      </c>
      <c r="F277" s="226">
        <v>3.7921889999999993E-2</v>
      </c>
      <c r="G277" s="226">
        <v>3.7344709999999996E-2</v>
      </c>
      <c r="H277" s="226">
        <v>3.5410689999999995E-2</v>
      </c>
      <c r="I277" s="226">
        <v>3.4134419999999992E-2</v>
      </c>
      <c r="J277" s="226">
        <v>3.1369029999999992E-2</v>
      </c>
      <c r="K277" s="226">
        <v>3.5784879999999991E-2</v>
      </c>
    </row>
    <row r="278" spans="1:11" x14ac:dyDescent="0.25">
      <c r="A278" s="224">
        <v>5.2500000000000006E-7</v>
      </c>
      <c r="B278" s="225">
        <f t="shared" si="4"/>
        <v>3.7837005284571424E-19</v>
      </c>
      <c r="C278" s="226">
        <v>4.0961240935361215E-2</v>
      </c>
      <c r="D278" s="226">
        <v>4.1080100000000001E-2</v>
      </c>
      <c r="E278" s="226">
        <v>3.8235150000000002E-2</v>
      </c>
      <c r="F278" s="226">
        <v>3.6718829999999994E-2</v>
      </c>
      <c r="G278" s="226">
        <v>3.7795819999999987E-2</v>
      </c>
      <c r="H278" s="226">
        <v>3.6286220000000001E-2</v>
      </c>
      <c r="I278" s="226">
        <v>3.4384849999999995E-2</v>
      </c>
      <c r="J278" s="226">
        <v>3.1107339999999994E-2</v>
      </c>
      <c r="K278" s="226">
        <v>3.582494E-2</v>
      </c>
    </row>
    <row r="279" spans="1:11" x14ac:dyDescent="0.25">
      <c r="A279" s="224">
        <v>5.2600000000000002E-7</v>
      </c>
      <c r="B279" s="225">
        <f t="shared" si="4"/>
        <v>3.7765071814448667E-19</v>
      </c>
      <c r="C279" s="226">
        <v>4.0576217080250415E-2</v>
      </c>
      <c r="D279" s="226">
        <v>4.0130359999999997E-2</v>
      </c>
      <c r="E279" s="226">
        <v>3.7375759999999994E-2</v>
      </c>
      <c r="F279" s="226">
        <v>3.6077929999999994E-2</v>
      </c>
      <c r="G279" s="226">
        <v>3.6070289999999998E-2</v>
      </c>
      <c r="H279" s="226">
        <v>3.2696459999999997E-2</v>
      </c>
      <c r="I279" s="226">
        <v>3.1123319999999996E-2</v>
      </c>
      <c r="J279" s="226">
        <v>2.7553939999999999E-2</v>
      </c>
      <c r="K279" s="226">
        <v>3.483472E-2</v>
      </c>
    </row>
    <row r="280" spans="1:11" x14ac:dyDescent="0.25">
      <c r="A280" s="224">
        <v>5.2699999999999999E-7</v>
      </c>
      <c r="B280" s="225">
        <f t="shared" si="4"/>
        <v>3.7693411336622391E-19</v>
      </c>
      <c r="C280" s="226">
        <v>4.0147918632834706E-2</v>
      </c>
      <c r="D280" s="226">
        <v>3.9001619999999994E-2</v>
      </c>
      <c r="E280" s="226">
        <v>3.5545210000000001E-2</v>
      </c>
      <c r="F280" s="226">
        <v>3.7076100000000001E-2</v>
      </c>
      <c r="G280" s="226">
        <v>3.501307E-2</v>
      </c>
      <c r="H280" s="226">
        <v>3.0131609999999996E-2</v>
      </c>
      <c r="I280" s="226">
        <v>2.8669769999999994E-2</v>
      </c>
      <c r="J280" s="226">
        <v>2.6738509999999997E-2</v>
      </c>
      <c r="K280" s="226">
        <v>3.5487339999999992E-2</v>
      </c>
    </row>
    <row r="281" spans="1:11" x14ac:dyDescent="0.25">
      <c r="A281" s="224">
        <v>5.2800000000000007E-7</v>
      </c>
      <c r="B281" s="225">
        <f t="shared" si="4"/>
        <v>3.7622022299999994E-19</v>
      </c>
      <c r="C281" s="226">
        <v>3.9962134984882838E-2</v>
      </c>
      <c r="D281" s="226">
        <v>3.9786989999999994E-2</v>
      </c>
      <c r="E281" s="226">
        <v>3.6782209999999996E-2</v>
      </c>
      <c r="F281" s="226">
        <v>3.8173439999999996E-2</v>
      </c>
      <c r="G281" s="226">
        <v>3.5999349999999992E-2</v>
      </c>
      <c r="H281" s="226">
        <v>3.3682649999999995E-2</v>
      </c>
      <c r="I281" s="226">
        <v>3.2135669999999991E-2</v>
      </c>
      <c r="J281" s="226">
        <v>3.1209269999999997E-2</v>
      </c>
      <c r="K281" s="226">
        <v>4.0737799999999998E-2</v>
      </c>
    </row>
    <row r="282" spans="1:11" x14ac:dyDescent="0.25">
      <c r="A282" s="224">
        <v>5.2900000000000004E-7</v>
      </c>
      <c r="B282" s="225">
        <f t="shared" si="4"/>
        <v>3.7550903165217386E-19</v>
      </c>
      <c r="C282" s="226">
        <v>4.0062310550631711E-2</v>
      </c>
      <c r="D282" s="226">
        <v>3.987099999999999E-2</v>
      </c>
      <c r="E282" s="226">
        <v>3.8074929999999993E-2</v>
      </c>
      <c r="F282" s="226">
        <v>3.8242709999999992E-2</v>
      </c>
      <c r="G282" s="226">
        <v>3.8075959999999999E-2</v>
      </c>
      <c r="H282" s="226">
        <v>3.5917669999999999E-2</v>
      </c>
      <c r="I282" s="226">
        <v>3.467514E-2</v>
      </c>
      <c r="J282" s="226">
        <v>3.2162049999999998E-2</v>
      </c>
      <c r="K282" s="226">
        <v>4.1091059999999992E-2</v>
      </c>
    </row>
    <row r="283" spans="1:11" x14ac:dyDescent="0.25">
      <c r="A283" s="224">
        <v>5.3000000000000001E-7</v>
      </c>
      <c r="B283" s="225">
        <f t="shared" si="4"/>
        <v>3.7480052404528299E-19</v>
      </c>
      <c r="C283" s="226">
        <v>3.9883734133258048E-2</v>
      </c>
      <c r="D283" s="226">
        <v>3.9761419999999992E-2</v>
      </c>
      <c r="E283" s="226">
        <v>3.7707139999999993E-2</v>
      </c>
      <c r="F283" s="226">
        <v>3.7943759999999993E-2</v>
      </c>
      <c r="G283" s="226">
        <v>3.755207E-2</v>
      </c>
      <c r="H283" s="226">
        <v>3.6319459999999998E-2</v>
      </c>
      <c r="I283" s="226">
        <v>3.5441449999999999E-2</v>
      </c>
      <c r="J283" s="226">
        <v>3.2536139999999991E-2</v>
      </c>
      <c r="K283" s="226">
        <v>3.9878319999999995E-2</v>
      </c>
    </row>
    <row r="284" spans="1:11" x14ac:dyDescent="0.25">
      <c r="A284" s="224">
        <v>5.3099999999999998E-7</v>
      </c>
      <c r="B284" s="225">
        <f t="shared" si="4"/>
        <v>3.7409468501694917E-19</v>
      </c>
      <c r="C284" s="226">
        <v>3.9521235667544174E-2</v>
      </c>
      <c r="D284" s="226">
        <v>3.9454579999999996E-2</v>
      </c>
      <c r="E284" s="226">
        <v>3.7936549999999999E-2</v>
      </c>
      <c r="F284" s="226">
        <v>3.7371399999999999E-2</v>
      </c>
      <c r="G284" s="226">
        <v>3.8432479999999998E-2</v>
      </c>
      <c r="H284" s="226">
        <v>3.7709259999999994E-2</v>
      </c>
      <c r="I284" s="226">
        <v>3.6768579999999995E-2</v>
      </c>
      <c r="J284" s="226">
        <v>3.4515079999999997E-2</v>
      </c>
      <c r="K284" s="226">
        <v>4.043916999999999E-2</v>
      </c>
    </row>
    <row r="285" spans="1:11" x14ac:dyDescent="0.25">
      <c r="A285" s="224">
        <v>5.3200000000000005E-7</v>
      </c>
      <c r="B285" s="225">
        <f t="shared" si="4"/>
        <v>3.7339149951879695E-19</v>
      </c>
      <c r="C285" s="226">
        <v>3.9041583454681922E-2</v>
      </c>
      <c r="D285" s="226">
        <v>3.9074679999999994E-2</v>
      </c>
      <c r="E285" s="226">
        <v>3.7353919999999999E-2</v>
      </c>
      <c r="F285" s="226">
        <v>3.6857359999999999E-2</v>
      </c>
      <c r="G285" s="226">
        <v>3.7675769999999997E-2</v>
      </c>
      <c r="H285" s="226">
        <v>3.5819409999999996E-2</v>
      </c>
      <c r="I285" s="226">
        <v>3.5309459999999994E-2</v>
      </c>
      <c r="J285" s="226">
        <v>3.2569759999999996E-2</v>
      </c>
      <c r="K285" s="226">
        <v>3.9135379999999997E-2</v>
      </c>
    </row>
    <row r="286" spans="1:11" x14ac:dyDescent="0.25">
      <c r="A286" s="224">
        <v>5.3300000000000002E-7</v>
      </c>
      <c r="B286" s="225">
        <f t="shared" si="4"/>
        <v>3.726909526153846E-19</v>
      </c>
      <c r="C286" s="226">
        <v>3.8944777797752808E-2</v>
      </c>
      <c r="D286" s="226">
        <v>3.8661910000000001E-2</v>
      </c>
      <c r="E286" s="226">
        <v>3.6428989999999994E-2</v>
      </c>
      <c r="F286" s="226">
        <v>3.7210989999999999E-2</v>
      </c>
      <c r="G286" s="226">
        <v>3.618852999999999E-2</v>
      </c>
      <c r="H286" s="226">
        <v>3.3955139999999995E-2</v>
      </c>
      <c r="I286" s="226">
        <v>3.3269769999999997E-2</v>
      </c>
      <c r="J286" s="226">
        <v>3.0986259999999998E-2</v>
      </c>
      <c r="K286" s="226">
        <v>3.9827340000000003E-2</v>
      </c>
    </row>
    <row r="287" spans="1:11" x14ac:dyDescent="0.25">
      <c r="A287" s="224">
        <v>5.3399999999999999E-7</v>
      </c>
      <c r="B287" s="225">
        <f t="shared" si="4"/>
        <v>3.7199302948314605E-19</v>
      </c>
      <c r="C287" s="226">
        <v>3.8835638185385907E-2</v>
      </c>
      <c r="D287" s="226">
        <v>3.9282889999999994E-2</v>
      </c>
      <c r="E287" s="226">
        <v>3.6851399999999999E-2</v>
      </c>
      <c r="F287" s="226">
        <v>3.7721379999999992E-2</v>
      </c>
      <c r="G287" s="226">
        <v>3.676989E-2</v>
      </c>
      <c r="H287" s="226">
        <v>3.5590399999999994E-2</v>
      </c>
      <c r="I287" s="226">
        <v>3.4064219999999999E-2</v>
      </c>
      <c r="J287" s="226">
        <v>3.1606139999999998E-2</v>
      </c>
      <c r="K287" s="226">
        <v>4.1826719999999991E-2</v>
      </c>
    </row>
    <row r="288" spans="1:11" x14ac:dyDescent="0.25">
      <c r="A288" s="224">
        <v>5.3500000000000007E-7</v>
      </c>
      <c r="B288" s="225">
        <f t="shared" si="4"/>
        <v>3.7129771540934572E-19</v>
      </c>
      <c r="C288" s="226">
        <v>3.878868714605483E-2</v>
      </c>
      <c r="D288" s="226">
        <v>3.8296619999999996E-2</v>
      </c>
      <c r="E288" s="226">
        <v>3.6705739999999994E-2</v>
      </c>
      <c r="F288" s="226">
        <v>3.7619299999999994E-2</v>
      </c>
      <c r="G288" s="226">
        <v>3.7592089999999995E-2</v>
      </c>
      <c r="H288" s="226">
        <v>3.6461539999999994E-2</v>
      </c>
      <c r="I288" s="226">
        <v>3.5860789999999997E-2</v>
      </c>
      <c r="J288" s="226">
        <v>3.3542059999999992E-2</v>
      </c>
      <c r="K288" s="226">
        <v>4.3727759999999997E-2</v>
      </c>
    </row>
    <row r="289" spans="1:11" x14ac:dyDescent="0.25">
      <c r="A289" s="224">
        <v>5.3600000000000004E-7</v>
      </c>
      <c r="B289" s="225">
        <f t="shared" si="4"/>
        <v>3.7060499579104477E-19</v>
      </c>
      <c r="C289" s="226">
        <v>3.85083126880119E-2</v>
      </c>
      <c r="D289" s="226">
        <v>3.7149619999999994E-2</v>
      </c>
      <c r="E289" s="226">
        <v>3.6949719999999998E-2</v>
      </c>
      <c r="F289" s="226">
        <v>3.7302129999999996E-2</v>
      </c>
      <c r="G289" s="226">
        <v>3.7570269999999989E-2</v>
      </c>
      <c r="H289" s="226">
        <v>3.7417059999999995E-2</v>
      </c>
      <c r="I289" s="226">
        <v>3.6965999999999992E-2</v>
      </c>
      <c r="J289" s="226">
        <v>3.5506889999999992E-2</v>
      </c>
      <c r="K289" s="226">
        <v>4.4204849999999997E-2</v>
      </c>
    </row>
    <row r="290" spans="1:11" x14ac:dyDescent="0.25">
      <c r="A290" s="224">
        <v>5.37E-7</v>
      </c>
      <c r="B290" s="225">
        <f t="shared" si="4"/>
        <v>3.6991485613407821E-19</v>
      </c>
      <c r="C290" s="226">
        <v>3.8191423654096231E-2</v>
      </c>
      <c r="D290" s="226">
        <v>3.7149619999999994E-2</v>
      </c>
      <c r="E290" s="226">
        <v>3.7350279999999986E-2</v>
      </c>
      <c r="F290" s="226">
        <v>3.7407849999999999E-2</v>
      </c>
      <c r="G290" s="226">
        <v>3.7355619999999992E-2</v>
      </c>
      <c r="H290" s="226">
        <v>3.6248229999999999E-2</v>
      </c>
      <c r="I290" s="226">
        <v>3.5791689999999994E-2</v>
      </c>
      <c r="J290" s="226">
        <v>3.5308459999999993E-2</v>
      </c>
      <c r="K290" s="226">
        <v>4.5636099999999999E-2</v>
      </c>
    </row>
    <row r="291" spans="1:11" x14ac:dyDescent="0.25">
      <c r="A291" s="224">
        <v>5.3799999999999997E-7</v>
      </c>
      <c r="B291" s="225">
        <f t="shared" si="4"/>
        <v>3.6922728205204462E-19</v>
      </c>
      <c r="C291" s="226">
        <v>3.808610250185597E-2</v>
      </c>
      <c r="D291" s="226">
        <v>3.6992549999999992E-2</v>
      </c>
      <c r="E291" s="226">
        <v>3.7295659999999994E-2</v>
      </c>
      <c r="F291" s="226">
        <v>3.7455250000000002E-2</v>
      </c>
      <c r="G291" s="226">
        <v>3.7377449999999993E-2</v>
      </c>
      <c r="H291" s="226">
        <v>3.6481259999999995E-2</v>
      </c>
      <c r="I291" s="226">
        <v>3.6220909999999995E-2</v>
      </c>
      <c r="J291" s="226">
        <v>3.601472E-2</v>
      </c>
      <c r="K291" s="226">
        <v>4.899387999999999E-2</v>
      </c>
    </row>
    <row r="292" spans="1:11" x14ac:dyDescent="0.25">
      <c r="A292" s="224">
        <v>5.3900000000000005E-7</v>
      </c>
      <c r="B292" s="225">
        <f t="shared" si="4"/>
        <v>3.6854225926530608E-19</v>
      </c>
      <c r="C292" s="226">
        <v>3.7878834265604733E-2</v>
      </c>
      <c r="D292" s="226">
        <v>3.7562400000000003E-2</v>
      </c>
      <c r="E292" s="226">
        <v>3.7175489999999999E-2</v>
      </c>
      <c r="F292" s="226">
        <v>3.7035999999999993E-2</v>
      </c>
      <c r="G292" s="226">
        <v>3.7235559999999994E-2</v>
      </c>
      <c r="H292" s="226">
        <v>3.6116739999999994E-2</v>
      </c>
      <c r="I292" s="226">
        <v>3.6618679999999994E-2</v>
      </c>
      <c r="J292" s="226">
        <v>3.5842309999999995E-2</v>
      </c>
      <c r="K292" s="226">
        <v>4.879722999999999E-2</v>
      </c>
    </row>
    <row r="293" spans="1:11" x14ac:dyDescent="0.25">
      <c r="A293" s="224">
        <v>5.4000000000000002E-7</v>
      </c>
      <c r="B293" s="225">
        <f t="shared" si="4"/>
        <v>3.6785977359999997E-19</v>
      </c>
      <c r="C293" s="226">
        <v>3.7569150327232383E-2</v>
      </c>
      <c r="D293" s="226">
        <v>3.6798949999999997E-2</v>
      </c>
      <c r="E293" s="226">
        <v>3.6327029999999996E-2</v>
      </c>
      <c r="F293" s="226">
        <v>3.6726120000000001E-2</v>
      </c>
      <c r="G293" s="226">
        <v>3.6333319999999995E-2</v>
      </c>
      <c r="H293" s="226">
        <v>3.412316E-2</v>
      </c>
      <c r="I293" s="226">
        <v>3.396917E-2</v>
      </c>
      <c r="J293" s="226">
        <v>3.3512779999999999E-2</v>
      </c>
      <c r="K293" s="226">
        <v>4.794868E-2</v>
      </c>
    </row>
    <row r="294" spans="1:11" x14ac:dyDescent="0.25">
      <c r="A294" s="224">
        <v>5.4099999999999999E-7</v>
      </c>
      <c r="B294" s="225">
        <f t="shared" si="4"/>
        <v>3.6717981098706098E-19</v>
      </c>
      <c r="C294" s="226">
        <v>3.7335784857037452E-2</v>
      </c>
      <c r="D294" s="226">
        <v>3.6784339999999992E-2</v>
      </c>
      <c r="E294" s="226">
        <v>3.6042999999999992E-2</v>
      </c>
      <c r="F294" s="226">
        <v>3.7221929999999993E-2</v>
      </c>
      <c r="G294" s="226">
        <v>3.6041189999999994E-2</v>
      </c>
      <c r="H294" s="226">
        <v>3.3966819999999995E-2</v>
      </c>
      <c r="I294" s="226">
        <v>3.3873739999999999E-2</v>
      </c>
      <c r="J294" s="226">
        <v>3.4389649999999994E-2</v>
      </c>
      <c r="K294" s="226">
        <v>4.7635469999999992E-2</v>
      </c>
    </row>
    <row r="295" spans="1:11" x14ac:dyDescent="0.25">
      <c r="A295" s="224">
        <v>5.4200000000000006E-7</v>
      </c>
      <c r="B295" s="225">
        <f t="shared" si="4"/>
        <v>3.6650235746125456E-19</v>
      </c>
      <c r="C295" s="226">
        <v>3.7201697210458476E-2</v>
      </c>
      <c r="D295" s="226">
        <v>3.7113089999999994E-2</v>
      </c>
      <c r="E295" s="226">
        <v>3.7747199999999995E-2</v>
      </c>
      <c r="F295" s="226">
        <v>3.7765129999999994E-2</v>
      </c>
      <c r="G295" s="226">
        <v>3.8196009999999996E-2</v>
      </c>
      <c r="H295" s="226">
        <v>3.628841E-2</v>
      </c>
      <c r="I295" s="226">
        <v>3.7828819999999999E-2</v>
      </c>
      <c r="J295" s="226">
        <v>3.7767749999999989E-2</v>
      </c>
      <c r="K295" s="226">
        <v>5.0672779999999987E-2</v>
      </c>
    </row>
    <row r="296" spans="1:11" x14ac:dyDescent="0.25">
      <c r="A296" s="224">
        <v>5.4300000000000003E-7</v>
      </c>
      <c r="B296" s="225">
        <f t="shared" si="4"/>
        <v>3.6582739916022096E-19</v>
      </c>
      <c r="C296" s="226">
        <v>3.6977676015065221E-2</v>
      </c>
      <c r="D296" s="226">
        <v>3.6467629999999994E-2</v>
      </c>
      <c r="E296" s="226">
        <v>3.8322539999999995E-2</v>
      </c>
      <c r="F296" s="226">
        <v>3.8002089999999995E-2</v>
      </c>
      <c r="G296" s="226">
        <v>3.8130529999999996E-2</v>
      </c>
      <c r="H296" s="226">
        <v>3.5808819999999998E-2</v>
      </c>
      <c r="I296" s="226">
        <v>3.6911159999999991E-2</v>
      </c>
      <c r="J296" s="226">
        <v>3.6874969999999993E-2</v>
      </c>
      <c r="K296" s="226">
        <v>4.9059439999999996E-2</v>
      </c>
    </row>
    <row r="297" spans="1:11" x14ac:dyDescent="0.25">
      <c r="A297" s="224">
        <v>5.44E-7</v>
      </c>
      <c r="B297" s="225">
        <f t="shared" si="4"/>
        <v>3.6515492232352941E-19</v>
      </c>
      <c r="C297" s="226">
        <v>3.6869088415841564E-2</v>
      </c>
      <c r="D297" s="226">
        <v>3.7040039999999996E-2</v>
      </c>
      <c r="E297" s="226">
        <v>3.8289769999999994E-2</v>
      </c>
      <c r="F297" s="226">
        <v>3.7972929999999995E-2</v>
      </c>
      <c r="G297" s="226">
        <v>3.8436119999999997E-2</v>
      </c>
      <c r="H297" s="226">
        <v>3.6299369999999997E-2</v>
      </c>
      <c r="I297" s="226">
        <v>3.7123209999999997E-2</v>
      </c>
      <c r="J297" s="226">
        <v>3.5767129999999994E-2</v>
      </c>
      <c r="K297" s="226">
        <v>4.8859139999999995E-2</v>
      </c>
    </row>
    <row r="298" spans="1:11" x14ac:dyDescent="0.25">
      <c r="A298" s="224">
        <v>5.4499999999999997E-7</v>
      </c>
      <c r="B298" s="225">
        <f t="shared" si="4"/>
        <v>3.6448491329174315E-19</v>
      </c>
      <c r="C298" s="226">
        <v>3.6666646622091952E-2</v>
      </c>
      <c r="D298" s="226">
        <v>3.6417949999999998E-2</v>
      </c>
      <c r="E298" s="226">
        <v>3.8482769999999993E-2</v>
      </c>
      <c r="F298" s="226">
        <v>3.7870849999999998E-2</v>
      </c>
      <c r="G298" s="226">
        <v>3.8592559999999991E-2</v>
      </c>
      <c r="H298" s="226">
        <v>3.7110239999999989E-2</v>
      </c>
      <c r="I298" s="226">
        <v>3.7752049999999995E-2</v>
      </c>
      <c r="J298" s="226">
        <v>3.6650869999999995E-2</v>
      </c>
      <c r="K298" s="226">
        <v>3.9302909999999996E-2</v>
      </c>
    </row>
    <row r="299" spans="1:11" x14ac:dyDescent="0.25">
      <c r="A299" s="224">
        <v>5.4600000000000005E-7</v>
      </c>
      <c r="B299" s="225">
        <f t="shared" si="4"/>
        <v>3.6381735850549445E-19</v>
      </c>
      <c r="C299" s="226">
        <v>3.645288875319927E-2</v>
      </c>
      <c r="D299" s="226">
        <v>3.6590729999999995E-2</v>
      </c>
      <c r="E299" s="226">
        <v>3.8085849999999991E-2</v>
      </c>
      <c r="F299" s="226">
        <v>3.7622949999999995E-2</v>
      </c>
      <c r="G299" s="226">
        <v>3.7861309999999995E-2</v>
      </c>
      <c r="H299" s="226">
        <v>3.7804229999999987E-2</v>
      </c>
      <c r="I299" s="226">
        <v>3.7316979999999993E-2</v>
      </c>
      <c r="J299" s="226">
        <v>3.6799069999999989E-2</v>
      </c>
      <c r="K299" s="226">
        <v>3.5805999999999991E-2</v>
      </c>
    </row>
    <row r="300" spans="1:11" x14ac:dyDescent="0.25">
      <c r="A300" s="224">
        <v>5.4700000000000001E-7</v>
      </c>
      <c r="B300" s="225">
        <f t="shared" si="4"/>
        <v>3.6315224450457035E-19</v>
      </c>
      <c r="C300" s="226">
        <v>3.6269321817518241E-2</v>
      </c>
      <c r="D300" s="226">
        <v>3.6419049999999994E-2</v>
      </c>
      <c r="E300" s="226">
        <v>3.7648880000000003E-2</v>
      </c>
      <c r="F300" s="226">
        <v>3.7302129999999996E-2</v>
      </c>
      <c r="G300" s="226">
        <v>3.8425209999999994E-2</v>
      </c>
      <c r="H300" s="226">
        <v>3.6858209999999995E-2</v>
      </c>
      <c r="I300" s="226">
        <v>3.8373569999999996E-2</v>
      </c>
      <c r="J300" s="226">
        <v>3.7167749999999999E-2</v>
      </c>
      <c r="K300" s="226">
        <v>3.8122950000000003E-2</v>
      </c>
    </row>
    <row r="301" spans="1:11" x14ac:dyDescent="0.25">
      <c r="A301" s="224">
        <v>5.4799999999999998E-7</v>
      </c>
      <c r="B301" s="225">
        <f t="shared" si="4"/>
        <v>3.6248955792700731E-19</v>
      </c>
      <c r="C301" s="226">
        <v>3.606178494537509E-2</v>
      </c>
      <c r="D301" s="226">
        <v>3.6901229999999993E-2</v>
      </c>
      <c r="E301" s="226">
        <v>3.7514139999999994E-2</v>
      </c>
      <c r="F301" s="226">
        <v>3.7385979999999992E-2</v>
      </c>
      <c r="G301" s="226">
        <v>3.7770360000000003E-2</v>
      </c>
      <c r="H301" s="226">
        <v>3.6292419999999992E-2</v>
      </c>
      <c r="I301" s="226">
        <v>3.797507E-2</v>
      </c>
      <c r="J301" s="226">
        <v>3.7348469999999995E-2</v>
      </c>
      <c r="K301" s="226">
        <v>3.8800339999999996E-2</v>
      </c>
    </row>
    <row r="302" spans="1:11" x14ac:dyDescent="0.25">
      <c r="A302" s="224">
        <v>5.4900000000000006E-7</v>
      </c>
      <c r="B302" s="225">
        <f t="shared" si="4"/>
        <v>3.6182928550819666E-19</v>
      </c>
      <c r="C302" s="226">
        <v>3.5874649712883871E-2</v>
      </c>
      <c r="D302" s="226">
        <v>3.7131359999999995E-2</v>
      </c>
      <c r="E302" s="226">
        <v>3.7193689999999995E-2</v>
      </c>
      <c r="F302" s="226">
        <v>3.7283899999999988E-2</v>
      </c>
      <c r="G302" s="226">
        <v>3.7814009999999988E-2</v>
      </c>
      <c r="H302" s="226">
        <v>3.6880129999999997E-2</v>
      </c>
      <c r="I302" s="226">
        <v>3.8574650000000002E-2</v>
      </c>
      <c r="J302" s="226">
        <v>3.886655E-2</v>
      </c>
      <c r="K302" s="226">
        <v>3.8479849999999996E-2</v>
      </c>
    </row>
    <row r="303" spans="1:11" x14ac:dyDescent="0.25">
      <c r="A303" s="224">
        <v>5.5000000000000003E-7</v>
      </c>
      <c r="B303" s="225">
        <f t="shared" si="4"/>
        <v>3.6117141407999997E-19</v>
      </c>
      <c r="C303" s="226">
        <v>3.5687854749455336E-2</v>
      </c>
      <c r="D303" s="226">
        <v>3.6923139999999993E-2</v>
      </c>
      <c r="E303" s="226">
        <v>3.7386689999999993E-2</v>
      </c>
      <c r="F303" s="226">
        <v>3.7185469999999998E-2</v>
      </c>
      <c r="G303" s="226">
        <v>3.767940999999999E-2</v>
      </c>
      <c r="H303" s="226">
        <v>3.7807879999999995E-2</v>
      </c>
      <c r="I303" s="226">
        <v>3.8618529999999998E-2</v>
      </c>
      <c r="J303" s="226">
        <v>3.8465339999999994E-2</v>
      </c>
      <c r="K303" s="226">
        <v>3.4102340000000002E-2</v>
      </c>
    </row>
    <row r="304" spans="1:11" x14ac:dyDescent="0.25">
      <c r="A304" s="224">
        <v>5.51E-7</v>
      </c>
      <c r="B304" s="225">
        <f t="shared" si="4"/>
        <v>3.6051593056987293E-19</v>
      </c>
      <c r="C304" s="226">
        <v>3.5476165009965574E-2</v>
      </c>
      <c r="D304" s="226">
        <v>3.6142159999999993E-2</v>
      </c>
      <c r="E304" s="226">
        <v>3.6851399999999999E-2</v>
      </c>
      <c r="F304" s="226">
        <v>3.7305779999999997E-2</v>
      </c>
      <c r="G304" s="226">
        <v>3.7792189999999996E-2</v>
      </c>
      <c r="H304" s="226">
        <v>3.7011619999999995E-2</v>
      </c>
      <c r="I304" s="226">
        <v>3.75985E-2</v>
      </c>
      <c r="J304" s="226">
        <v>3.6574969999999991E-2</v>
      </c>
      <c r="K304" s="226">
        <v>3.1331980000000002E-2</v>
      </c>
    </row>
    <row r="305" spans="1:11" x14ac:dyDescent="0.25">
      <c r="A305" s="224">
        <v>5.5200000000000007E-7</v>
      </c>
      <c r="B305" s="225">
        <f t="shared" si="4"/>
        <v>3.5986282199999993E-19</v>
      </c>
      <c r="C305" s="226">
        <v>3.5329234772151899E-2</v>
      </c>
      <c r="D305" s="226">
        <v>3.4882659999999989E-2</v>
      </c>
      <c r="E305" s="226">
        <v>3.7477729999999994E-2</v>
      </c>
      <c r="F305" s="226">
        <v>3.7134429999999996E-2</v>
      </c>
      <c r="G305" s="226">
        <v>3.8130529999999996E-2</v>
      </c>
      <c r="H305" s="226">
        <v>3.7680039999999991E-2</v>
      </c>
      <c r="I305" s="226">
        <v>3.7276759999999992E-2</v>
      </c>
      <c r="J305" s="226">
        <v>3.7821969999999996E-2</v>
      </c>
      <c r="K305" s="226">
        <v>3.0486699999999992E-2</v>
      </c>
    </row>
    <row r="306" spans="1:11" x14ac:dyDescent="0.25">
      <c r="A306" s="224">
        <v>5.5300000000000004E-7</v>
      </c>
      <c r="B306" s="225">
        <f t="shared" si="4"/>
        <v>3.5921207548643759E-19</v>
      </c>
      <c r="C306" s="226">
        <v>3.502903713228659E-2</v>
      </c>
      <c r="D306" s="226">
        <v>3.6128639999999997E-2</v>
      </c>
      <c r="E306" s="226">
        <v>3.6982489999999993E-2</v>
      </c>
      <c r="F306" s="226">
        <v>3.7003189999999998E-2</v>
      </c>
      <c r="G306" s="226">
        <v>3.7159159999999997E-2</v>
      </c>
      <c r="H306" s="226">
        <v>3.856031E-2</v>
      </c>
      <c r="I306" s="226">
        <v>3.9583709999999987E-2</v>
      </c>
      <c r="J306" s="226">
        <v>3.9994269999999991E-2</v>
      </c>
      <c r="K306" s="226">
        <v>2.8815089999999995E-2</v>
      </c>
    </row>
    <row r="307" spans="1:11" x14ac:dyDescent="0.25">
      <c r="A307" s="224">
        <v>5.5400000000000001E-7</v>
      </c>
      <c r="B307" s="225">
        <f t="shared" si="4"/>
        <v>3.5856367823826715E-19</v>
      </c>
      <c r="C307" s="226">
        <v>3.4891634278768222E-2</v>
      </c>
      <c r="D307" s="226">
        <v>3.614106999999999E-2</v>
      </c>
      <c r="E307" s="226">
        <v>3.6024429999999996E-2</v>
      </c>
      <c r="F307" s="226">
        <v>3.7116209999999997E-2</v>
      </c>
      <c r="G307" s="226">
        <v>3.6991809999999993E-2</v>
      </c>
      <c r="H307" s="226">
        <v>3.8311939999999996E-2</v>
      </c>
      <c r="I307" s="226">
        <v>3.9623929999999995E-2</v>
      </c>
      <c r="J307" s="226">
        <v>4.0182229999999992E-2</v>
      </c>
      <c r="K307" s="226">
        <v>2.7875859999999995E-2</v>
      </c>
    </row>
    <row r="308" spans="1:11" x14ac:dyDescent="0.25">
      <c r="A308" s="224">
        <v>5.5499999999999998E-7</v>
      </c>
      <c r="B308" s="225">
        <f t="shared" si="4"/>
        <v>3.5791761755675676E-19</v>
      </c>
      <c r="C308" s="226">
        <v>3.4743139385334285E-2</v>
      </c>
      <c r="D308" s="226">
        <v>3.6438039999999991E-2</v>
      </c>
      <c r="E308" s="226">
        <v>3.7073529999999993E-2</v>
      </c>
      <c r="F308" s="226">
        <v>3.7017769999999992E-2</v>
      </c>
      <c r="G308" s="226">
        <v>3.7606649999999991E-2</v>
      </c>
      <c r="H308" s="226">
        <v>3.9685309999999994E-2</v>
      </c>
      <c r="I308" s="226">
        <v>4.0749979999999998E-2</v>
      </c>
      <c r="J308" s="226">
        <v>4.149067E-2</v>
      </c>
      <c r="K308" s="226">
        <v>2.7925019999999995E-2</v>
      </c>
    </row>
    <row r="309" spans="1:11" x14ac:dyDescent="0.25">
      <c r="A309" s="224">
        <v>5.5600000000000006E-7</v>
      </c>
      <c r="B309" s="225">
        <f t="shared" si="4"/>
        <v>3.5727388083453232E-19</v>
      </c>
      <c r="C309" s="226">
        <v>3.4558390078994604E-2</v>
      </c>
      <c r="D309" s="226">
        <v>3.6058879999999995E-2</v>
      </c>
      <c r="E309" s="226">
        <v>3.6691179999999997E-2</v>
      </c>
      <c r="F309" s="226">
        <v>3.6744349999999995E-2</v>
      </c>
      <c r="G309" s="226">
        <v>3.7224649999999998E-2</v>
      </c>
      <c r="H309" s="226">
        <v>3.915202999999999E-2</v>
      </c>
      <c r="I309" s="226">
        <v>4.074632999999999E-2</v>
      </c>
      <c r="J309" s="226">
        <v>4.087259E-2</v>
      </c>
      <c r="K309" s="226">
        <v>3.1994429999999997E-2</v>
      </c>
    </row>
    <row r="310" spans="1:11" x14ac:dyDescent="0.25">
      <c r="A310" s="224">
        <v>5.5700000000000002E-7</v>
      </c>
      <c r="B310" s="225">
        <f t="shared" si="4"/>
        <v>3.5663245555475761E-19</v>
      </c>
      <c r="C310" s="226">
        <v>3.4348341910051969E-2</v>
      </c>
      <c r="D310" s="226">
        <v>3.6247369999999994E-2</v>
      </c>
      <c r="E310" s="226">
        <v>3.6239639999999997E-2</v>
      </c>
      <c r="F310" s="226">
        <v>3.6576649999999995E-2</v>
      </c>
      <c r="G310" s="226">
        <v>3.7231929999999989E-2</v>
      </c>
      <c r="H310" s="226">
        <v>3.7468189999999998E-2</v>
      </c>
      <c r="I310" s="226">
        <v>3.909381E-2</v>
      </c>
      <c r="J310" s="226">
        <v>3.9528000000000001E-2</v>
      </c>
      <c r="K310" s="226">
        <v>3.7183349999999997E-2</v>
      </c>
    </row>
    <row r="311" spans="1:11" x14ac:dyDescent="0.25">
      <c r="A311" s="224">
        <v>5.5799999999999999E-7</v>
      </c>
      <c r="B311" s="225">
        <f t="shared" si="4"/>
        <v>3.5599332929032256E-19</v>
      </c>
      <c r="C311" s="226">
        <v>3.4166102763369691E-2</v>
      </c>
      <c r="D311" s="226">
        <v>3.5836049999999994E-2</v>
      </c>
      <c r="E311" s="226">
        <v>3.6323749999999995E-2</v>
      </c>
      <c r="F311" s="226">
        <v>3.6446499999999986E-2</v>
      </c>
      <c r="G311" s="226">
        <v>3.7417459999999993E-2</v>
      </c>
      <c r="H311" s="226">
        <v>3.7479149999999996E-2</v>
      </c>
      <c r="I311" s="226">
        <v>3.8772079999999993E-2</v>
      </c>
      <c r="J311" s="226">
        <v>3.910149999999999E-2</v>
      </c>
      <c r="K311" s="226">
        <v>3.7995489999999993E-2</v>
      </c>
    </row>
    <row r="312" spans="1:11" x14ac:dyDescent="0.25">
      <c r="A312" s="224">
        <v>5.5900000000000007E-7</v>
      </c>
      <c r="B312" s="225">
        <f t="shared" si="4"/>
        <v>3.5535648970304108E-19</v>
      </c>
      <c r="C312" s="226">
        <v>3.397113357130109E-2</v>
      </c>
      <c r="D312" s="226">
        <v>3.4847589999999998E-2</v>
      </c>
      <c r="E312" s="226">
        <v>3.5875859999999996E-2</v>
      </c>
      <c r="F312" s="226">
        <v>3.6492799999999992E-2</v>
      </c>
      <c r="G312" s="226">
        <v>3.6261649999999999E-2</v>
      </c>
      <c r="H312" s="226">
        <v>3.6668279999999998E-2</v>
      </c>
      <c r="I312" s="226">
        <v>3.7814199999999992E-2</v>
      </c>
      <c r="J312" s="226">
        <v>3.7561719999999993E-2</v>
      </c>
      <c r="K312" s="226">
        <v>3.6156349999999997E-2</v>
      </c>
    </row>
    <row r="313" spans="1:11" x14ac:dyDescent="0.25">
      <c r="A313" s="224">
        <v>5.6000000000000004E-7</v>
      </c>
      <c r="B313" s="225">
        <f t="shared" si="4"/>
        <v>3.5472192454285713E-19</v>
      </c>
      <c r="C313" s="226">
        <v>3.3830010476105565E-2</v>
      </c>
      <c r="D313" s="226">
        <v>3.5545649999999998E-2</v>
      </c>
      <c r="E313" s="226">
        <v>3.5047789999999995E-2</v>
      </c>
      <c r="F313" s="226">
        <v>3.6886529999999994E-2</v>
      </c>
      <c r="G313" s="226">
        <v>3.5255369999999994E-2</v>
      </c>
      <c r="H313" s="226">
        <v>3.5619619999999998E-2</v>
      </c>
      <c r="I313" s="226">
        <v>3.7002559999999997E-2</v>
      </c>
      <c r="J313" s="226">
        <v>3.599484E-2</v>
      </c>
      <c r="K313" s="226">
        <v>3.495417E-2</v>
      </c>
    </row>
    <row r="314" spans="1:11" x14ac:dyDescent="0.25">
      <c r="A314" s="224">
        <v>5.6100000000000001E-7</v>
      </c>
      <c r="B314" s="225">
        <f t="shared" si="4"/>
        <v>3.5408962164705883E-19</v>
      </c>
      <c r="C314" s="226">
        <v>3.3649295758007111E-2</v>
      </c>
      <c r="D314" s="226">
        <v>3.4794249999999999E-2</v>
      </c>
      <c r="E314" s="226">
        <v>3.5828879999999994E-2</v>
      </c>
      <c r="F314" s="226">
        <v>3.5953609999999997E-2</v>
      </c>
      <c r="G314" s="226">
        <v>3.6387889999999999E-2</v>
      </c>
      <c r="H314" s="226">
        <v>3.8100089999999996E-2</v>
      </c>
      <c r="I314" s="226">
        <v>3.8077429999999995E-2</v>
      </c>
      <c r="J314" s="226">
        <v>3.9144869999999998E-2</v>
      </c>
      <c r="K314" s="226">
        <v>3.4331049999999995E-2</v>
      </c>
    </row>
    <row r="315" spans="1:11" x14ac:dyDescent="0.25">
      <c r="A315" s="224">
        <v>5.6199999999999998E-7</v>
      </c>
      <c r="B315" s="225">
        <f t="shared" si="4"/>
        <v>3.5345956893950179E-19</v>
      </c>
      <c r="C315" s="226">
        <v>3.3449365051509763E-2</v>
      </c>
      <c r="D315" s="226">
        <v>3.451481E-2</v>
      </c>
      <c r="E315" s="226">
        <v>3.6119829999999999E-2</v>
      </c>
      <c r="F315" s="226">
        <v>3.6766219999999995E-2</v>
      </c>
      <c r="G315" s="226">
        <v>3.6328229999999996E-2</v>
      </c>
      <c r="H315" s="226">
        <v>3.8739290000000003E-2</v>
      </c>
      <c r="I315" s="226">
        <v>3.9174239999999992E-2</v>
      </c>
      <c r="J315" s="226">
        <v>3.9647279999999986E-2</v>
      </c>
      <c r="K315" s="226">
        <v>3.4899539999999993E-2</v>
      </c>
    </row>
    <row r="316" spans="1:11" x14ac:dyDescent="0.25">
      <c r="A316" s="224">
        <v>5.6300000000000005E-7</v>
      </c>
      <c r="B316" s="225">
        <f t="shared" si="4"/>
        <v>3.528317544298401E-19</v>
      </c>
      <c r="C316" s="226">
        <v>3.3294956143211624E-2</v>
      </c>
      <c r="D316" s="226">
        <v>3.4583489999999988E-2</v>
      </c>
      <c r="E316" s="226">
        <v>3.5681399999999995E-2</v>
      </c>
      <c r="F316" s="226">
        <v>3.5556969999999993E-2</v>
      </c>
      <c r="G316" s="226">
        <v>3.6478849999999993E-2</v>
      </c>
      <c r="H316" s="226">
        <v>3.7658129999999998E-2</v>
      </c>
      <c r="I316" s="226">
        <v>3.9141339999999997E-2</v>
      </c>
      <c r="J316" s="226">
        <v>3.9719569999999996E-2</v>
      </c>
      <c r="K316" s="226">
        <v>3.4265489999999996E-2</v>
      </c>
    </row>
    <row r="317" spans="1:11" x14ac:dyDescent="0.25">
      <c r="A317" s="224">
        <v>5.6400000000000002E-7</v>
      </c>
      <c r="B317" s="225">
        <f t="shared" si="4"/>
        <v>3.5220616621276595E-19</v>
      </c>
      <c r="C317" s="226">
        <v>3.3123042037495574E-2</v>
      </c>
      <c r="D317" s="226">
        <v>3.4260209999999999E-2</v>
      </c>
      <c r="E317" s="226">
        <v>3.6039359999999993E-2</v>
      </c>
      <c r="F317" s="226">
        <v>3.6747999999999996E-2</v>
      </c>
      <c r="G317" s="226">
        <v>3.6280569999999991E-2</v>
      </c>
      <c r="H317" s="226">
        <v>3.9159329999999999E-2</v>
      </c>
      <c r="I317" s="226">
        <v>4.0647610000000001E-2</v>
      </c>
      <c r="J317" s="226">
        <v>4.1519589999999995E-2</v>
      </c>
      <c r="K317" s="226">
        <v>3.4225799999999994E-2</v>
      </c>
    </row>
    <row r="318" spans="1:11" x14ac:dyDescent="0.25">
      <c r="A318" s="224">
        <v>5.6499999999999999E-7</v>
      </c>
      <c r="B318" s="225">
        <f t="shared" si="4"/>
        <v>3.5158279246725666E-19</v>
      </c>
      <c r="C318" s="226">
        <v>3.2933963877010072E-2</v>
      </c>
      <c r="D318" s="226">
        <v>3.4258749999999991E-2</v>
      </c>
      <c r="E318" s="226">
        <v>3.5497879999999996E-2</v>
      </c>
      <c r="F318" s="226">
        <v>3.4894549999999996E-2</v>
      </c>
      <c r="G318" s="226">
        <v>3.6395169999999998E-2</v>
      </c>
      <c r="H318" s="226">
        <v>3.8432469999999996E-2</v>
      </c>
      <c r="I318" s="226">
        <v>4.0962029999999996E-2</v>
      </c>
      <c r="J318" s="226">
        <v>4.2354529999999994E-2</v>
      </c>
      <c r="K318" s="226">
        <v>3.7547529999999996E-2</v>
      </c>
    </row>
    <row r="319" spans="1:11" x14ac:dyDescent="0.25">
      <c r="A319" s="224">
        <v>5.6600000000000007E-7</v>
      </c>
      <c r="B319" s="225">
        <f t="shared" si="4"/>
        <v>3.5096162145583034E-19</v>
      </c>
      <c r="C319" s="226">
        <v>3.2723873576719575E-2</v>
      </c>
      <c r="D319" s="226">
        <v>3.3973819999999995E-2</v>
      </c>
      <c r="E319" s="226">
        <v>3.5577259999999999E-2</v>
      </c>
      <c r="F319" s="226">
        <v>3.6386349999999991E-2</v>
      </c>
      <c r="G319" s="226">
        <v>3.5816719999999996E-2</v>
      </c>
      <c r="H319" s="226">
        <v>3.9371189999999986E-2</v>
      </c>
      <c r="I319" s="226">
        <v>4.0084589999999996E-2</v>
      </c>
      <c r="J319" s="226">
        <v>4.2101519999999996E-2</v>
      </c>
      <c r="K319" s="226">
        <v>3.7689569999999999E-2</v>
      </c>
    </row>
    <row r="320" spans="1:11" x14ac:dyDescent="0.25">
      <c r="A320" s="224">
        <v>5.6700000000000003E-7</v>
      </c>
      <c r="B320" s="225">
        <f t="shared" si="4"/>
        <v>3.5034264152380949E-19</v>
      </c>
      <c r="C320" s="226">
        <v>3.2580221040126714E-2</v>
      </c>
      <c r="D320" s="226">
        <v>3.3531099999999994E-2</v>
      </c>
      <c r="E320" s="226">
        <v>3.4598799999999992E-2</v>
      </c>
      <c r="F320" s="226">
        <v>3.5023239999999997E-2</v>
      </c>
      <c r="G320" s="226">
        <v>3.5656639999999996E-2</v>
      </c>
      <c r="H320" s="226">
        <v>3.8023379999999996E-2</v>
      </c>
      <c r="I320" s="226">
        <v>4.0186959999999994E-2</v>
      </c>
      <c r="J320" s="226">
        <v>4.1465370000000001E-2</v>
      </c>
      <c r="K320" s="226">
        <v>3.8199429999999986E-2</v>
      </c>
    </row>
    <row r="321" spans="1:11" x14ac:dyDescent="0.25">
      <c r="A321" s="224">
        <v>5.68E-7</v>
      </c>
      <c r="B321" s="225">
        <f t="shared" si="4"/>
        <v>3.4972584109859156E-19</v>
      </c>
      <c r="C321" s="226">
        <v>3.2422061078517472E-2</v>
      </c>
      <c r="D321" s="226">
        <v>3.3463519999999997E-2</v>
      </c>
      <c r="E321" s="226">
        <v>3.5462549999999995E-2</v>
      </c>
      <c r="F321" s="226">
        <v>3.6507379999999992E-2</v>
      </c>
      <c r="G321" s="226">
        <v>3.563591E-2</v>
      </c>
      <c r="H321" s="226">
        <v>3.9400409999999997E-2</v>
      </c>
      <c r="I321" s="226">
        <v>4.0113839999999991E-2</v>
      </c>
      <c r="J321" s="226">
        <v>4.3196709999999992E-2</v>
      </c>
      <c r="K321" s="226">
        <v>3.8468929999999998E-2</v>
      </c>
    </row>
    <row r="322" spans="1:11" x14ac:dyDescent="0.25">
      <c r="A322" s="224">
        <v>5.6899999999999997E-7</v>
      </c>
      <c r="B322" s="225">
        <f t="shared" si="4"/>
        <v>3.4911120868892796E-19</v>
      </c>
      <c r="C322" s="226">
        <v>3.2241497203018069E-2</v>
      </c>
      <c r="D322" s="226">
        <v>3.3048919999999996E-2</v>
      </c>
      <c r="E322" s="226">
        <v>3.4659619999999995E-2</v>
      </c>
      <c r="F322" s="226">
        <v>3.4915699999999994E-2</v>
      </c>
      <c r="G322" s="226">
        <v>3.5918589999999993E-2</v>
      </c>
      <c r="H322" s="226">
        <v>3.9093589999999998E-2</v>
      </c>
      <c r="I322" s="226">
        <v>4.038804E-2</v>
      </c>
      <c r="J322" s="226">
        <v>4.3146099999999993E-2</v>
      </c>
      <c r="K322" s="226">
        <v>4.0158749999999993E-2</v>
      </c>
    </row>
    <row r="323" spans="1:11" x14ac:dyDescent="0.25">
      <c r="A323" s="224">
        <v>5.7000000000000005E-7</v>
      </c>
      <c r="B323" s="225">
        <f t="shared" ref="B323:B386" si="5">h_planck*c_light/A323</f>
        <v>3.4849873288421051E-19</v>
      </c>
      <c r="C323" s="226">
        <v>3.2082199641043599E-2</v>
      </c>
      <c r="D323" s="226">
        <v>3.3660409999999995E-2</v>
      </c>
      <c r="E323" s="226">
        <v>3.504597999999999E-2</v>
      </c>
      <c r="F323" s="226">
        <v>3.5877419999999993E-2</v>
      </c>
      <c r="G323" s="226">
        <v>3.5453639999999995E-2</v>
      </c>
      <c r="H323" s="226">
        <v>3.8377679999999997E-2</v>
      </c>
      <c r="I323" s="226">
        <v>4.0691489999999997E-2</v>
      </c>
      <c r="J323" s="226">
        <v>4.2549709999999991E-2</v>
      </c>
      <c r="K323" s="226">
        <v>4.0074979999999996E-2</v>
      </c>
    </row>
    <row r="324" spans="1:11" x14ac:dyDescent="0.25">
      <c r="A324" s="224">
        <v>5.7100000000000002E-7</v>
      </c>
      <c r="B324" s="225">
        <f t="shared" si="5"/>
        <v>3.4788840235376531E-19</v>
      </c>
      <c r="C324" s="226">
        <v>3.1908217990564383E-2</v>
      </c>
      <c r="D324" s="226">
        <v>3.3082519999999997E-2</v>
      </c>
      <c r="E324" s="226">
        <v>3.4889759999999992E-2</v>
      </c>
      <c r="F324" s="226">
        <v>3.5446499999999999E-2</v>
      </c>
      <c r="G324" s="226">
        <v>3.5463459999999995E-2</v>
      </c>
      <c r="H324" s="226">
        <v>3.7866319999999995E-2</v>
      </c>
      <c r="I324" s="226">
        <v>3.9419189999999993E-2</v>
      </c>
      <c r="J324" s="226">
        <v>4.1678619999999993E-2</v>
      </c>
      <c r="K324" s="226">
        <v>4.3003039999999992E-2</v>
      </c>
    </row>
    <row r="325" spans="1:11" x14ac:dyDescent="0.25">
      <c r="A325" s="224">
        <v>5.7199999999999999E-7</v>
      </c>
      <c r="B325" s="225">
        <f t="shared" si="5"/>
        <v>3.4728020584615387E-19</v>
      </c>
      <c r="C325" s="226">
        <v>3.1750335160446466E-2</v>
      </c>
      <c r="D325" s="226">
        <v>3.3157770000000003E-2</v>
      </c>
      <c r="E325" s="226">
        <v>3.5001549999999999E-2</v>
      </c>
      <c r="F325" s="226">
        <v>3.6634979999999998E-2</v>
      </c>
      <c r="G325" s="226">
        <v>3.5305939999999994E-2</v>
      </c>
      <c r="H325" s="226">
        <v>3.9057059999999998E-2</v>
      </c>
      <c r="I325" s="226">
        <v>4.0574489999999998E-2</v>
      </c>
      <c r="J325" s="226">
        <v>4.3554539999999996E-2</v>
      </c>
      <c r="K325" s="226">
        <v>4.1695609999999994E-2</v>
      </c>
    </row>
    <row r="326" spans="1:11" x14ac:dyDescent="0.25">
      <c r="A326" s="224">
        <v>5.7300000000000006E-7</v>
      </c>
      <c r="B326" s="225">
        <f t="shared" si="5"/>
        <v>3.4667413218848163E-19</v>
      </c>
      <c r="C326" s="226">
        <v>3.1584843035372019E-2</v>
      </c>
      <c r="D326" s="226">
        <v>3.2948829999999991E-2</v>
      </c>
      <c r="E326" s="226">
        <v>3.5551769999999996E-2</v>
      </c>
      <c r="F326" s="226">
        <v>3.5132979999999994E-2</v>
      </c>
      <c r="G326" s="226">
        <v>3.6657109999999993E-2</v>
      </c>
      <c r="H326" s="226">
        <v>3.9798539999999993E-2</v>
      </c>
      <c r="I326" s="226">
        <v>4.2201419999999996E-2</v>
      </c>
      <c r="J326" s="226">
        <v>4.4566599999999991E-2</v>
      </c>
      <c r="K326" s="226">
        <v>4.3341729999999995E-2</v>
      </c>
    </row>
    <row r="327" spans="1:11" x14ac:dyDescent="0.25">
      <c r="A327" s="224">
        <v>5.7400000000000003E-7</v>
      </c>
      <c r="B327" s="225">
        <f t="shared" si="5"/>
        <v>3.4607017028571426E-19</v>
      </c>
      <c r="C327" s="226">
        <v>3.141965254042775E-2</v>
      </c>
      <c r="D327" s="226">
        <v>3.2332959999999994E-2</v>
      </c>
      <c r="E327" s="226">
        <v>3.4894129999999995E-2</v>
      </c>
      <c r="F327" s="226">
        <v>3.5043659999999997E-2</v>
      </c>
      <c r="G327" s="226">
        <v>3.5630089999999996E-2</v>
      </c>
      <c r="H327" s="226">
        <v>4.016745E-2</v>
      </c>
      <c r="I327" s="226">
        <v>4.2223359999999995E-2</v>
      </c>
      <c r="J327" s="226">
        <v>4.6485889999999988E-2</v>
      </c>
      <c r="K327" s="226">
        <v>4.8527729999999991E-2</v>
      </c>
    </row>
    <row r="328" spans="1:11" x14ac:dyDescent="0.25">
      <c r="A328" s="224">
        <v>5.75E-7</v>
      </c>
      <c r="B328" s="225">
        <f t="shared" si="5"/>
        <v>3.4546830912E-19</v>
      </c>
      <c r="C328" s="226">
        <v>3.1243965411315508E-2</v>
      </c>
      <c r="D328" s="226">
        <v>3.2646189999999992E-2</v>
      </c>
      <c r="E328" s="226">
        <v>3.4689114999999993E-2</v>
      </c>
      <c r="F328" s="226">
        <v>3.5072279999999997E-2</v>
      </c>
      <c r="G328" s="226">
        <v>3.5621719999999996E-2</v>
      </c>
      <c r="H328" s="226">
        <v>3.9844194999999999E-2</v>
      </c>
      <c r="I328" s="226">
        <v>4.2227014999999993E-2</v>
      </c>
      <c r="J328" s="226">
        <v>4.6798539999999986E-2</v>
      </c>
      <c r="K328" s="226">
        <v>4.7826669999999988E-2</v>
      </c>
    </row>
    <row r="329" spans="1:11" x14ac:dyDescent="0.25">
      <c r="A329" s="224">
        <v>5.7599999999999997E-7</v>
      </c>
      <c r="B329" s="225">
        <f t="shared" si="5"/>
        <v>3.4486853775000003E-19</v>
      </c>
      <c r="C329" s="226">
        <v>3.1082169009352258E-2</v>
      </c>
      <c r="D329" s="226">
        <v>3.2959419999999996E-2</v>
      </c>
      <c r="E329" s="226">
        <v>3.4484099999999997E-2</v>
      </c>
      <c r="F329" s="226">
        <v>3.510089999999999E-2</v>
      </c>
      <c r="G329" s="226">
        <v>3.5613349999999995E-2</v>
      </c>
      <c r="H329" s="226">
        <v>3.9520939999999991E-2</v>
      </c>
      <c r="I329" s="226">
        <v>4.2230669999999991E-2</v>
      </c>
      <c r="J329" s="226">
        <v>4.7111189999999983E-2</v>
      </c>
      <c r="K329" s="226">
        <v>4.7125609999999984E-2</v>
      </c>
    </row>
    <row r="330" spans="1:11" x14ac:dyDescent="0.25">
      <c r="A330" s="224">
        <v>5.7700000000000004E-7</v>
      </c>
      <c r="B330" s="225">
        <f t="shared" si="5"/>
        <v>3.4427084531022527E-19</v>
      </c>
      <c r="C330" s="226">
        <v>3.0924357778546706E-2</v>
      </c>
      <c r="D330" s="226">
        <v>3.2505004999999997E-2</v>
      </c>
      <c r="E330" s="226">
        <v>3.4432024999999991E-2</v>
      </c>
      <c r="F330" s="226">
        <v>3.5128604999999993E-2</v>
      </c>
      <c r="G330" s="226">
        <v>3.5408709999999996E-2</v>
      </c>
      <c r="H330" s="226">
        <v>3.9634169999999996E-2</v>
      </c>
      <c r="I330" s="226">
        <v>4.2219704999999989E-2</v>
      </c>
      <c r="J330" s="226">
        <v>4.7234084999999988E-2</v>
      </c>
      <c r="K330" s="226">
        <v>4.4680104999999991E-2</v>
      </c>
    </row>
    <row r="331" spans="1:11" x14ac:dyDescent="0.25">
      <c r="A331" s="224">
        <v>5.7800000000000001E-7</v>
      </c>
      <c r="B331" s="225">
        <f t="shared" si="5"/>
        <v>3.4367522101038059E-19</v>
      </c>
      <c r="C331" s="226">
        <v>3.0749393702296658E-2</v>
      </c>
      <c r="D331" s="226">
        <v>3.2050589999999997E-2</v>
      </c>
      <c r="E331" s="226">
        <v>3.4379949999999992E-2</v>
      </c>
      <c r="F331" s="226">
        <v>3.5156309999999996E-2</v>
      </c>
      <c r="G331" s="226">
        <v>3.5204069999999997E-2</v>
      </c>
      <c r="H331" s="226">
        <v>3.9747399999999995E-2</v>
      </c>
      <c r="I331" s="226">
        <v>4.2208739999999988E-2</v>
      </c>
      <c r="J331" s="226">
        <v>4.7356979999999993E-2</v>
      </c>
      <c r="K331" s="226">
        <v>4.2234599999999997E-2</v>
      </c>
    </row>
    <row r="332" spans="1:11" x14ac:dyDescent="0.25">
      <c r="A332" s="224">
        <v>5.7899999999999998E-7</v>
      </c>
      <c r="B332" s="225">
        <f t="shared" si="5"/>
        <v>3.4308165413471501E-19</v>
      </c>
      <c r="C332" s="226">
        <v>3.0592204171980011E-2</v>
      </c>
      <c r="D332" s="226">
        <v>3.2164559999999995E-2</v>
      </c>
      <c r="E332" s="226">
        <v>3.440780999999999E-2</v>
      </c>
      <c r="F332" s="226">
        <v>3.5067724999999994E-2</v>
      </c>
      <c r="G332" s="226">
        <v>3.5164050000000002E-2</v>
      </c>
      <c r="H332" s="226">
        <v>3.9477109999999996E-2</v>
      </c>
      <c r="I332" s="226">
        <v>4.2212394999999993E-2</v>
      </c>
      <c r="J332" s="226">
        <v>4.7429269999999996E-2</v>
      </c>
      <c r="K332" s="226">
        <v>4.1145689999999999E-2</v>
      </c>
    </row>
    <row r="333" spans="1:11" x14ac:dyDescent="0.25">
      <c r="A333" s="224">
        <v>5.8000000000000006E-7</v>
      </c>
      <c r="B333" s="225">
        <f t="shared" si="5"/>
        <v>3.4249013404137925E-19</v>
      </c>
      <c r="C333" s="226">
        <v>3.0434420061919491E-2</v>
      </c>
      <c r="D333" s="226">
        <v>3.2278529999999993E-2</v>
      </c>
      <c r="E333" s="226">
        <v>3.4435669999999988E-2</v>
      </c>
      <c r="F333" s="226">
        <v>3.4979139999999999E-2</v>
      </c>
      <c r="G333" s="226">
        <v>3.5124030000000001E-2</v>
      </c>
      <c r="H333" s="226">
        <v>3.9206819999999996E-2</v>
      </c>
      <c r="I333" s="226">
        <v>4.2216049999999998E-2</v>
      </c>
      <c r="J333" s="226">
        <v>4.7501559999999991E-2</v>
      </c>
      <c r="K333" s="226">
        <v>4.005678E-2</v>
      </c>
    </row>
    <row r="334" spans="1:11" x14ac:dyDescent="0.25">
      <c r="A334" s="224">
        <v>5.8100000000000003E-7</v>
      </c>
      <c r="B334" s="225">
        <f t="shared" si="5"/>
        <v>3.4190065016178999E-19</v>
      </c>
      <c r="C334" s="226">
        <v>3.0279109546391743E-2</v>
      </c>
      <c r="D334" s="226">
        <v>3.2226109999999995E-2</v>
      </c>
      <c r="E334" s="226">
        <v>3.4707864999999991E-2</v>
      </c>
      <c r="F334" s="226">
        <v>3.4972209999999997E-2</v>
      </c>
      <c r="G334" s="226">
        <v>3.5232260000000001E-2</v>
      </c>
      <c r="H334" s="226">
        <v>3.9809494999999993E-2</v>
      </c>
      <c r="I334" s="226">
        <v>4.2217875000000002E-2</v>
      </c>
      <c r="J334" s="226">
        <v>4.8497349999999995E-2</v>
      </c>
      <c r="K334" s="226">
        <v>3.7400955E-2</v>
      </c>
    </row>
    <row r="335" spans="1:11" x14ac:dyDescent="0.25">
      <c r="A335" s="224">
        <v>5.82E-7</v>
      </c>
      <c r="B335" s="225">
        <f t="shared" si="5"/>
        <v>3.4131319200000001E-19</v>
      </c>
      <c r="C335" s="226">
        <v>3.011963264529401E-2</v>
      </c>
      <c r="D335" s="226">
        <v>3.2173689999999998E-2</v>
      </c>
      <c r="E335" s="226">
        <v>3.4980059999999993E-2</v>
      </c>
      <c r="F335" s="226">
        <v>3.4965279999999994E-2</v>
      </c>
      <c r="G335" s="226">
        <v>3.5340489999999995E-2</v>
      </c>
      <c r="H335" s="226">
        <v>4.041216999999999E-2</v>
      </c>
      <c r="I335" s="226">
        <v>4.2219699999999999E-2</v>
      </c>
      <c r="J335" s="226">
        <v>4.9493139999999991E-2</v>
      </c>
      <c r="K335" s="226">
        <v>3.4745129999999992E-2</v>
      </c>
    </row>
    <row r="336" spans="1:11" x14ac:dyDescent="0.25">
      <c r="A336" s="224">
        <v>5.8300000000000007E-7</v>
      </c>
      <c r="B336" s="225">
        <f t="shared" si="5"/>
        <v>3.4072774913207541E-19</v>
      </c>
      <c r="C336" s="226">
        <v>2.9969345222450372E-2</v>
      </c>
      <c r="D336" s="226">
        <v>3.2118164999999997E-2</v>
      </c>
      <c r="E336" s="226">
        <v>3.4778690000000001E-2</v>
      </c>
      <c r="F336" s="226">
        <v>3.4829659999999998E-2</v>
      </c>
      <c r="G336" s="226">
        <v>3.5494929999999994E-2</v>
      </c>
      <c r="H336" s="226">
        <v>4.0697074999999992E-2</v>
      </c>
      <c r="I336" s="226">
        <v>4.2206904999999996E-2</v>
      </c>
      <c r="J336" s="226">
        <v>4.8714219999999989E-2</v>
      </c>
      <c r="K336" s="226">
        <v>3.5689279999999997E-2</v>
      </c>
    </row>
    <row r="337" spans="1:11" x14ac:dyDescent="0.25">
      <c r="A337" s="224">
        <v>5.8400000000000004E-7</v>
      </c>
      <c r="B337" s="225">
        <f t="shared" si="5"/>
        <v>3.4014431120547941E-19</v>
      </c>
      <c r="C337" s="226">
        <v>2.9813766042058466E-2</v>
      </c>
      <c r="D337" s="226">
        <v>3.2062639999999996E-2</v>
      </c>
      <c r="E337" s="226">
        <v>3.4577320000000002E-2</v>
      </c>
      <c r="F337" s="226">
        <v>3.4694040000000002E-2</v>
      </c>
      <c r="G337" s="226">
        <v>3.564937E-2</v>
      </c>
      <c r="H337" s="226">
        <v>4.0981979999999994E-2</v>
      </c>
      <c r="I337" s="226">
        <v>4.2194109999999993E-2</v>
      </c>
      <c r="J337" s="226">
        <v>4.7935299999999993E-2</v>
      </c>
      <c r="K337" s="226">
        <v>3.6633430000000002E-2</v>
      </c>
    </row>
    <row r="338" spans="1:11" x14ac:dyDescent="0.25">
      <c r="A338" s="224">
        <v>5.8500000000000001E-7</v>
      </c>
      <c r="B338" s="225">
        <f t="shared" si="5"/>
        <v>3.3956286793846151E-19</v>
      </c>
      <c r="C338" s="226">
        <v>2.9660711231661543E-2</v>
      </c>
      <c r="D338" s="226">
        <v>3.1515444999999996E-2</v>
      </c>
      <c r="E338" s="226">
        <v>3.3980669999999998E-2</v>
      </c>
      <c r="F338" s="226">
        <v>3.4239795000000003E-2</v>
      </c>
      <c r="G338" s="226">
        <v>3.5157684999999994E-2</v>
      </c>
      <c r="H338" s="226">
        <v>4.0130924999999991E-2</v>
      </c>
      <c r="I338" s="226">
        <v>4.2195939999999994E-2</v>
      </c>
      <c r="J338" s="226">
        <v>4.6937699999999999E-2</v>
      </c>
      <c r="K338" s="226">
        <v>3.4377480000000002E-2</v>
      </c>
    </row>
    <row r="339" spans="1:11" x14ac:dyDescent="0.25">
      <c r="A339" s="224">
        <v>5.8599999999999998E-7</v>
      </c>
      <c r="B339" s="225">
        <f t="shared" si="5"/>
        <v>3.3898340911945395E-19</v>
      </c>
      <c r="C339" s="226">
        <v>2.9493116950451211E-2</v>
      </c>
      <c r="D339" s="226">
        <v>3.0968249999999996E-2</v>
      </c>
      <c r="E339" s="226">
        <v>3.3384019999999993E-2</v>
      </c>
      <c r="F339" s="226">
        <v>3.3785549999999998E-2</v>
      </c>
      <c r="G339" s="226">
        <v>3.4665999999999995E-2</v>
      </c>
      <c r="H339" s="226">
        <v>3.9279869999999988E-2</v>
      </c>
      <c r="I339" s="226">
        <v>4.2197769999999996E-2</v>
      </c>
      <c r="J339" s="226">
        <v>4.5940099999999998E-2</v>
      </c>
      <c r="K339" s="226">
        <v>3.2121529999999995E-2</v>
      </c>
    </row>
    <row r="340" spans="1:11" x14ac:dyDescent="0.25">
      <c r="A340" s="224">
        <v>5.8700000000000005E-7</v>
      </c>
      <c r="B340" s="225">
        <f t="shared" si="5"/>
        <v>3.3840592460647358E-19</v>
      </c>
      <c r="C340" s="226">
        <v>2.9329626632080285E-2</v>
      </c>
      <c r="D340" s="226">
        <v>3.0855194999999995E-2</v>
      </c>
      <c r="E340" s="226">
        <v>3.3302269999999995E-2</v>
      </c>
      <c r="F340" s="226">
        <v>3.3542749999999996E-2</v>
      </c>
      <c r="G340" s="226">
        <v>3.4245075E-2</v>
      </c>
      <c r="H340" s="226">
        <v>3.8233404999999984E-2</v>
      </c>
      <c r="I340" s="226">
        <v>4.2201424999999994E-2</v>
      </c>
      <c r="J340" s="226">
        <v>4.1096689999999991E-2</v>
      </c>
      <c r="K340" s="226">
        <v>2.7367269999999992E-2</v>
      </c>
    </row>
    <row r="341" spans="1:11" x14ac:dyDescent="0.25">
      <c r="A341" s="224">
        <v>5.8800000000000002E-7</v>
      </c>
      <c r="B341" s="225">
        <f t="shared" si="5"/>
        <v>3.378304043265306E-19</v>
      </c>
      <c r="C341" s="226">
        <v>2.9139107929044304E-2</v>
      </c>
      <c r="D341" s="226">
        <v>3.0742139999999994E-2</v>
      </c>
      <c r="E341" s="226">
        <v>3.3220519999999996E-2</v>
      </c>
      <c r="F341" s="226">
        <v>3.3299949999999995E-2</v>
      </c>
      <c r="G341" s="226">
        <v>3.3824149999999997E-2</v>
      </c>
      <c r="H341" s="226">
        <v>3.7186939999999988E-2</v>
      </c>
      <c r="I341" s="226">
        <v>4.2205079999999992E-2</v>
      </c>
      <c r="J341" s="226">
        <v>3.6253279999999992E-2</v>
      </c>
      <c r="K341" s="226">
        <v>2.2613009999999992E-2</v>
      </c>
    </row>
    <row r="342" spans="1:11" x14ac:dyDescent="0.25">
      <c r="A342" s="224">
        <v>5.8899999999999999E-7</v>
      </c>
      <c r="B342" s="225">
        <f t="shared" si="5"/>
        <v>3.3725683827504243E-19</v>
      </c>
      <c r="C342" s="226">
        <v>2.8848592084039303E-2</v>
      </c>
      <c r="D342" s="226">
        <v>3.022488999999999E-2</v>
      </c>
      <c r="E342" s="226">
        <v>3.3123840000000002E-2</v>
      </c>
      <c r="F342" s="226">
        <v>3.3504654999999994E-2</v>
      </c>
      <c r="G342" s="226">
        <v>3.3361754999999993E-2</v>
      </c>
      <c r="H342" s="226">
        <v>3.7123019999999993E-2</v>
      </c>
      <c r="I342" s="226">
        <v>4.2190454999999995E-2</v>
      </c>
      <c r="J342" s="226">
        <v>3.4921344999999993E-2</v>
      </c>
      <c r="K342" s="226">
        <v>2.1398814999999995E-2</v>
      </c>
    </row>
    <row r="343" spans="1:11" x14ac:dyDescent="0.25">
      <c r="A343" s="224">
        <v>5.9000000000000007E-7</v>
      </c>
      <c r="B343" s="225">
        <f t="shared" si="5"/>
        <v>3.3668521651525417E-19</v>
      </c>
      <c r="C343" s="226">
        <v>2.873594082008793E-2</v>
      </c>
      <c r="D343" s="226">
        <v>2.970763999999999E-2</v>
      </c>
      <c r="E343" s="226">
        <v>3.302716E-2</v>
      </c>
      <c r="F343" s="226">
        <v>3.3709359999999994E-2</v>
      </c>
      <c r="G343" s="226">
        <v>3.2899359999999996E-2</v>
      </c>
      <c r="H343" s="226">
        <v>3.7059099999999991E-2</v>
      </c>
      <c r="I343" s="226">
        <v>4.2175829999999997E-2</v>
      </c>
      <c r="J343" s="226">
        <v>3.3589409999999993E-2</v>
      </c>
      <c r="K343" s="226">
        <v>2.0184619999999997E-2</v>
      </c>
    </row>
    <row r="344" spans="1:11" x14ac:dyDescent="0.25">
      <c r="A344" s="224">
        <v>5.9100000000000004E-7</v>
      </c>
      <c r="B344" s="225">
        <f t="shared" si="5"/>
        <v>3.3611552917766497E-19</v>
      </c>
      <c r="C344" s="226">
        <v>2.873150822635135E-2</v>
      </c>
      <c r="D344" s="226">
        <v>2.9615039999999995E-2</v>
      </c>
      <c r="E344" s="226">
        <v>3.3479974999999995E-2</v>
      </c>
      <c r="F344" s="226">
        <v>3.3815629999999999E-2</v>
      </c>
      <c r="G344" s="226">
        <v>3.3197859999999996E-2</v>
      </c>
      <c r="H344" s="226">
        <v>3.8089129999999999E-2</v>
      </c>
      <c r="I344" s="226">
        <v>4.2175829999999997E-2</v>
      </c>
      <c r="J344" s="226">
        <v>3.7590644999999992E-2</v>
      </c>
      <c r="K344" s="226">
        <v>2.4191574999999996E-2</v>
      </c>
    </row>
    <row r="345" spans="1:11" x14ac:dyDescent="0.25">
      <c r="A345" s="224">
        <v>5.9200000000000001E-7</v>
      </c>
      <c r="B345" s="225">
        <f t="shared" si="5"/>
        <v>3.3554776645945944E-19</v>
      </c>
      <c r="C345" s="226">
        <v>2.860048840863115E-2</v>
      </c>
      <c r="D345" s="226">
        <v>2.9522439999999997E-2</v>
      </c>
      <c r="E345" s="226">
        <v>3.3932789999999997E-2</v>
      </c>
      <c r="F345" s="226">
        <v>3.3921899999999998E-2</v>
      </c>
      <c r="G345" s="226">
        <v>3.3496359999999996E-2</v>
      </c>
      <c r="H345" s="226">
        <v>3.911916E-2</v>
      </c>
      <c r="I345" s="226">
        <v>4.2175829999999997E-2</v>
      </c>
      <c r="J345" s="226">
        <v>4.1591879999999998E-2</v>
      </c>
      <c r="K345" s="226">
        <v>2.8198529999999996E-2</v>
      </c>
    </row>
    <row r="346" spans="1:11" x14ac:dyDescent="0.25">
      <c r="A346" s="224">
        <v>5.9299999999999998E-7</v>
      </c>
      <c r="B346" s="225">
        <f t="shared" si="5"/>
        <v>3.3498191862394603E-19</v>
      </c>
      <c r="C346" s="226">
        <v>2.8453900874831763E-2</v>
      </c>
      <c r="D346" s="226">
        <v>2.9693029999999995E-2</v>
      </c>
      <c r="E346" s="226">
        <v>3.3631459999999995E-2</v>
      </c>
      <c r="F346" s="226">
        <v>3.3792295E-2</v>
      </c>
      <c r="G346" s="226">
        <v>3.3836884999999997E-2</v>
      </c>
      <c r="H346" s="226">
        <v>3.9727314999999999E-2</v>
      </c>
      <c r="I346" s="226">
        <v>4.2175829999999997E-2</v>
      </c>
      <c r="J346" s="226">
        <v>4.3565384999999998E-2</v>
      </c>
      <c r="K346" s="226">
        <v>2.8250239999999996E-2</v>
      </c>
    </row>
    <row r="347" spans="1:11" x14ac:dyDescent="0.25">
      <c r="A347" s="224">
        <v>5.9400000000000005E-7</v>
      </c>
      <c r="B347" s="225">
        <f t="shared" si="5"/>
        <v>3.3441797599999997E-19</v>
      </c>
      <c r="C347" s="226">
        <v>2.8313933589312723E-2</v>
      </c>
      <c r="D347" s="226">
        <v>2.9863619999999994E-2</v>
      </c>
      <c r="E347" s="226">
        <v>3.3330129999999993E-2</v>
      </c>
      <c r="F347" s="226">
        <v>3.3662689999999995E-2</v>
      </c>
      <c r="G347" s="226">
        <v>3.4177409999999998E-2</v>
      </c>
      <c r="H347" s="226">
        <v>4.0335469999999998E-2</v>
      </c>
      <c r="I347" s="226">
        <v>4.2175829999999997E-2</v>
      </c>
      <c r="J347" s="226">
        <v>4.5538889999999999E-2</v>
      </c>
      <c r="K347" s="226">
        <v>2.8301949999999996E-2</v>
      </c>
    </row>
    <row r="348" spans="1:11" x14ac:dyDescent="0.25">
      <c r="A348" s="224">
        <v>5.9500000000000002E-7</v>
      </c>
      <c r="B348" s="225">
        <f t="shared" si="5"/>
        <v>3.3385592898151257E-19</v>
      </c>
      <c r="C348" s="226">
        <v>2.8150023498825893E-2</v>
      </c>
      <c r="D348" s="226">
        <v>2.9935944999999995E-2</v>
      </c>
      <c r="E348" s="226">
        <v>3.3264579999999988E-2</v>
      </c>
      <c r="F348" s="226">
        <v>3.361165499999999E-2</v>
      </c>
      <c r="G348" s="226">
        <v>3.4155214999999996E-2</v>
      </c>
      <c r="H348" s="226">
        <v>4.0498009999999994E-2</v>
      </c>
      <c r="I348" s="226">
        <v>4.2175829999999997E-2</v>
      </c>
      <c r="J348" s="226">
        <v>4.6129860000000002E-2</v>
      </c>
      <c r="K348" s="226">
        <v>2.8388809999999997E-2</v>
      </c>
    </row>
    <row r="349" spans="1:11" x14ac:dyDescent="0.25">
      <c r="A349" s="224">
        <v>5.9599999999999999E-7</v>
      </c>
      <c r="B349" s="225">
        <f t="shared" si="5"/>
        <v>3.3329576802684564E-19</v>
      </c>
      <c r="C349" s="226">
        <v>2.7978581439571472E-2</v>
      </c>
      <c r="D349" s="226">
        <v>3.0008269999999997E-2</v>
      </c>
      <c r="E349" s="226">
        <v>3.319902999999999E-2</v>
      </c>
      <c r="F349" s="226">
        <v>3.3560619999999992E-2</v>
      </c>
      <c r="G349" s="226">
        <v>3.4133019999999993E-2</v>
      </c>
      <c r="H349" s="226">
        <v>4.066054999999999E-2</v>
      </c>
      <c r="I349" s="226">
        <v>4.2175829999999997E-2</v>
      </c>
      <c r="J349" s="226">
        <v>4.6720830000000005E-2</v>
      </c>
      <c r="K349" s="226">
        <v>2.8475669999999998E-2</v>
      </c>
    </row>
    <row r="350" spans="1:11" x14ac:dyDescent="0.25">
      <c r="A350" s="224">
        <v>5.9700000000000007E-7</v>
      </c>
      <c r="B350" s="225">
        <f t="shared" si="5"/>
        <v>3.327374836582914E-19</v>
      </c>
      <c r="C350" s="226">
        <v>2.785945779264214E-2</v>
      </c>
      <c r="D350" s="226">
        <v>2.987604E-2</v>
      </c>
      <c r="E350" s="226">
        <v>3.2996569999999989E-2</v>
      </c>
      <c r="F350" s="226">
        <v>3.3494449999999995E-2</v>
      </c>
      <c r="G350" s="226">
        <v>3.4127384999999996E-2</v>
      </c>
      <c r="H350" s="226">
        <v>4.0461484999999991E-2</v>
      </c>
      <c r="I350" s="226">
        <v>4.2190454999999995E-2</v>
      </c>
      <c r="J350" s="226">
        <v>4.7239505000000001E-2</v>
      </c>
      <c r="K350" s="226">
        <v>3.1431034999999996E-2</v>
      </c>
    </row>
    <row r="351" spans="1:11" x14ac:dyDescent="0.25">
      <c r="A351" s="224">
        <v>5.9800000000000003E-7</v>
      </c>
      <c r="B351" s="225">
        <f t="shared" si="5"/>
        <v>3.3218106646153842E-19</v>
      </c>
      <c r="C351" s="226">
        <v>2.7696979866488652E-2</v>
      </c>
      <c r="D351" s="226">
        <v>2.9743809999999999E-2</v>
      </c>
      <c r="E351" s="226">
        <v>3.2794109999999994E-2</v>
      </c>
      <c r="F351" s="226">
        <v>3.3428279999999991E-2</v>
      </c>
      <c r="G351" s="226">
        <v>3.4121749999999999E-2</v>
      </c>
      <c r="H351" s="226">
        <v>4.026242E-2</v>
      </c>
      <c r="I351" s="226">
        <v>4.2205079999999992E-2</v>
      </c>
      <c r="J351" s="226">
        <v>4.775817999999999E-2</v>
      </c>
      <c r="K351" s="226">
        <v>3.4386399999999998E-2</v>
      </c>
    </row>
    <row r="352" spans="1:11" x14ac:dyDescent="0.25">
      <c r="A352" s="224">
        <v>5.99E-7</v>
      </c>
      <c r="B352" s="225">
        <f t="shared" si="5"/>
        <v>3.3162650708514189E-19</v>
      </c>
      <c r="C352" s="226">
        <v>2.7572996612258489E-2</v>
      </c>
      <c r="D352" s="226">
        <v>2.9278614999999997E-2</v>
      </c>
      <c r="E352" s="226">
        <v>3.2806304999999994E-2</v>
      </c>
      <c r="F352" s="226">
        <v>3.3332219999999996E-2</v>
      </c>
      <c r="G352" s="226">
        <v>3.3947484999999999E-2</v>
      </c>
      <c r="H352" s="226">
        <v>3.9851504999999995E-2</v>
      </c>
      <c r="I352" s="226">
        <v>4.0578149999999993E-2</v>
      </c>
      <c r="J352" s="226">
        <v>4.7785289999999994E-2</v>
      </c>
      <c r="K352" s="226">
        <v>3.4869859999999996E-2</v>
      </c>
    </row>
    <row r="353" spans="1:11" x14ac:dyDescent="0.25">
      <c r="A353" s="224">
        <v>5.9999999999999997E-7</v>
      </c>
      <c r="B353" s="225">
        <f t="shared" si="5"/>
        <v>3.3107379624000002E-19</v>
      </c>
      <c r="C353" s="226">
        <v>2.7447899534109817E-2</v>
      </c>
      <c r="D353" s="226">
        <v>2.8813419999999996E-2</v>
      </c>
      <c r="E353" s="226">
        <v>3.28185E-2</v>
      </c>
      <c r="F353" s="226">
        <v>3.3236159999999994E-2</v>
      </c>
      <c r="G353" s="226">
        <v>3.3773219999999993E-2</v>
      </c>
      <c r="H353" s="226">
        <v>3.9440589999999991E-2</v>
      </c>
      <c r="I353" s="226">
        <v>3.8951220000000002E-2</v>
      </c>
      <c r="J353" s="226">
        <v>4.7812400000000005E-2</v>
      </c>
      <c r="K353" s="226">
        <v>3.5353319999999994E-2</v>
      </c>
    </row>
    <row r="354" spans="1:11" x14ac:dyDescent="0.25">
      <c r="A354" s="224">
        <v>6.0100000000000005E-7</v>
      </c>
      <c r="B354" s="225">
        <f t="shared" si="5"/>
        <v>3.3052292469883522E-19</v>
      </c>
      <c r="C354" s="226">
        <v>2.7298042779807366E-2</v>
      </c>
      <c r="D354" s="226">
        <v>2.9018344999999994E-2</v>
      </c>
      <c r="E354" s="226">
        <v>3.267958E-2</v>
      </c>
      <c r="F354" s="226">
        <v>3.3263134999999999E-2</v>
      </c>
      <c r="G354" s="226">
        <v>3.3828334999999994E-2</v>
      </c>
      <c r="H354" s="226">
        <v>3.9172124999999988E-2</v>
      </c>
      <c r="I354" s="226">
        <v>4.0576319999999999E-2</v>
      </c>
      <c r="J354" s="226">
        <v>4.8117824999999996E-2</v>
      </c>
      <c r="K354" s="226">
        <v>3.6193674999999995E-2</v>
      </c>
    </row>
    <row r="355" spans="1:11" x14ac:dyDescent="0.25">
      <c r="A355" s="224">
        <v>6.0200000000000002E-7</v>
      </c>
      <c r="B355" s="225">
        <f t="shared" si="5"/>
        <v>3.2997388329568104E-19</v>
      </c>
      <c r="C355" s="226">
        <v>2.7156051786542922E-2</v>
      </c>
      <c r="D355" s="226">
        <v>2.9223269999999996E-2</v>
      </c>
      <c r="E355" s="226">
        <v>3.2540659999999999E-2</v>
      </c>
      <c r="F355" s="226">
        <v>3.3290109999999998E-2</v>
      </c>
      <c r="G355" s="226">
        <v>3.3883449999999996E-2</v>
      </c>
      <c r="H355" s="226">
        <v>3.8903659999999993E-2</v>
      </c>
      <c r="I355" s="226">
        <v>4.2201419999999996E-2</v>
      </c>
      <c r="J355" s="226">
        <v>4.8423249999999987E-2</v>
      </c>
      <c r="K355" s="226">
        <v>3.7034029999999996E-2</v>
      </c>
    </row>
    <row r="356" spans="1:11" x14ac:dyDescent="0.25">
      <c r="A356" s="224">
        <v>6.0299999999999999E-7</v>
      </c>
      <c r="B356" s="225">
        <f t="shared" si="5"/>
        <v>3.2942666292537314E-19</v>
      </c>
      <c r="C356" s="226">
        <v>2.7038111258278142E-2</v>
      </c>
      <c r="D356" s="226">
        <v>2.9138524999999995E-2</v>
      </c>
      <c r="E356" s="226">
        <v>3.2720550000000001E-2</v>
      </c>
      <c r="F356" s="226">
        <v>3.3315084999999994E-2</v>
      </c>
      <c r="G356" s="226">
        <v>3.3816329999999992E-2</v>
      </c>
      <c r="H356" s="226">
        <v>3.8973054999999993E-2</v>
      </c>
      <c r="I356" s="226">
        <v>4.2596274999999996E-2</v>
      </c>
      <c r="J356" s="226">
        <v>4.9511209999999993E-2</v>
      </c>
      <c r="K356" s="226">
        <v>3.749472999999999E-2</v>
      </c>
    </row>
    <row r="357" spans="1:11" x14ac:dyDescent="0.25">
      <c r="A357" s="224">
        <v>6.0400000000000006E-7</v>
      </c>
      <c r="B357" s="225">
        <f t="shared" si="5"/>
        <v>3.2888125454304634E-19</v>
      </c>
      <c r="C357" s="226">
        <v>2.6905095152015855E-2</v>
      </c>
      <c r="D357" s="226">
        <v>2.9053779999999994E-2</v>
      </c>
      <c r="E357" s="226">
        <v>3.2900439999999996E-2</v>
      </c>
      <c r="F357" s="226">
        <v>3.3340059999999998E-2</v>
      </c>
      <c r="G357" s="226">
        <v>3.3749209999999995E-2</v>
      </c>
      <c r="H357" s="226">
        <v>3.9042449999999992E-2</v>
      </c>
      <c r="I357" s="226">
        <v>4.2991129999999995E-2</v>
      </c>
      <c r="J357" s="226">
        <v>5.0599169999999999E-2</v>
      </c>
      <c r="K357" s="226">
        <v>3.7955429999999991E-2</v>
      </c>
    </row>
    <row r="358" spans="1:11" x14ac:dyDescent="0.25">
      <c r="A358" s="224">
        <v>6.0500000000000003E-7</v>
      </c>
      <c r="B358" s="225">
        <f t="shared" si="5"/>
        <v>3.2833764916363632E-19</v>
      </c>
      <c r="C358" s="226">
        <v>2.6762335422163584E-2</v>
      </c>
      <c r="D358" s="226">
        <v>2.9078804999999999E-2</v>
      </c>
      <c r="E358" s="226">
        <v>3.2716179999999997E-2</v>
      </c>
      <c r="F358" s="226">
        <v>3.3365574999999995E-2</v>
      </c>
      <c r="G358" s="226">
        <v>3.4073544999999997E-2</v>
      </c>
      <c r="H358" s="226">
        <v>3.9608599999999994E-2</v>
      </c>
      <c r="I358" s="226">
        <v>4.3214144999999995E-2</v>
      </c>
      <c r="J358" s="226">
        <v>5.1011219999999996E-2</v>
      </c>
      <c r="K358" s="226">
        <v>3.8740244999999993E-2</v>
      </c>
    </row>
    <row r="359" spans="1:11" x14ac:dyDescent="0.25">
      <c r="A359" s="224">
        <v>6.06E-7</v>
      </c>
      <c r="B359" s="225">
        <f t="shared" si="5"/>
        <v>3.2779583786138615E-19</v>
      </c>
      <c r="C359" s="226">
        <v>2.6631937985504853E-2</v>
      </c>
      <c r="D359" s="226">
        <v>2.9103830000000001E-2</v>
      </c>
      <c r="E359" s="226">
        <v>3.2531919999999999E-2</v>
      </c>
      <c r="F359" s="226">
        <v>3.3391089999999998E-2</v>
      </c>
      <c r="G359" s="226">
        <v>3.4397879999999999E-2</v>
      </c>
      <c r="H359" s="226">
        <v>4.0174749999999995E-2</v>
      </c>
      <c r="I359" s="226">
        <v>4.3437160000000002E-2</v>
      </c>
      <c r="J359" s="226">
        <v>5.1423269999999993E-2</v>
      </c>
      <c r="K359" s="226">
        <v>3.9525059999999994E-2</v>
      </c>
    </row>
    <row r="360" spans="1:11" x14ac:dyDescent="0.25">
      <c r="A360" s="224">
        <v>6.0699999999999997E-7</v>
      </c>
      <c r="B360" s="225">
        <f t="shared" si="5"/>
        <v>3.2725581176935749E-19</v>
      </c>
      <c r="C360" s="226">
        <v>2.6501759279960544E-2</v>
      </c>
      <c r="D360" s="226">
        <v>2.9052689999999999E-2</v>
      </c>
      <c r="E360" s="226">
        <v>3.2589090000000001E-2</v>
      </c>
      <c r="F360" s="226">
        <v>3.3519599999999997E-2</v>
      </c>
      <c r="G360" s="226">
        <v>3.4045714999999997E-2</v>
      </c>
      <c r="H360" s="226">
        <v>3.9816799999999992E-2</v>
      </c>
      <c r="I360" s="226">
        <v>4.3340274999999998E-2</v>
      </c>
      <c r="J360" s="226">
        <v>5.0769049999999996E-2</v>
      </c>
      <c r="K360" s="226">
        <v>3.8782124999999994E-2</v>
      </c>
    </row>
    <row r="361" spans="1:11" x14ac:dyDescent="0.25">
      <c r="A361" s="224">
        <v>6.0800000000000004E-7</v>
      </c>
      <c r="B361" s="225">
        <f t="shared" si="5"/>
        <v>3.2671756207894733E-19</v>
      </c>
      <c r="C361" s="226">
        <v>2.6363874644790813E-2</v>
      </c>
      <c r="D361" s="226">
        <v>2.9001549999999997E-2</v>
      </c>
      <c r="E361" s="226">
        <v>3.2646260000000003E-2</v>
      </c>
      <c r="F361" s="226">
        <v>3.3648109999999995E-2</v>
      </c>
      <c r="G361" s="226">
        <v>3.3693549999999996E-2</v>
      </c>
      <c r="H361" s="226">
        <v>3.945884999999999E-2</v>
      </c>
      <c r="I361" s="226">
        <v>4.324339E-2</v>
      </c>
      <c r="J361" s="226">
        <v>5.0114829999999992E-2</v>
      </c>
      <c r="K361" s="226">
        <v>3.8039189999999994E-2</v>
      </c>
    </row>
    <row r="362" spans="1:11" x14ac:dyDescent="0.25">
      <c r="A362" s="224">
        <v>6.0900000000000001E-7</v>
      </c>
      <c r="B362" s="225">
        <f t="shared" si="5"/>
        <v>3.2618108003940885E-19</v>
      </c>
      <c r="C362" s="226">
        <v>2.6234133712506144E-2</v>
      </c>
      <c r="D362" s="226">
        <v>2.8490509999999997E-2</v>
      </c>
      <c r="E362" s="226">
        <v>3.2391179999999999E-2</v>
      </c>
      <c r="F362" s="226">
        <v>3.3552779999999997E-2</v>
      </c>
      <c r="G362" s="226">
        <v>3.3939664999999994E-2</v>
      </c>
      <c r="H362" s="226">
        <v>3.9137419999999992E-2</v>
      </c>
      <c r="I362" s="226">
        <v>4.2696814999999999E-2</v>
      </c>
      <c r="J362" s="226">
        <v>4.9332294999999991E-2</v>
      </c>
      <c r="K362" s="226">
        <v>3.9676204999999992E-2</v>
      </c>
    </row>
    <row r="363" spans="1:11" x14ac:dyDescent="0.25">
      <c r="A363" s="224">
        <v>6.0999999999999998E-7</v>
      </c>
      <c r="B363" s="225">
        <f t="shared" si="5"/>
        <v>3.2564635695737706E-19</v>
      </c>
      <c r="C363" s="226">
        <v>2.6101977281203989E-2</v>
      </c>
      <c r="D363" s="226">
        <v>2.7979469999999996E-2</v>
      </c>
      <c r="E363" s="226">
        <v>3.2136099999999994E-2</v>
      </c>
      <c r="F363" s="226">
        <v>3.345745E-2</v>
      </c>
      <c r="G363" s="226">
        <v>3.4185779999999999E-2</v>
      </c>
      <c r="H363" s="226">
        <v>3.8815990000000002E-2</v>
      </c>
      <c r="I363" s="226">
        <v>4.2150239999999999E-2</v>
      </c>
      <c r="J363" s="226">
        <v>4.854975999999999E-2</v>
      </c>
      <c r="K363" s="226">
        <v>4.1313219999999991E-2</v>
      </c>
    </row>
    <row r="364" spans="1:11" x14ac:dyDescent="0.25">
      <c r="A364" s="224">
        <v>6.1100000000000006E-7</v>
      </c>
      <c r="B364" s="225">
        <f t="shared" si="5"/>
        <v>3.2511338419639929E-19</v>
      </c>
      <c r="C364" s="226">
        <v>2.5967350411764702E-2</v>
      </c>
      <c r="D364" s="226">
        <v>2.8159739999999996E-2</v>
      </c>
      <c r="E364" s="226">
        <v>3.210550999999999E-2</v>
      </c>
      <c r="F364" s="226">
        <v>3.3025619999999999E-2</v>
      </c>
      <c r="G364" s="226">
        <v>3.4074269999999997E-2</v>
      </c>
      <c r="H364" s="226">
        <v>3.8585880000000003E-2</v>
      </c>
      <c r="I364" s="226">
        <v>4.1373334999999997E-2</v>
      </c>
      <c r="J364" s="226">
        <v>4.7597344999999985E-2</v>
      </c>
      <c r="K364" s="226">
        <v>4.0226124999999988E-2</v>
      </c>
    </row>
    <row r="365" spans="1:11" x14ac:dyDescent="0.25">
      <c r="A365" s="224">
        <v>6.1200000000000003E-7</v>
      </c>
      <c r="B365" s="225">
        <f t="shared" si="5"/>
        <v>3.2458215317647055E-19</v>
      </c>
      <c r="C365" s="226">
        <v>2.5838242999021523E-2</v>
      </c>
      <c r="D365" s="226">
        <v>2.8340009999999995E-2</v>
      </c>
      <c r="E365" s="226">
        <v>3.2074919999999993E-2</v>
      </c>
      <c r="F365" s="226">
        <v>3.2593789999999997E-2</v>
      </c>
      <c r="G365" s="226">
        <v>3.3962759999999995E-2</v>
      </c>
      <c r="H365" s="226">
        <v>3.8355769999999997E-2</v>
      </c>
      <c r="I365" s="226">
        <v>4.0596429999999989E-2</v>
      </c>
      <c r="J365" s="226">
        <v>4.6644929999999987E-2</v>
      </c>
      <c r="K365" s="226">
        <v>3.9139029999999991E-2</v>
      </c>
    </row>
    <row r="366" spans="1:11" x14ac:dyDescent="0.25">
      <c r="A366" s="224">
        <v>6.13E-7</v>
      </c>
      <c r="B366" s="225">
        <f t="shared" si="5"/>
        <v>3.2405265537357257E-19</v>
      </c>
      <c r="C366" s="226">
        <v>2.570141088867187E-2</v>
      </c>
      <c r="D366" s="226">
        <v>2.7618204999999993E-2</v>
      </c>
      <c r="E366" s="226">
        <v>3.166343499999999E-2</v>
      </c>
      <c r="F366" s="226">
        <v>3.2312164999999997E-2</v>
      </c>
      <c r="G366" s="226">
        <v>3.3428144999999992E-2</v>
      </c>
      <c r="H366" s="226">
        <v>3.8273589999999996E-2</v>
      </c>
      <c r="I366" s="226">
        <v>3.9384459999999996E-2</v>
      </c>
      <c r="J366" s="226">
        <v>4.784854999999999E-2</v>
      </c>
      <c r="K366" s="226">
        <v>3.8516269999999991E-2</v>
      </c>
    </row>
    <row r="367" spans="1:11" x14ac:dyDescent="0.25">
      <c r="A367" s="224">
        <v>6.1400000000000007E-7</v>
      </c>
      <c r="B367" s="225">
        <f t="shared" si="5"/>
        <v>3.2352488231921821E-19</v>
      </c>
      <c r="C367" s="226">
        <v>2.5559212195121944E-2</v>
      </c>
      <c r="D367" s="226">
        <v>2.6896399999999994E-2</v>
      </c>
      <c r="E367" s="226">
        <v>3.1251949999999994E-2</v>
      </c>
      <c r="F367" s="226">
        <v>3.2030539999999996E-2</v>
      </c>
      <c r="G367" s="226">
        <v>3.2893529999999997E-2</v>
      </c>
      <c r="H367" s="226">
        <v>3.8191409999999988E-2</v>
      </c>
      <c r="I367" s="226">
        <v>3.8172490000000003E-2</v>
      </c>
      <c r="J367" s="226">
        <v>4.9052169999999992E-2</v>
      </c>
      <c r="K367" s="226">
        <v>3.7893509999999998E-2</v>
      </c>
    </row>
    <row r="368" spans="1:11" x14ac:dyDescent="0.25">
      <c r="A368" s="224">
        <v>6.1500000000000004E-7</v>
      </c>
      <c r="B368" s="225">
        <f t="shared" si="5"/>
        <v>3.2299882559999997E-19</v>
      </c>
      <c r="C368" s="226">
        <v>2.5339036465433291E-2</v>
      </c>
      <c r="D368" s="226">
        <v>2.6887084999999995E-2</v>
      </c>
      <c r="E368" s="226">
        <v>3.0847024999999993E-2</v>
      </c>
      <c r="F368" s="226">
        <v>3.1970024999999999E-2</v>
      </c>
      <c r="G368" s="226">
        <v>3.2365469999999993E-2</v>
      </c>
      <c r="H368" s="226">
        <v>3.7470019999999993E-2</v>
      </c>
      <c r="I368" s="226">
        <v>3.7960439999999998E-2</v>
      </c>
      <c r="J368" s="226">
        <v>4.7103964999999998E-2</v>
      </c>
      <c r="K368" s="226">
        <v>3.339491E-2</v>
      </c>
    </row>
    <row r="369" spans="1:11" x14ac:dyDescent="0.25">
      <c r="A369" s="224">
        <v>6.1600000000000001E-7</v>
      </c>
      <c r="B369" s="225">
        <f t="shared" si="5"/>
        <v>3.2247447685714284E-19</v>
      </c>
      <c r="C369" s="226">
        <v>2.5152112244897953E-2</v>
      </c>
      <c r="D369" s="226">
        <v>2.6877769999999995E-2</v>
      </c>
      <c r="E369" s="226">
        <v>3.0442099999999996E-2</v>
      </c>
      <c r="F369" s="226">
        <v>3.1909509999999995E-2</v>
      </c>
      <c r="G369" s="226">
        <v>3.1837409999999997E-2</v>
      </c>
      <c r="H369" s="226">
        <v>3.6748629999999997E-2</v>
      </c>
      <c r="I369" s="226">
        <v>3.7748389999999993E-2</v>
      </c>
      <c r="J369" s="226">
        <v>4.5155759999999996E-2</v>
      </c>
      <c r="K369" s="226">
        <v>2.8896309999999998E-2</v>
      </c>
    </row>
    <row r="370" spans="1:11" x14ac:dyDescent="0.25">
      <c r="A370" s="224">
        <v>6.1699999999999998E-7</v>
      </c>
      <c r="B370" s="225">
        <f t="shared" si="5"/>
        <v>3.219518277860616E-19</v>
      </c>
      <c r="C370" s="226">
        <v>2.5167811484956323E-2</v>
      </c>
      <c r="D370" s="226">
        <v>2.6808184999999998E-2</v>
      </c>
      <c r="E370" s="226">
        <v>3.0415154999999996E-2</v>
      </c>
      <c r="F370" s="226">
        <v>3.1965289999999993E-2</v>
      </c>
      <c r="G370" s="226">
        <v>3.2037499999999997E-2</v>
      </c>
      <c r="H370" s="226">
        <v>3.6964134999999995E-2</v>
      </c>
      <c r="I370" s="226">
        <v>3.8574649999999995E-2</v>
      </c>
      <c r="J370" s="226">
        <v>4.4832264999999996E-2</v>
      </c>
      <c r="K370" s="226">
        <v>2.6895654999999997E-2</v>
      </c>
    </row>
    <row r="371" spans="1:11" x14ac:dyDescent="0.25">
      <c r="A371" s="224">
        <v>6.1800000000000005E-7</v>
      </c>
      <c r="B371" s="225">
        <f t="shared" si="5"/>
        <v>3.214308701359223E-19</v>
      </c>
      <c r="C371" s="226">
        <v>2.5073235641853701E-2</v>
      </c>
      <c r="D371" s="226">
        <v>2.6738600000000001E-2</v>
      </c>
      <c r="E371" s="226">
        <v>3.0388209999999995E-2</v>
      </c>
      <c r="F371" s="226">
        <v>3.2021069999999999E-2</v>
      </c>
      <c r="G371" s="226">
        <v>3.2237590000000003E-2</v>
      </c>
      <c r="H371" s="226">
        <v>3.7179639999999993E-2</v>
      </c>
      <c r="I371" s="226">
        <v>3.9400909999999997E-2</v>
      </c>
      <c r="J371" s="226">
        <v>4.4508769999999996E-2</v>
      </c>
      <c r="K371" s="226">
        <v>2.4894999999999997E-2</v>
      </c>
    </row>
    <row r="372" spans="1:11" x14ac:dyDescent="0.25">
      <c r="A372" s="224">
        <v>6.1900000000000002E-7</v>
      </c>
      <c r="B372" s="225">
        <f t="shared" si="5"/>
        <v>3.2091159570920836E-19</v>
      </c>
      <c r="C372" s="226">
        <v>2.4963599888691724E-2</v>
      </c>
      <c r="D372" s="226">
        <v>2.6806174999999995E-2</v>
      </c>
      <c r="E372" s="226">
        <v>3.0634184999999994E-2</v>
      </c>
      <c r="F372" s="226">
        <v>3.2104369999999993E-2</v>
      </c>
      <c r="G372" s="226">
        <v>3.2434774999999999E-2</v>
      </c>
      <c r="H372" s="226">
        <v>3.7822494999999998E-2</v>
      </c>
      <c r="I372" s="226">
        <v>4.0303944999999994E-2</v>
      </c>
      <c r="J372" s="226">
        <v>4.5432264999999993E-2</v>
      </c>
      <c r="K372" s="226">
        <v>2.4534819999999999E-2</v>
      </c>
    </row>
    <row r="373" spans="1:11" x14ac:dyDescent="0.25">
      <c r="A373" s="224">
        <v>6.1999999999999999E-7</v>
      </c>
      <c r="B373" s="225">
        <f t="shared" si="5"/>
        <v>3.2039399636129033E-19</v>
      </c>
      <c r="C373" s="226">
        <v>2.4836578242394981E-2</v>
      </c>
      <c r="D373" s="226">
        <v>2.6873749999999991E-2</v>
      </c>
      <c r="E373" s="226">
        <v>3.0880159999999997E-2</v>
      </c>
      <c r="F373" s="226">
        <v>3.2187669999999995E-2</v>
      </c>
      <c r="G373" s="226">
        <v>3.2631959999999995E-2</v>
      </c>
      <c r="H373" s="226">
        <v>3.8465349999999995E-2</v>
      </c>
      <c r="I373" s="226">
        <v>4.120697999999999E-2</v>
      </c>
      <c r="J373" s="226">
        <v>4.6355759999999989E-2</v>
      </c>
      <c r="K373" s="226">
        <v>2.4174639999999997E-2</v>
      </c>
    </row>
    <row r="374" spans="1:11" x14ac:dyDescent="0.25">
      <c r="A374" s="224">
        <v>6.2100000000000007E-7</v>
      </c>
      <c r="B374" s="225">
        <f t="shared" si="5"/>
        <v>3.1987806399999994E-19</v>
      </c>
      <c r="C374" s="226">
        <v>2.4717243228915661E-2</v>
      </c>
      <c r="D374" s="226">
        <v>2.6737864999999993E-2</v>
      </c>
      <c r="E374" s="226">
        <v>3.0809334999999997E-2</v>
      </c>
      <c r="F374" s="226">
        <v>3.2041844999999999E-2</v>
      </c>
      <c r="G374" s="226">
        <v>3.2755654999999995E-2</v>
      </c>
      <c r="H374" s="226">
        <v>3.812931E-2</v>
      </c>
      <c r="I374" s="226">
        <v>4.0874284999999989E-2</v>
      </c>
      <c r="J374" s="226">
        <v>4.5220814999999991E-2</v>
      </c>
      <c r="K374" s="226">
        <v>2.3973429999999997E-2</v>
      </c>
    </row>
    <row r="375" spans="1:11" x14ac:dyDescent="0.25">
      <c r="A375" s="224">
        <v>6.2200000000000004E-7</v>
      </c>
      <c r="B375" s="225">
        <f t="shared" si="5"/>
        <v>3.19363790585209E-19</v>
      </c>
      <c r="C375" s="226">
        <v>2.4596321428571422E-2</v>
      </c>
      <c r="D375" s="226">
        <v>2.6601979999999997E-2</v>
      </c>
      <c r="E375" s="226">
        <v>3.0738509999999997E-2</v>
      </c>
      <c r="F375" s="226">
        <v>3.1896019999999997E-2</v>
      </c>
      <c r="G375" s="226">
        <v>3.2879350000000002E-2</v>
      </c>
      <c r="H375" s="226">
        <v>3.7793269999999997E-2</v>
      </c>
      <c r="I375" s="226">
        <v>4.0541589999999988E-2</v>
      </c>
      <c r="J375" s="226">
        <v>4.4085869999999992E-2</v>
      </c>
      <c r="K375" s="226">
        <v>2.3772219999999997E-2</v>
      </c>
    </row>
    <row r="376" spans="1:11" x14ac:dyDescent="0.25">
      <c r="A376" s="224">
        <v>6.2300000000000001E-7</v>
      </c>
      <c r="B376" s="225">
        <f t="shared" si="5"/>
        <v>3.1885116812841089E-19</v>
      </c>
      <c r="C376" s="226">
        <v>2.4451479698910948E-2</v>
      </c>
      <c r="D376" s="226">
        <v>2.6192309999999996E-2</v>
      </c>
      <c r="E376" s="226">
        <v>3.0555895E-2</v>
      </c>
      <c r="F376" s="226">
        <v>3.1694235000000001E-2</v>
      </c>
      <c r="G376" s="226">
        <v>3.2561019999999996E-2</v>
      </c>
      <c r="H376" s="226">
        <v>3.7572289999999994E-2</v>
      </c>
      <c r="I376" s="226">
        <v>3.9896304999999993E-2</v>
      </c>
      <c r="J376" s="226">
        <v>4.3409959999999997E-2</v>
      </c>
      <c r="K376" s="226">
        <v>2.4401349999999995E-2</v>
      </c>
    </row>
    <row r="377" spans="1:11" x14ac:dyDescent="0.25">
      <c r="A377" s="224">
        <v>6.2399999999999998E-7</v>
      </c>
      <c r="B377" s="225">
        <f t="shared" si="5"/>
        <v>3.1834018869230769E-19</v>
      </c>
      <c r="C377" s="226">
        <v>2.4266453584573539E-2</v>
      </c>
      <c r="D377" s="226">
        <v>2.5782639999999999E-2</v>
      </c>
      <c r="E377" s="226">
        <v>3.0373279999999999E-2</v>
      </c>
      <c r="F377" s="226">
        <v>3.1492449999999998E-2</v>
      </c>
      <c r="G377" s="226">
        <v>3.2242689999999997E-2</v>
      </c>
      <c r="H377" s="226">
        <v>3.7351309999999992E-2</v>
      </c>
      <c r="I377" s="226">
        <v>3.9251019999999991E-2</v>
      </c>
      <c r="J377" s="226">
        <v>4.2734049999999996E-2</v>
      </c>
      <c r="K377" s="226">
        <v>2.5030479999999997E-2</v>
      </c>
    </row>
    <row r="378" spans="1:11" x14ac:dyDescent="0.25">
      <c r="A378" s="224">
        <v>6.2500000000000005E-7</v>
      </c>
      <c r="B378" s="225">
        <f t="shared" si="5"/>
        <v>3.1783084439039999E-19</v>
      </c>
      <c r="C378" s="226">
        <v>2.4138119792365433E-2</v>
      </c>
      <c r="D378" s="226">
        <v>2.5440915000000001E-2</v>
      </c>
      <c r="E378" s="226">
        <v>3.0332129999999995E-2</v>
      </c>
      <c r="F378" s="226">
        <v>3.1461824999999999E-2</v>
      </c>
      <c r="G378" s="226">
        <v>3.2098074999999997E-2</v>
      </c>
      <c r="H378" s="226">
        <v>3.7513849999999987E-2</v>
      </c>
      <c r="I378" s="226">
        <v>3.9481344999999987E-2</v>
      </c>
      <c r="J378" s="226">
        <v>4.3185864999999997E-2</v>
      </c>
      <c r="K378" s="226">
        <v>2.6288374999999996E-2</v>
      </c>
    </row>
    <row r="379" spans="1:11" x14ac:dyDescent="0.25">
      <c r="A379" s="224">
        <v>6.2600000000000002E-7</v>
      </c>
      <c r="B379" s="225">
        <f t="shared" si="5"/>
        <v>3.1732312738658144E-19</v>
      </c>
      <c r="C379" s="226">
        <v>2.4096045542629473E-2</v>
      </c>
      <c r="D379" s="226">
        <v>2.509919E-2</v>
      </c>
      <c r="E379" s="226">
        <v>3.0290979999999992E-2</v>
      </c>
      <c r="F379" s="226">
        <v>3.1431199999999999E-2</v>
      </c>
      <c r="G379" s="226">
        <v>3.1953459999999996E-2</v>
      </c>
      <c r="H379" s="226">
        <v>3.767638999999999E-2</v>
      </c>
      <c r="I379" s="226">
        <v>3.9711669999999991E-2</v>
      </c>
      <c r="J379" s="226">
        <v>4.3637679999999998E-2</v>
      </c>
      <c r="K379" s="226">
        <v>2.7546269999999998E-2</v>
      </c>
    </row>
    <row r="380" spans="1:11" x14ac:dyDescent="0.25">
      <c r="A380" s="224">
        <v>6.2699999999999999E-7</v>
      </c>
      <c r="B380" s="225">
        <f t="shared" si="5"/>
        <v>3.1681702989473686E-19</v>
      </c>
      <c r="C380" s="226">
        <v>2.3995747643312096E-2</v>
      </c>
      <c r="D380" s="226">
        <v>2.4855725000000002E-2</v>
      </c>
      <c r="E380" s="226">
        <v>3.0291704999999992E-2</v>
      </c>
      <c r="F380" s="226">
        <v>3.1499009999999994E-2</v>
      </c>
      <c r="G380" s="226">
        <v>3.1948729999999995E-2</v>
      </c>
      <c r="H380" s="226">
        <v>3.7597859999999997E-2</v>
      </c>
      <c r="I380" s="226">
        <v>3.9102944999999993E-2</v>
      </c>
      <c r="J380" s="226">
        <v>4.4481659999999992E-2</v>
      </c>
      <c r="K380" s="226">
        <v>2.9509774999999999E-2</v>
      </c>
    </row>
    <row r="381" spans="1:11" x14ac:dyDescent="0.25">
      <c r="A381" s="224">
        <v>6.2800000000000006E-7</v>
      </c>
      <c r="B381" s="225">
        <f t="shared" si="5"/>
        <v>3.1631254417834392E-19</v>
      </c>
      <c r="C381" s="226">
        <v>2.388250737210041E-2</v>
      </c>
      <c r="D381" s="226">
        <v>2.461226E-2</v>
      </c>
      <c r="E381" s="226">
        <v>3.0292429999999992E-2</v>
      </c>
      <c r="F381" s="226">
        <v>3.1566819999999995E-2</v>
      </c>
      <c r="G381" s="226">
        <v>3.1943999999999993E-2</v>
      </c>
      <c r="H381" s="226">
        <v>3.7519329999999997E-2</v>
      </c>
      <c r="I381" s="226">
        <v>3.8494219999999996E-2</v>
      </c>
      <c r="J381" s="226">
        <v>4.5325639999999986E-2</v>
      </c>
      <c r="K381" s="226">
        <v>3.1473279999999999E-2</v>
      </c>
    </row>
    <row r="382" spans="1:11" x14ac:dyDescent="0.25">
      <c r="A382" s="224">
        <v>6.2900000000000003E-7</v>
      </c>
      <c r="B382" s="225">
        <f t="shared" si="5"/>
        <v>3.1580966255007949E-19</v>
      </c>
      <c r="C382" s="226">
        <v>2.3761989053968258E-2</v>
      </c>
      <c r="D382" s="226">
        <v>2.4809879999999999E-2</v>
      </c>
      <c r="E382" s="226">
        <v>3.0266579999999994E-2</v>
      </c>
      <c r="F382" s="226">
        <v>3.1537104999999996E-2</v>
      </c>
      <c r="G382" s="226">
        <v>3.1968009999999991E-2</v>
      </c>
      <c r="H382" s="226">
        <v>3.7736659999999991E-2</v>
      </c>
      <c r="I382" s="226">
        <v>3.9033484999999993E-2</v>
      </c>
      <c r="J382" s="226">
        <v>4.6142509999999984E-2</v>
      </c>
      <c r="K382" s="226">
        <v>3.3450444999999995E-2</v>
      </c>
    </row>
    <row r="383" spans="1:11" x14ac:dyDescent="0.25">
      <c r="A383" s="224">
        <v>6.3E-7</v>
      </c>
      <c r="B383" s="225">
        <f t="shared" si="5"/>
        <v>3.1530837737142857E-19</v>
      </c>
      <c r="C383" s="226">
        <v>2.363657181083649E-2</v>
      </c>
      <c r="D383" s="226">
        <v>2.5007499999999998E-2</v>
      </c>
      <c r="E383" s="226">
        <v>3.0240729999999997E-2</v>
      </c>
      <c r="F383" s="226">
        <v>3.1507389999999996E-2</v>
      </c>
      <c r="G383" s="226">
        <v>3.1992019999999996E-2</v>
      </c>
      <c r="H383" s="226">
        <v>3.7953989999999993E-2</v>
      </c>
      <c r="I383" s="226">
        <v>3.9572749999999997E-2</v>
      </c>
      <c r="J383" s="226">
        <v>4.6959379999999988E-2</v>
      </c>
      <c r="K383" s="226">
        <v>3.5427609999999998E-2</v>
      </c>
    </row>
    <row r="384" spans="1:11" x14ac:dyDescent="0.25">
      <c r="A384" s="224">
        <v>6.3099999999999997E-7</v>
      </c>
      <c r="B384" s="225">
        <f t="shared" si="5"/>
        <v>3.1480868105229797E-19</v>
      </c>
      <c r="C384" s="226">
        <v>2.3511343672727274E-2</v>
      </c>
      <c r="D384" s="226">
        <v>2.5099554999999999E-2</v>
      </c>
      <c r="E384" s="226">
        <v>2.9938669999999997E-2</v>
      </c>
      <c r="F384" s="226">
        <v>3.1531089999999998E-2</v>
      </c>
      <c r="G384" s="226">
        <v>3.1836129999999997E-2</v>
      </c>
      <c r="H384" s="226">
        <v>3.7959464999999998E-2</v>
      </c>
      <c r="I384" s="226">
        <v>3.9921894999999999E-2</v>
      </c>
      <c r="J384" s="226">
        <v>4.7611794999999991E-2</v>
      </c>
      <c r="K384" s="226">
        <v>3.9983754999999996E-2</v>
      </c>
    </row>
    <row r="385" spans="1:11" x14ac:dyDescent="0.25">
      <c r="A385" s="224">
        <v>6.3200000000000005E-7</v>
      </c>
      <c r="B385" s="225">
        <f t="shared" si="5"/>
        <v>3.1431056605063287E-19</v>
      </c>
      <c r="C385" s="226">
        <v>2.3386311486337064E-2</v>
      </c>
      <c r="D385" s="226">
        <v>2.519161E-2</v>
      </c>
      <c r="E385" s="226">
        <v>2.9636609999999997E-2</v>
      </c>
      <c r="F385" s="226">
        <v>3.1554789999999999E-2</v>
      </c>
      <c r="G385" s="226">
        <v>3.1680239999999998E-2</v>
      </c>
      <c r="H385" s="226">
        <v>3.7964939999999996E-2</v>
      </c>
      <c r="I385" s="226">
        <v>4.0271040000000001E-2</v>
      </c>
      <c r="J385" s="226">
        <v>4.8264209999999995E-2</v>
      </c>
      <c r="K385" s="226">
        <v>4.4539899999999993E-2</v>
      </c>
    </row>
    <row r="386" spans="1:11" x14ac:dyDescent="0.25">
      <c r="A386" s="224">
        <v>6.3300000000000002E-7</v>
      </c>
      <c r="B386" s="225">
        <f t="shared" si="5"/>
        <v>3.1381402487203792E-19</v>
      </c>
      <c r="C386" s="226">
        <v>2.3285219319148932E-2</v>
      </c>
      <c r="D386" s="226">
        <v>2.50265E-2</v>
      </c>
      <c r="E386" s="226">
        <v>2.9556859999999997E-2</v>
      </c>
      <c r="F386" s="226">
        <v>3.1675639999999998E-2</v>
      </c>
      <c r="G386" s="226">
        <v>3.1704070000000001E-2</v>
      </c>
      <c r="H386" s="226">
        <v>3.7859014999999996E-2</v>
      </c>
      <c r="I386" s="226">
        <v>4.0892564999999999E-2</v>
      </c>
      <c r="J386" s="226">
        <v>4.8725060000000001E-2</v>
      </c>
      <c r="K386" s="226">
        <v>4.5876459999999994E-2</v>
      </c>
    </row>
    <row r="387" spans="1:11" x14ac:dyDescent="0.25">
      <c r="A387" s="224">
        <v>6.3399999999999999E-7</v>
      </c>
      <c r="B387" s="225">
        <f t="shared" ref="B387:B450" si="6">h_planck*c_light/A387</f>
        <v>3.1331905006940063E-19</v>
      </c>
      <c r="C387" s="226">
        <v>2.3113871270866143E-2</v>
      </c>
      <c r="D387" s="226">
        <v>2.4861390000000001E-2</v>
      </c>
      <c r="E387" s="226">
        <v>2.9477109999999994E-2</v>
      </c>
      <c r="F387" s="226">
        <v>3.1796489999999997E-2</v>
      </c>
      <c r="G387" s="226">
        <v>3.1727899999999996E-2</v>
      </c>
      <c r="H387" s="226">
        <v>3.7753089999999996E-2</v>
      </c>
      <c r="I387" s="226">
        <v>4.1514089999999997E-2</v>
      </c>
      <c r="J387" s="226">
        <v>4.9185909999999999E-2</v>
      </c>
      <c r="K387" s="226">
        <v>4.7213019999999994E-2</v>
      </c>
    </row>
    <row r="388" spans="1:11" x14ac:dyDescent="0.25">
      <c r="A388" s="224">
        <v>6.3500000000000006E-7</v>
      </c>
      <c r="B388" s="225">
        <f t="shared" si="6"/>
        <v>3.1282563424251964E-19</v>
      </c>
      <c r="C388" s="226">
        <v>2.2904291441144115E-2</v>
      </c>
      <c r="D388" s="226">
        <v>2.4672534999999999E-2</v>
      </c>
      <c r="E388" s="226">
        <v>2.9371144999999994E-2</v>
      </c>
      <c r="F388" s="226">
        <v>3.1723765000000001E-2</v>
      </c>
      <c r="G388" s="226">
        <v>3.1695704999999991E-2</v>
      </c>
      <c r="H388" s="226">
        <v>3.7689169999999994E-2</v>
      </c>
      <c r="I388" s="226">
        <v>4.1053429999999995E-2</v>
      </c>
      <c r="J388" s="226">
        <v>4.9142535000000001E-2</v>
      </c>
      <c r="K388" s="226">
        <v>4.6491929999999994E-2</v>
      </c>
    </row>
    <row r="389" spans="1:11" x14ac:dyDescent="0.25">
      <c r="A389" s="224">
        <v>6.3600000000000003E-7</v>
      </c>
      <c r="B389" s="225">
        <f t="shared" si="6"/>
        <v>3.1233377003773583E-19</v>
      </c>
      <c r="C389" s="226">
        <v>2.2926287736263741E-2</v>
      </c>
      <c r="D389" s="226">
        <v>2.4483679999999997E-2</v>
      </c>
      <c r="E389" s="226">
        <v>2.9265179999999998E-2</v>
      </c>
      <c r="F389" s="226">
        <v>3.1651039999999998E-2</v>
      </c>
      <c r="G389" s="226">
        <v>3.1663509999999992E-2</v>
      </c>
      <c r="H389" s="226">
        <v>3.7625249999999992E-2</v>
      </c>
      <c r="I389" s="226">
        <v>4.0592769999999993E-2</v>
      </c>
      <c r="J389" s="226">
        <v>4.9099159999999996E-2</v>
      </c>
      <c r="K389" s="226">
        <v>4.5770839999999993E-2</v>
      </c>
    </row>
    <row r="390" spans="1:11" x14ac:dyDescent="0.25">
      <c r="A390" s="224">
        <v>6.37E-7</v>
      </c>
      <c r="B390" s="225">
        <f t="shared" si="6"/>
        <v>3.1184345014756671E-19</v>
      </c>
      <c r="C390" s="226">
        <v>2.2736940535882169E-2</v>
      </c>
      <c r="D390" s="226">
        <v>2.4416469999999996E-2</v>
      </c>
      <c r="E390" s="226">
        <v>2.9227129999999997E-2</v>
      </c>
      <c r="F390" s="226">
        <v>3.1578855000000003E-2</v>
      </c>
      <c r="G390" s="226">
        <v>3.182194499999999E-2</v>
      </c>
      <c r="H390" s="226">
        <v>3.7753089999999989E-2</v>
      </c>
      <c r="I390" s="226">
        <v>4.1095474999999992E-2</v>
      </c>
      <c r="J390" s="226">
        <v>4.8256984999999995E-2</v>
      </c>
      <c r="K390" s="226">
        <v>4.5337459999999996E-2</v>
      </c>
    </row>
    <row r="391" spans="1:11" x14ac:dyDescent="0.25">
      <c r="A391" s="224">
        <v>6.3800000000000007E-7</v>
      </c>
      <c r="B391" s="225">
        <f t="shared" si="6"/>
        <v>3.1135466731034476E-19</v>
      </c>
      <c r="C391" s="226">
        <v>2.2655812992495306E-2</v>
      </c>
      <c r="D391" s="226">
        <v>2.4349259999999998E-2</v>
      </c>
      <c r="E391" s="226">
        <v>2.9189079999999996E-2</v>
      </c>
      <c r="F391" s="226">
        <v>3.1506670000000001E-2</v>
      </c>
      <c r="G391" s="226">
        <v>3.1980379999999996E-2</v>
      </c>
      <c r="H391" s="226">
        <v>3.7880929999999993E-2</v>
      </c>
      <c r="I391" s="226">
        <v>4.1598179999999998E-2</v>
      </c>
      <c r="J391" s="226">
        <v>4.7414809999999995E-2</v>
      </c>
      <c r="K391" s="226">
        <v>4.4904079999999992E-2</v>
      </c>
    </row>
    <row r="392" spans="1:11" x14ac:dyDescent="0.25">
      <c r="A392" s="224">
        <v>6.3900000000000004E-7</v>
      </c>
      <c r="B392" s="225">
        <f t="shared" si="6"/>
        <v>3.1086741430985912E-19</v>
      </c>
      <c r="C392" s="226">
        <v>2.2604048492423055E-2</v>
      </c>
      <c r="D392" s="226">
        <v>2.4464324999999995E-2</v>
      </c>
      <c r="E392" s="226">
        <v>2.8896669999999999E-2</v>
      </c>
      <c r="F392" s="226">
        <v>3.1448519999999994E-2</v>
      </c>
      <c r="G392" s="226">
        <v>3.1893794999999996E-2</v>
      </c>
      <c r="H392" s="226">
        <v>3.732938999999999E-2</v>
      </c>
      <c r="I392" s="226">
        <v>4.178280999999999E-2</v>
      </c>
      <c r="J392" s="226">
        <v>4.7582884999999991E-2</v>
      </c>
      <c r="K392" s="226">
        <v>4.8070674999999993E-2</v>
      </c>
    </row>
    <row r="393" spans="1:11" x14ac:dyDescent="0.25">
      <c r="A393" s="224">
        <v>6.4000000000000001E-7</v>
      </c>
      <c r="B393" s="225">
        <f t="shared" si="6"/>
        <v>3.1038168397499997E-19</v>
      </c>
      <c r="C393" s="226">
        <v>2.2496017357343308E-2</v>
      </c>
      <c r="D393" s="226">
        <v>2.4579389999999996E-2</v>
      </c>
      <c r="E393" s="226">
        <v>2.8604259999999999E-2</v>
      </c>
      <c r="F393" s="226">
        <v>3.1390369999999994E-2</v>
      </c>
      <c r="G393" s="226">
        <v>3.1807209999999995E-2</v>
      </c>
      <c r="H393" s="226">
        <v>3.6777849999999994E-2</v>
      </c>
      <c r="I393" s="226">
        <v>4.1967439999999988E-2</v>
      </c>
      <c r="J393" s="226">
        <v>4.7750959999999988E-2</v>
      </c>
      <c r="K393" s="226">
        <v>5.1237269999999994E-2</v>
      </c>
    </row>
    <row r="394" spans="1:11" x14ac:dyDescent="0.25">
      <c r="A394" s="224">
        <v>6.4099999999999998E-7</v>
      </c>
      <c r="B394" s="225">
        <f t="shared" si="6"/>
        <v>3.0989746917940719E-19</v>
      </c>
      <c r="C394" s="226">
        <v>2.2372747048746301E-2</v>
      </c>
      <c r="D394" s="226">
        <v>2.4417929999999997E-2</v>
      </c>
      <c r="E394" s="226">
        <v>2.8515409999999998E-2</v>
      </c>
      <c r="F394" s="226">
        <v>3.1332404999999994E-2</v>
      </c>
      <c r="G394" s="226">
        <v>3.1561279999999997E-2</v>
      </c>
      <c r="H394" s="226">
        <v>3.6743149999999988E-2</v>
      </c>
      <c r="I394" s="226">
        <v>4.2093569999999997E-2</v>
      </c>
      <c r="J394" s="226">
        <v>4.8936509999999989E-2</v>
      </c>
      <c r="K394" s="226">
        <v>5.2876104999999993E-2</v>
      </c>
    </row>
    <row r="395" spans="1:11" x14ac:dyDescent="0.25">
      <c r="A395" s="224">
        <v>6.4200000000000006E-7</v>
      </c>
      <c r="B395" s="225">
        <f t="shared" si="6"/>
        <v>3.0941476284112147E-19</v>
      </c>
      <c r="C395" s="226">
        <v>2.2247415839291261E-2</v>
      </c>
      <c r="D395" s="226">
        <v>2.4256469999999995E-2</v>
      </c>
      <c r="E395" s="226">
        <v>2.8426559999999997E-2</v>
      </c>
      <c r="F395" s="226">
        <v>3.1274439999999994E-2</v>
      </c>
      <c r="G395" s="226">
        <v>3.1315349999999999E-2</v>
      </c>
      <c r="H395" s="226">
        <v>3.670844999999999E-2</v>
      </c>
      <c r="I395" s="226">
        <v>4.2219699999999999E-2</v>
      </c>
      <c r="J395" s="226">
        <v>5.0122059999999989E-2</v>
      </c>
      <c r="K395" s="226">
        <v>5.4514939999999998E-2</v>
      </c>
    </row>
    <row r="396" spans="1:11" x14ac:dyDescent="0.25">
      <c r="A396" s="224">
        <v>6.4300000000000003E-7</v>
      </c>
      <c r="B396" s="225">
        <f t="shared" si="6"/>
        <v>3.0893355792223948E-19</v>
      </c>
      <c r="C396" s="226">
        <v>2.2149101582298131E-2</v>
      </c>
      <c r="D396" s="226">
        <v>2.4313094999999993E-2</v>
      </c>
      <c r="E396" s="226">
        <v>2.8484459999999996E-2</v>
      </c>
      <c r="F396" s="226">
        <v>3.1177464999999994E-2</v>
      </c>
      <c r="G396" s="226">
        <v>3.1510349999999999E-2</v>
      </c>
      <c r="H396" s="226">
        <v>3.7102929999999992E-2</v>
      </c>
      <c r="I396" s="226">
        <v>4.2075290000000001E-2</v>
      </c>
      <c r="J396" s="226">
        <v>5.0358809999999997E-2</v>
      </c>
      <c r="K396" s="226">
        <v>5.5858784999999994E-2</v>
      </c>
    </row>
    <row r="397" spans="1:11" x14ac:dyDescent="0.25">
      <c r="A397" s="224">
        <v>6.44E-7</v>
      </c>
      <c r="B397" s="225">
        <f t="shared" si="6"/>
        <v>3.0845384742857144E-19</v>
      </c>
      <c r="C397" s="226">
        <v>2.202782242677824E-2</v>
      </c>
      <c r="D397" s="226">
        <v>2.4369719999999994E-2</v>
      </c>
      <c r="E397" s="226">
        <v>2.8542359999999992E-2</v>
      </c>
      <c r="F397" s="226">
        <v>3.1080489999999995E-2</v>
      </c>
      <c r="G397" s="226">
        <v>3.170535E-2</v>
      </c>
      <c r="H397" s="226">
        <v>3.7497409999999988E-2</v>
      </c>
      <c r="I397" s="226">
        <v>4.1930879999999997E-2</v>
      </c>
      <c r="J397" s="226">
        <v>5.0595560000000005E-2</v>
      </c>
      <c r="K397" s="226">
        <v>5.7202629999999997E-2</v>
      </c>
    </row>
    <row r="398" spans="1:11" x14ac:dyDescent="0.25">
      <c r="A398" s="224">
        <v>6.4500000000000007E-7</v>
      </c>
      <c r="B398" s="225">
        <f t="shared" si="6"/>
        <v>3.0797562440930229E-19</v>
      </c>
      <c r="C398" s="226">
        <v>2.1880900185614841E-2</v>
      </c>
      <c r="D398" s="226">
        <v>2.384882E-2</v>
      </c>
      <c r="E398" s="226">
        <v>2.8348084999999995E-2</v>
      </c>
      <c r="F398" s="226">
        <v>3.0918989999999997E-2</v>
      </c>
      <c r="G398" s="226">
        <v>3.1423035000000002E-2</v>
      </c>
      <c r="H398" s="226">
        <v>3.7276429999999992E-2</v>
      </c>
      <c r="I398" s="226">
        <v>4.2027764999999995E-2</v>
      </c>
      <c r="J398" s="226">
        <v>5.0816039999999993E-2</v>
      </c>
      <c r="K398" s="226">
        <v>5.9608074999999996E-2</v>
      </c>
    </row>
    <row r="399" spans="1:11" x14ac:dyDescent="0.25">
      <c r="A399" s="224">
        <v>6.4600000000000004E-7</v>
      </c>
      <c r="B399" s="225">
        <f t="shared" si="6"/>
        <v>3.0749888195665634E-19</v>
      </c>
      <c r="C399" s="226">
        <v>2.1717999576703222E-2</v>
      </c>
      <c r="D399" s="226">
        <v>2.3327920000000002E-2</v>
      </c>
      <c r="E399" s="226">
        <v>2.8153809999999998E-2</v>
      </c>
      <c r="F399" s="226">
        <v>3.0757489999999998E-2</v>
      </c>
      <c r="G399" s="226">
        <v>3.1140719999999997E-2</v>
      </c>
      <c r="H399" s="226">
        <v>3.7055449999999997E-2</v>
      </c>
      <c r="I399" s="226">
        <v>4.2124649999999993E-2</v>
      </c>
      <c r="J399" s="226">
        <v>5.1036519999999988E-2</v>
      </c>
      <c r="K399" s="226">
        <v>6.2013520000000003E-2</v>
      </c>
    </row>
    <row r="400" spans="1:11" x14ac:dyDescent="0.25">
      <c r="A400" s="224">
        <v>6.4700000000000001E-7</v>
      </c>
      <c r="B400" s="225">
        <f t="shared" si="6"/>
        <v>3.0702361320556415E-19</v>
      </c>
      <c r="C400" s="226">
        <v>2.167748267653407E-2</v>
      </c>
      <c r="D400" s="226">
        <v>2.3534670000000001E-2</v>
      </c>
      <c r="E400" s="226">
        <v>2.7857765E-2</v>
      </c>
      <c r="F400" s="226">
        <v>3.0714834999999996E-2</v>
      </c>
      <c r="G400" s="226">
        <v>3.0952449999999999E-2</v>
      </c>
      <c r="H400" s="226">
        <v>3.7033534999999992E-2</v>
      </c>
      <c r="I400" s="226">
        <v>4.170237999999999E-2</v>
      </c>
      <c r="J400" s="226">
        <v>5.0984109999999992E-2</v>
      </c>
      <c r="K400" s="226">
        <v>6.2295764999999996E-2</v>
      </c>
    </row>
    <row r="401" spans="1:11" x14ac:dyDescent="0.25">
      <c r="A401" s="224">
        <v>6.4799999999999998E-7</v>
      </c>
      <c r="B401" s="225">
        <f t="shared" si="6"/>
        <v>3.0654981133333333E-19</v>
      </c>
      <c r="C401" s="226">
        <v>2.1552512811585267E-2</v>
      </c>
      <c r="D401" s="226">
        <v>2.3741419999999996E-2</v>
      </c>
      <c r="E401" s="226">
        <v>2.7561719999999998E-2</v>
      </c>
      <c r="F401" s="226">
        <v>3.0672179999999993E-2</v>
      </c>
      <c r="G401" s="226">
        <v>3.0764179999999999E-2</v>
      </c>
      <c r="H401" s="226">
        <v>3.7011619999999995E-2</v>
      </c>
      <c r="I401" s="226">
        <v>4.1280109999999988E-2</v>
      </c>
      <c r="J401" s="226">
        <v>5.0931699999999996E-2</v>
      </c>
      <c r="K401" s="226">
        <v>6.2578009999999989E-2</v>
      </c>
    </row>
    <row r="402" spans="1:11" x14ac:dyDescent="0.25">
      <c r="A402" s="224">
        <v>6.4900000000000005E-7</v>
      </c>
      <c r="B402" s="225">
        <f t="shared" si="6"/>
        <v>3.0607746955932201E-19</v>
      </c>
      <c r="C402" s="226">
        <v>2.1387728170637964E-2</v>
      </c>
      <c r="D402" s="226">
        <v>2.3506724999999999E-2</v>
      </c>
      <c r="E402" s="226">
        <v>2.7607599999999996E-2</v>
      </c>
      <c r="F402" s="226">
        <v>3.0682749999999995E-2</v>
      </c>
      <c r="G402" s="226">
        <v>3.0878959999999997E-2</v>
      </c>
      <c r="H402" s="226">
        <v>3.6911174999999991E-2</v>
      </c>
      <c r="I402" s="226">
        <v>4.094192499999999E-2</v>
      </c>
      <c r="J402" s="226">
        <v>5.1293149999999996E-2</v>
      </c>
      <c r="K402" s="226">
        <v>6.3519429999999988E-2</v>
      </c>
    </row>
    <row r="403" spans="1:11" x14ac:dyDescent="0.25">
      <c r="A403" s="224">
        <v>6.5000000000000002E-7</v>
      </c>
      <c r="B403" s="225">
        <f t="shared" si="6"/>
        <v>3.0560658114461537E-19</v>
      </c>
      <c r="C403" s="226">
        <v>2.1223226604729729E-2</v>
      </c>
      <c r="D403" s="226">
        <v>2.3272029999999999E-2</v>
      </c>
      <c r="E403" s="226">
        <v>2.7653479999999998E-2</v>
      </c>
      <c r="F403" s="226">
        <v>3.0693319999999996E-2</v>
      </c>
      <c r="G403" s="226">
        <v>3.0993739999999999E-2</v>
      </c>
      <c r="H403" s="226">
        <v>3.6810729999999993E-2</v>
      </c>
      <c r="I403" s="226">
        <v>4.0603739999999992E-2</v>
      </c>
      <c r="J403" s="226">
        <v>5.1654599999999988E-2</v>
      </c>
      <c r="K403" s="226">
        <v>6.446085E-2</v>
      </c>
    </row>
    <row r="404" spans="1:11" x14ac:dyDescent="0.25">
      <c r="A404" s="224">
        <v>6.5099999999999999E-7</v>
      </c>
      <c r="B404" s="225">
        <f t="shared" si="6"/>
        <v>3.0513713939170506E-19</v>
      </c>
      <c r="C404" s="226">
        <v>2.1021801091355007E-2</v>
      </c>
      <c r="D404" s="226">
        <v>2.2580545E-2</v>
      </c>
      <c r="E404" s="226">
        <v>2.7684434999999997E-2</v>
      </c>
      <c r="F404" s="226">
        <v>3.0093799999999997E-2</v>
      </c>
      <c r="G404" s="226">
        <v>3.1132349999999996E-2</v>
      </c>
      <c r="H404" s="226">
        <v>3.6971444999999992E-2</v>
      </c>
      <c r="I404" s="226">
        <v>4.1331289999999993E-2</v>
      </c>
      <c r="J404" s="226">
        <v>5.289617499999999E-2</v>
      </c>
      <c r="K404" s="226">
        <v>6.8064464999999991E-2</v>
      </c>
    </row>
    <row r="405" spans="1:11" x14ac:dyDescent="0.25">
      <c r="A405" s="224">
        <v>6.5200000000000007E-7</v>
      </c>
      <c r="B405" s="225">
        <f t="shared" si="6"/>
        <v>3.0466913764417176E-19</v>
      </c>
      <c r="C405" s="226">
        <v>2.0712084790263312E-2</v>
      </c>
      <c r="D405" s="226">
        <v>2.1889059999999998E-2</v>
      </c>
      <c r="E405" s="226">
        <v>2.7715389999999996E-2</v>
      </c>
      <c r="F405" s="226">
        <v>2.9494279999999998E-2</v>
      </c>
      <c r="G405" s="226">
        <v>3.1270959999999993E-2</v>
      </c>
      <c r="H405" s="226">
        <v>3.713215999999999E-2</v>
      </c>
      <c r="I405" s="226">
        <v>4.2058839999999993E-2</v>
      </c>
      <c r="J405" s="226">
        <v>5.4137749999999991E-2</v>
      </c>
      <c r="K405" s="226">
        <v>7.1668079999999981E-2</v>
      </c>
    </row>
    <row r="406" spans="1:11" x14ac:dyDescent="0.25">
      <c r="A406" s="224">
        <v>6.5300000000000004E-7</v>
      </c>
      <c r="B406" s="225">
        <f t="shared" si="6"/>
        <v>3.0420256928637059E-19</v>
      </c>
      <c r="C406" s="226">
        <v>2.022780096256686E-2</v>
      </c>
      <c r="D406" s="226">
        <v>2.0772374999999999E-2</v>
      </c>
      <c r="E406" s="226">
        <v>2.7297349999999998E-2</v>
      </c>
      <c r="F406" s="226">
        <v>2.8631904999999999E-2</v>
      </c>
      <c r="G406" s="226">
        <v>3.1226574999999996E-2</v>
      </c>
      <c r="H406" s="226">
        <v>3.7239904999999997E-2</v>
      </c>
      <c r="I406" s="226">
        <v>4.2647459999999998E-2</v>
      </c>
      <c r="J406" s="226">
        <v>5.4575104999999992E-2</v>
      </c>
      <c r="K406" s="226">
        <v>7.312664499999999E-2</v>
      </c>
    </row>
    <row r="407" spans="1:11" x14ac:dyDescent="0.25">
      <c r="A407" s="224">
        <v>6.5400000000000001E-7</v>
      </c>
      <c r="B407" s="225">
        <f t="shared" si="6"/>
        <v>3.0373742774311924E-19</v>
      </c>
      <c r="C407" s="226">
        <v>1.9287750465648817E-2</v>
      </c>
      <c r="D407" s="226">
        <v>1.965569E-2</v>
      </c>
      <c r="E407" s="226">
        <v>2.687931E-2</v>
      </c>
      <c r="F407" s="226">
        <v>2.7769529999999997E-2</v>
      </c>
      <c r="G407" s="226">
        <v>3.1182189999999999E-2</v>
      </c>
      <c r="H407" s="226">
        <v>3.7347650000000003E-2</v>
      </c>
      <c r="I407" s="226">
        <v>4.3236079999999996E-2</v>
      </c>
      <c r="J407" s="226">
        <v>5.5012459999999992E-2</v>
      </c>
      <c r="K407" s="226">
        <v>7.4585209999999999E-2</v>
      </c>
    </row>
    <row r="408" spans="1:11" x14ac:dyDescent="0.25">
      <c r="A408" s="224">
        <v>6.5499999999999998E-7</v>
      </c>
      <c r="B408" s="225">
        <f t="shared" si="6"/>
        <v>3.0327370647938931E-19</v>
      </c>
      <c r="C408" s="226">
        <v>1.7201544023461204E-2</v>
      </c>
      <c r="D408" s="226">
        <v>1.951195E-2</v>
      </c>
      <c r="E408" s="226">
        <v>2.5701484999999996E-2</v>
      </c>
      <c r="F408" s="226">
        <v>2.7811999999999996E-2</v>
      </c>
      <c r="G408" s="226">
        <v>3.0242659999999998E-2</v>
      </c>
      <c r="H408" s="226">
        <v>3.6846884999999996E-2</v>
      </c>
      <c r="I408" s="226">
        <v>4.2872304999999999E-2</v>
      </c>
      <c r="J408" s="226">
        <v>5.4468479999999993E-2</v>
      </c>
      <c r="K408" s="226">
        <v>7.1819219999999989E-2</v>
      </c>
    </row>
    <row r="409" spans="1:11" x14ac:dyDescent="0.25">
      <c r="A409" s="224">
        <v>6.5600000000000005E-7</v>
      </c>
      <c r="B409" s="225">
        <f t="shared" si="6"/>
        <v>3.0281139899999995E-19</v>
      </c>
      <c r="C409" s="226">
        <v>1.3791112702784887E-2</v>
      </c>
      <c r="D409" s="226">
        <v>1.9368209999999997E-2</v>
      </c>
      <c r="E409" s="226">
        <v>2.4523659999999996E-2</v>
      </c>
      <c r="F409" s="226">
        <v>2.7854469999999992E-2</v>
      </c>
      <c r="G409" s="226">
        <v>2.930313E-2</v>
      </c>
      <c r="H409" s="226">
        <v>3.6346119999999996E-2</v>
      </c>
      <c r="I409" s="226">
        <v>4.2508529999999996E-2</v>
      </c>
      <c r="J409" s="226">
        <v>5.3924499999999993E-2</v>
      </c>
      <c r="K409" s="226">
        <v>6.9053229999999993E-2</v>
      </c>
    </row>
    <row r="410" spans="1:11" x14ac:dyDescent="0.25">
      <c r="A410" s="224">
        <v>6.5700000000000002E-7</v>
      </c>
      <c r="B410" s="225">
        <f t="shared" si="6"/>
        <v>3.0235049884931504E-19</v>
      </c>
      <c r="C410" s="226">
        <v>1.4093738046483412E-2</v>
      </c>
      <c r="D410" s="226">
        <v>2.0558864999999996E-2</v>
      </c>
      <c r="E410" s="226">
        <v>2.4576094999999999E-2</v>
      </c>
      <c r="F410" s="226">
        <v>2.830433999999999E-2</v>
      </c>
      <c r="G410" s="226">
        <v>2.9289849999999999E-2</v>
      </c>
      <c r="H410" s="226">
        <v>3.6158739999999995E-2</v>
      </c>
      <c r="I410" s="226">
        <v>4.2534124999999992E-2</v>
      </c>
      <c r="J410" s="226">
        <v>5.3799799999999995E-2</v>
      </c>
      <c r="K410" s="226">
        <v>6.7306959999999999E-2</v>
      </c>
    </row>
    <row r="411" spans="1:11" x14ac:dyDescent="0.25">
      <c r="A411" s="224">
        <v>6.5799999999999999E-7</v>
      </c>
      <c r="B411" s="225">
        <f t="shared" si="6"/>
        <v>3.0189099961094224E-19</v>
      </c>
      <c r="C411" s="226">
        <v>1.7290999411318474E-2</v>
      </c>
      <c r="D411" s="226">
        <v>2.1749519999999994E-2</v>
      </c>
      <c r="E411" s="226">
        <v>2.4628529999999999E-2</v>
      </c>
      <c r="F411" s="226">
        <v>2.8754209999999992E-2</v>
      </c>
      <c r="G411" s="226">
        <v>2.9276569999999998E-2</v>
      </c>
      <c r="H411" s="226">
        <v>3.5971359999999994E-2</v>
      </c>
      <c r="I411" s="226">
        <v>4.2559719999999995E-2</v>
      </c>
      <c r="J411" s="226">
        <v>5.3675099999999989E-2</v>
      </c>
      <c r="K411" s="226">
        <v>6.5560689999999991E-2</v>
      </c>
    </row>
    <row r="412" spans="1:11" x14ac:dyDescent="0.25">
      <c r="A412" s="224">
        <v>6.5900000000000006E-7</v>
      </c>
      <c r="B412" s="225">
        <f t="shared" si="6"/>
        <v>3.0143289490743546E-19</v>
      </c>
      <c r="C412" s="226">
        <v>1.8947776138703798E-2</v>
      </c>
      <c r="D412" s="226">
        <v>2.2359364999999996E-2</v>
      </c>
      <c r="E412" s="226">
        <v>2.5889379999999997E-2</v>
      </c>
      <c r="F412" s="226">
        <v>2.8996099999999993E-2</v>
      </c>
      <c r="G412" s="226">
        <v>3.0111324999999998E-2</v>
      </c>
      <c r="H412" s="226">
        <v>3.6664984999999997E-2</v>
      </c>
      <c r="I412" s="226">
        <v>4.2839404999999997E-2</v>
      </c>
      <c r="J412" s="226">
        <v>5.4349199999999993E-2</v>
      </c>
      <c r="K412" s="226">
        <v>6.3147959999999989E-2</v>
      </c>
    </row>
    <row r="413" spans="1:11" x14ac:dyDescent="0.25">
      <c r="A413" s="224">
        <v>6.6000000000000003E-7</v>
      </c>
      <c r="B413" s="225">
        <f t="shared" si="6"/>
        <v>3.0097617839999998E-19</v>
      </c>
      <c r="C413" s="226">
        <v>1.9666485610346406E-2</v>
      </c>
      <c r="D413" s="226">
        <v>2.2969209999999997E-2</v>
      </c>
      <c r="E413" s="226">
        <v>2.7150229999999997E-2</v>
      </c>
      <c r="F413" s="226">
        <v>2.9237989999999995E-2</v>
      </c>
      <c r="G413" s="226">
        <v>3.0946079999999997E-2</v>
      </c>
      <c r="H413" s="226">
        <v>3.735861E-2</v>
      </c>
      <c r="I413" s="226">
        <v>4.3119089999999992E-2</v>
      </c>
      <c r="J413" s="226">
        <v>5.5023299999999997E-2</v>
      </c>
      <c r="K413" s="226">
        <v>6.0735229999999994E-2</v>
      </c>
    </row>
    <row r="414" spans="1:11" x14ac:dyDescent="0.25">
      <c r="A414" s="224">
        <v>6.61E-7</v>
      </c>
      <c r="B414" s="225">
        <f t="shared" si="6"/>
        <v>3.0052084378819971E-19</v>
      </c>
      <c r="C414" s="226">
        <v>1.9917143472222218E-2</v>
      </c>
      <c r="D414" s="226">
        <v>2.2857249999999996E-2</v>
      </c>
      <c r="E414" s="226">
        <v>2.7155694999999997E-2</v>
      </c>
      <c r="F414" s="226">
        <v>2.9325664999999994E-2</v>
      </c>
      <c r="G414" s="226">
        <v>3.1029574999999997E-2</v>
      </c>
      <c r="H414" s="226">
        <v>3.7322084999999998E-2</v>
      </c>
      <c r="I414" s="226">
        <v>4.308983999999999E-2</v>
      </c>
      <c r="J414" s="226">
        <v>5.4844384999999996E-2</v>
      </c>
      <c r="K414" s="226">
        <v>5.7406574999999994E-2</v>
      </c>
    </row>
    <row r="415" spans="1:11" x14ac:dyDescent="0.25">
      <c r="A415" s="224">
        <v>6.6199999999999997E-7</v>
      </c>
      <c r="B415" s="225">
        <f t="shared" si="6"/>
        <v>3.0006688480966768E-19</v>
      </c>
      <c r="C415" s="226">
        <v>2.000644952028963E-2</v>
      </c>
      <c r="D415" s="226">
        <v>2.2745289999999998E-2</v>
      </c>
      <c r="E415" s="226">
        <v>2.7161159999999997E-2</v>
      </c>
      <c r="F415" s="226">
        <v>2.9413339999999996E-2</v>
      </c>
      <c r="G415" s="226">
        <v>3.1113069999999993E-2</v>
      </c>
      <c r="H415" s="226">
        <v>3.7285559999999995E-2</v>
      </c>
      <c r="I415" s="226">
        <v>4.3060589999999996E-2</v>
      </c>
      <c r="J415" s="226">
        <v>5.4665469999999994E-2</v>
      </c>
      <c r="K415" s="226">
        <v>5.4077919999999995E-2</v>
      </c>
    </row>
    <row r="416" spans="1:11" x14ac:dyDescent="0.25">
      <c r="A416" s="224">
        <v>6.6300000000000005E-7</v>
      </c>
      <c r="B416" s="225">
        <f t="shared" si="6"/>
        <v>2.9961429523981899E-19</v>
      </c>
      <c r="C416" s="226">
        <v>2.0007780779768176E-2</v>
      </c>
      <c r="D416" s="226">
        <v>2.2612504999999998E-2</v>
      </c>
      <c r="E416" s="226">
        <v>2.7079409999999998E-2</v>
      </c>
      <c r="F416" s="226">
        <v>2.9412974999999997E-2</v>
      </c>
      <c r="G416" s="226">
        <v>3.1069049999999994E-2</v>
      </c>
      <c r="H416" s="226">
        <v>3.7060924999999995E-2</v>
      </c>
      <c r="I416" s="226">
        <v>4.2300134999999996E-2</v>
      </c>
      <c r="J416" s="226">
        <v>5.457691499999999E-2</v>
      </c>
      <c r="K416" s="226">
        <v>5.2158659999999996E-2</v>
      </c>
    </row>
    <row r="417" spans="1:11" x14ac:dyDescent="0.25">
      <c r="A417" s="224">
        <v>6.6400000000000002E-7</v>
      </c>
      <c r="B417" s="225">
        <f t="shared" si="6"/>
        <v>2.9916306889156627E-19</v>
      </c>
      <c r="C417" s="226">
        <v>1.9976184132330821E-2</v>
      </c>
      <c r="D417" s="226">
        <v>2.2479719999999995E-2</v>
      </c>
      <c r="E417" s="226">
        <v>2.6997659999999996E-2</v>
      </c>
      <c r="F417" s="226">
        <v>2.9412609999999999E-2</v>
      </c>
      <c r="G417" s="226">
        <v>3.1025029999999999E-2</v>
      </c>
      <c r="H417" s="226">
        <v>3.6836290000000001E-2</v>
      </c>
      <c r="I417" s="226">
        <v>4.1539679999999995E-2</v>
      </c>
      <c r="J417" s="226">
        <v>5.4488359999999993E-2</v>
      </c>
      <c r="K417" s="226">
        <v>5.023939999999999E-2</v>
      </c>
    </row>
    <row r="418" spans="1:11" x14ac:dyDescent="0.25">
      <c r="A418" s="224">
        <v>6.6499999999999999E-7</v>
      </c>
      <c r="B418" s="225">
        <f t="shared" si="6"/>
        <v>2.9871319961503758E-19</v>
      </c>
      <c r="C418" s="226">
        <v>1.9913176101440569E-2</v>
      </c>
      <c r="D418" s="226">
        <v>2.2543099999999996E-2</v>
      </c>
      <c r="E418" s="226">
        <v>2.6978359999999996E-2</v>
      </c>
      <c r="F418" s="226">
        <v>2.9361389999999998E-2</v>
      </c>
      <c r="G418" s="226">
        <v>3.0807654999999996E-2</v>
      </c>
      <c r="H418" s="226">
        <v>3.6686534999999992E-2</v>
      </c>
      <c r="I418" s="226">
        <v>4.1490324999999995E-2</v>
      </c>
      <c r="J418" s="226">
        <v>5.3844980000000001E-2</v>
      </c>
      <c r="K418" s="226">
        <v>4.8762629999999994E-2</v>
      </c>
    </row>
    <row r="419" spans="1:11" x14ac:dyDescent="0.25">
      <c r="A419" s="224">
        <v>6.6600000000000006E-7</v>
      </c>
      <c r="B419" s="225">
        <f t="shared" si="6"/>
        <v>2.9826468129729729E-19</v>
      </c>
      <c r="C419" s="226">
        <v>1.9841984758620684E-2</v>
      </c>
      <c r="D419" s="226">
        <v>2.2606479999999995E-2</v>
      </c>
      <c r="E419" s="226">
        <v>2.6959059999999996E-2</v>
      </c>
      <c r="F419" s="226">
        <v>2.9310169999999997E-2</v>
      </c>
      <c r="G419" s="226">
        <v>3.0590279999999997E-2</v>
      </c>
      <c r="H419" s="226">
        <v>3.6536779999999991E-2</v>
      </c>
      <c r="I419" s="226">
        <v>4.1440969999999994E-2</v>
      </c>
      <c r="J419" s="226">
        <v>5.3201600000000002E-2</v>
      </c>
      <c r="K419" s="226">
        <v>4.7285859999999999E-2</v>
      </c>
    </row>
    <row r="420" spans="1:11" x14ac:dyDescent="0.25">
      <c r="A420" s="224">
        <v>6.6700000000000003E-7</v>
      </c>
      <c r="B420" s="225">
        <f t="shared" si="6"/>
        <v>2.9781750786206896E-19</v>
      </c>
      <c r="C420" s="226">
        <v>1.9767085680083795E-2</v>
      </c>
      <c r="D420" s="226">
        <v>2.2908934999999998E-2</v>
      </c>
      <c r="E420" s="226">
        <v>2.6928654999999996E-2</v>
      </c>
      <c r="F420" s="226">
        <v>2.9346264999999996E-2</v>
      </c>
      <c r="G420" s="226">
        <v>3.0672499999999998E-2</v>
      </c>
      <c r="H420" s="226">
        <v>3.6615309999999998E-2</v>
      </c>
      <c r="I420" s="226">
        <v>4.1678609999999991E-2</v>
      </c>
      <c r="J420" s="226">
        <v>5.2489544999999999E-2</v>
      </c>
      <c r="K420" s="226">
        <v>4.5648844999999993E-2</v>
      </c>
    </row>
    <row r="421" spans="1:11" x14ac:dyDescent="0.25">
      <c r="A421" s="224">
        <v>6.68E-7</v>
      </c>
      <c r="B421" s="225">
        <f t="shared" si="6"/>
        <v>2.9737167326946109E-19</v>
      </c>
      <c r="C421" s="226">
        <v>1.9684285267563526E-2</v>
      </c>
      <c r="D421" s="226">
        <v>2.3211389999999998E-2</v>
      </c>
      <c r="E421" s="226">
        <v>2.6898249999999995E-2</v>
      </c>
      <c r="F421" s="226">
        <v>2.938236E-2</v>
      </c>
      <c r="G421" s="226">
        <v>3.0754719999999999E-2</v>
      </c>
      <c r="H421" s="226">
        <v>3.6693839999999998E-2</v>
      </c>
      <c r="I421" s="226">
        <v>4.1916249999999995E-2</v>
      </c>
      <c r="J421" s="226">
        <v>5.1777490000000002E-2</v>
      </c>
      <c r="K421" s="226">
        <v>4.4011829999999995E-2</v>
      </c>
    </row>
    <row r="422" spans="1:11" x14ac:dyDescent="0.25">
      <c r="A422" s="224">
        <v>6.6900000000000007E-7</v>
      </c>
      <c r="B422" s="225">
        <f t="shared" si="6"/>
        <v>2.9692717151569503E-19</v>
      </c>
      <c r="C422" s="226">
        <v>1.9613257441825772E-2</v>
      </c>
      <c r="D422" s="226">
        <v>2.2987469999999996E-2</v>
      </c>
      <c r="E422" s="226">
        <v>2.6719449999999995E-2</v>
      </c>
      <c r="F422" s="226">
        <v>2.9404414999999996E-2</v>
      </c>
      <c r="G422" s="226">
        <v>3.0625384999999998E-2</v>
      </c>
      <c r="H422" s="226">
        <v>3.6323834999999999E-2</v>
      </c>
      <c r="I422" s="226">
        <v>4.1592694999999999E-2</v>
      </c>
      <c r="J422" s="226">
        <v>5.1334715000000003E-2</v>
      </c>
      <c r="K422" s="226">
        <v>4.2600609999999997E-2</v>
      </c>
    </row>
    <row r="423" spans="1:11" x14ac:dyDescent="0.25">
      <c r="A423" s="224">
        <v>6.7000000000000004E-7</v>
      </c>
      <c r="B423" s="225">
        <f t="shared" si="6"/>
        <v>2.964839966328358E-19</v>
      </c>
      <c r="C423" s="226">
        <v>1.9534878098360652E-2</v>
      </c>
      <c r="D423" s="226">
        <v>2.2763549999999994E-2</v>
      </c>
      <c r="E423" s="226">
        <v>2.6540649999999995E-2</v>
      </c>
      <c r="F423" s="226">
        <v>2.9426469999999996E-2</v>
      </c>
      <c r="G423" s="226">
        <v>3.0496049999999997E-2</v>
      </c>
      <c r="H423" s="226">
        <v>3.5953829999999992E-2</v>
      </c>
      <c r="I423" s="226">
        <v>4.1269140000000003E-2</v>
      </c>
      <c r="J423" s="226">
        <v>5.0891939999999997E-2</v>
      </c>
      <c r="K423" s="226">
        <v>4.1189389999999992E-2</v>
      </c>
    </row>
    <row r="424" spans="1:11" x14ac:dyDescent="0.25">
      <c r="A424" s="224">
        <v>6.7100000000000001E-7</v>
      </c>
      <c r="B424" s="225">
        <f t="shared" si="6"/>
        <v>2.9604214268852456E-19</v>
      </c>
      <c r="C424" s="226">
        <v>1.94488954610351E-2</v>
      </c>
      <c r="D424" s="226">
        <v>2.2582184999999998E-2</v>
      </c>
      <c r="E424" s="226">
        <v>2.6449614999999996E-2</v>
      </c>
      <c r="F424" s="226">
        <v>2.9364494999999997E-2</v>
      </c>
      <c r="G424" s="226">
        <v>3.0308689999999999E-2</v>
      </c>
      <c r="H424" s="226">
        <v>3.5908904999999991E-2</v>
      </c>
      <c r="I424" s="226">
        <v>4.0888914999999998E-2</v>
      </c>
      <c r="J424" s="226">
        <v>5.0555794999999994E-2</v>
      </c>
      <c r="K424" s="226">
        <v>3.9945694999999989E-2</v>
      </c>
    </row>
    <row r="425" spans="1:11" x14ac:dyDescent="0.25">
      <c r="A425" s="224">
        <v>6.7199999999999998E-7</v>
      </c>
      <c r="B425" s="225">
        <f t="shared" si="6"/>
        <v>2.9560160378571427E-19</v>
      </c>
      <c r="C425" s="226">
        <v>1.9354817364041606E-2</v>
      </c>
      <c r="D425" s="226">
        <v>2.2400819999999998E-2</v>
      </c>
      <c r="E425" s="226">
        <v>2.6358579999999996E-2</v>
      </c>
      <c r="F425" s="226">
        <v>2.9302519999999995E-2</v>
      </c>
      <c r="G425" s="226">
        <v>3.0121330000000002E-2</v>
      </c>
      <c r="H425" s="226">
        <v>3.5863979999999997E-2</v>
      </c>
      <c r="I425" s="226">
        <v>4.0508689999999993E-2</v>
      </c>
      <c r="J425" s="226">
        <v>5.0219649999999991E-2</v>
      </c>
      <c r="K425" s="226">
        <v>3.8701999999999993E-2</v>
      </c>
    </row>
    <row r="426" spans="1:11" x14ac:dyDescent="0.25">
      <c r="A426" s="224">
        <v>6.7300000000000006E-7</v>
      </c>
      <c r="B426" s="225">
        <f t="shared" si="6"/>
        <v>2.9516237406240709E-19</v>
      </c>
      <c r="C426" s="226">
        <v>1.9259657953736652E-2</v>
      </c>
      <c r="D426" s="226">
        <v>2.2333060000000002E-2</v>
      </c>
      <c r="E426" s="226">
        <v>2.6220389999999996E-2</v>
      </c>
      <c r="F426" s="226">
        <v>2.9251844999999995E-2</v>
      </c>
      <c r="G426" s="226">
        <v>3.0237564999999998E-2</v>
      </c>
      <c r="H426" s="226">
        <v>3.5793849999999995E-2</v>
      </c>
      <c r="I426" s="226">
        <v>4.0768264999999998E-2</v>
      </c>
      <c r="J426" s="226">
        <v>4.9934104999999993E-2</v>
      </c>
      <c r="K426" s="226">
        <v>3.8651014999999997E-2</v>
      </c>
    </row>
    <row r="427" spans="1:11" x14ac:dyDescent="0.25">
      <c r="A427" s="224">
        <v>6.7400000000000003E-7</v>
      </c>
      <c r="B427" s="225">
        <f t="shared" si="6"/>
        <v>2.9472444769139464E-19</v>
      </c>
      <c r="C427" s="226">
        <v>1.9189313380740737E-2</v>
      </c>
      <c r="D427" s="226">
        <v>2.2265300000000002E-2</v>
      </c>
      <c r="E427" s="226">
        <v>2.60822E-2</v>
      </c>
      <c r="F427" s="226">
        <v>2.9201169999999995E-2</v>
      </c>
      <c r="G427" s="226">
        <v>3.0353799999999993E-2</v>
      </c>
      <c r="H427" s="226">
        <v>3.5723719999999994E-2</v>
      </c>
      <c r="I427" s="226">
        <v>4.1027840000000003E-2</v>
      </c>
      <c r="J427" s="226">
        <v>4.9648559999999987E-2</v>
      </c>
      <c r="K427" s="226">
        <v>3.8600029999999994E-2</v>
      </c>
    </row>
    <row r="428" spans="1:11" x14ac:dyDescent="0.25">
      <c r="A428" s="224">
        <v>6.75E-7</v>
      </c>
      <c r="B428" s="225">
        <f t="shared" si="6"/>
        <v>2.9428781887999998E-19</v>
      </c>
      <c r="C428" s="226">
        <v>1.9100237220579533E-2</v>
      </c>
      <c r="D428" s="226">
        <v>2.2343290000000002E-2</v>
      </c>
      <c r="E428" s="226">
        <v>2.6088754999999998E-2</v>
      </c>
      <c r="F428" s="226">
        <v>2.9150859999999994E-2</v>
      </c>
      <c r="G428" s="226">
        <v>3.0301049999999996E-2</v>
      </c>
      <c r="H428" s="226">
        <v>3.5169804999999998E-2</v>
      </c>
      <c r="I428" s="226">
        <v>4.0810304999999998E-2</v>
      </c>
      <c r="J428" s="226">
        <v>4.9220244999999996E-2</v>
      </c>
      <c r="K428" s="226">
        <v>3.9082574999999994E-2</v>
      </c>
    </row>
    <row r="429" spans="1:11" x14ac:dyDescent="0.25">
      <c r="A429" s="224">
        <v>6.7600000000000007E-7</v>
      </c>
      <c r="B429" s="225">
        <f t="shared" si="6"/>
        <v>2.9385248186982245E-19</v>
      </c>
      <c r="C429" s="226">
        <v>1.9011610508049025E-2</v>
      </c>
      <c r="D429" s="226">
        <v>2.2421279999999998E-2</v>
      </c>
      <c r="E429" s="226">
        <v>2.6095309999999997E-2</v>
      </c>
      <c r="F429" s="226">
        <v>2.9100549999999996E-2</v>
      </c>
      <c r="G429" s="226">
        <v>3.0248299999999995E-2</v>
      </c>
      <c r="H429" s="226">
        <v>3.4615889999999996E-2</v>
      </c>
      <c r="I429" s="226">
        <v>4.0592769999999993E-2</v>
      </c>
      <c r="J429" s="226">
        <v>4.8791929999999997E-2</v>
      </c>
      <c r="K429" s="226">
        <v>3.9565119999999995E-2</v>
      </c>
    </row>
    <row r="430" spans="1:11" x14ac:dyDescent="0.25">
      <c r="A430" s="224">
        <v>6.7700000000000004E-7</v>
      </c>
      <c r="B430" s="225">
        <f t="shared" si="6"/>
        <v>2.9341843093648445E-19</v>
      </c>
      <c r="C430" s="226">
        <v>1.8934074266764921E-2</v>
      </c>
      <c r="D430" s="226">
        <v>2.2502734999999996E-2</v>
      </c>
      <c r="E430" s="226">
        <v>2.6054159999999996E-2</v>
      </c>
      <c r="F430" s="226">
        <v>2.9218119999999993E-2</v>
      </c>
      <c r="G430" s="226">
        <v>3.0458399999999997E-2</v>
      </c>
      <c r="H430" s="226">
        <v>3.4911929999999994E-2</v>
      </c>
      <c r="I430" s="226">
        <v>4.0569009999999996E-2</v>
      </c>
      <c r="J430" s="226">
        <v>4.8305779999999993E-2</v>
      </c>
      <c r="K430" s="226">
        <v>3.8516269999999991E-2</v>
      </c>
    </row>
    <row r="431" spans="1:11" x14ac:dyDescent="0.25">
      <c r="A431" s="224">
        <v>6.7800000000000001E-7</v>
      </c>
      <c r="B431" s="225">
        <f t="shared" si="6"/>
        <v>2.929856603893805E-19</v>
      </c>
      <c r="C431" s="226">
        <v>1.8847233930201733E-2</v>
      </c>
      <c r="D431" s="226">
        <v>2.2584189999999997E-2</v>
      </c>
      <c r="E431" s="226">
        <v>2.6013009999999996E-2</v>
      </c>
      <c r="F431" s="226">
        <v>2.9335689999999994E-2</v>
      </c>
      <c r="G431" s="226">
        <v>3.0668499999999994E-2</v>
      </c>
      <c r="H431" s="226">
        <v>3.5207969999999998E-2</v>
      </c>
      <c r="I431" s="226">
        <v>4.0545249999999998E-2</v>
      </c>
      <c r="J431" s="226">
        <v>4.7819629999999988E-2</v>
      </c>
      <c r="K431" s="226">
        <v>3.7467419999999994E-2</v>
      </c>
    </row>
    <row r="432" spans="1:11" x14ac:dyDescent="0.25">
      <c r="A432" s="224">
        <v>6.7899999999999998E-7</v>
      </c>
      <c r="B432" s="225">
        <f t="shared" si="6"/>
        <v>2.9255416457142856E-19</v>
      </c>
      <c r="C432" s="226">
        <v>1.8763570918307368E-2</v>
      </c>
      <c r="D432" s="226">
        <v>2.2409039999999998E-2</v>
      </c>
      <c r="E432" s="226">
        <v>2.5984969999999996E-2</v>
      </c>
      <c r="F432" s="226">
        <v>2.9428104999999996E-2</v>
      </c>
      <c r="G432" s="226">
        <v>3.0363629999999996E-2</v>
      </c>
      <c r="H432" s="226">
        <v>3.5165055000000001E-2</v>
      </c>
      <c r="I432" s="226">
        <v>4.0570839999999997E-2</v>
      </c>
      <c r="J432" s="226">
        <v>4.7338904999999994E-2</v>
      </c>
      <c r="K432" s="226">
        <v>3.7875304999999998E-2</v>
      </c>
    </row>
    <row r="433" spans="1:11" x14ac:dyDescent="0.25">
      <c r="A433" s="224">
        <v>6.8000000000000005E-7</v>
      </c>
      <c r="B433" s="225">
        <f t="shared" si="6"/>
        <v>2.9212393785882351E-19</v>
      </c>
      <c r="C433" s="226">
        <v>1.8676528997210392E-2</v>
      </c>
      <c r="D433" s="226">
        <v>2.2233889999999996E-2</v>
      </c>
      <c r="E433" s="226">
        <v>2.5956929999999993E-2</v>
      </c>
      <c r="F433" s="226">
        <v>2.9520519999999995E-2</v>
      </c>
      <c r="G433" s="226">
        <v>3.0058759999999993E-2</v>
      </c>
      <c r="H433" s="226">
        <v>3.5122139999999996E-2</v>
      </c>
      <c r="I433" s="226">
        <v>4.0596429999999989E-2</v>
      </c>
      <c r="J433" s="226">
        <v>4.6858179999999999E-2</v>
      </c>
      <c r="K433" s="226">
        <v>3.8283190000000002E-2</v>
      </c>
    </row>
    <row r="434" spans="1:11" x14ac:dyDescent="0.25">
      <c r="A434" s="224">
        <v>6.8100000000000002E-7</v>
      </c>
      <c r="B434" s="225">
        <f t="shared" si="6"/>
        <v>2.9169497466079292E-19</v>
      </c>
      <c r="C434" s="226">
        <v>1.8595308799999998E-2</v>
      </c>
      <c r="D434" s="226">
        <v>2.1988779999999996E-2</v>
      </c>
      <c r="E434" s="226">
        <v>2.5832754999999995E-2</v>
      </c>
      <c r="F434" s="226">
        <v>2.9648119999999993E-2</v>
      </c>
      <c r="G434" s="226">
        <v>3.0112784999999996E-2</v>
      </c>
      <c r="H434" s="226">
        <v>3.5317370000000001E-2</v>
      </c>
      <c r="I434" s="226">
        <v>4.035695999999999E-2</v>
      </c>
      <c r="J434" s="226">
        <v>4.7071434999999995E-2</v>
      </c>
      <c r="K434" s="226">
        <v>3.891141E-2</v>
      </c>
    </row>
    <row r="435" spans="1:11" x14ac:dyDescent="0.25">
      <c r="A435" s="224">
        <v>6.8199999999999999E-7</v>
      </c>
      <c r="B435" s="225">
        <f t="shared" si="6"/>
        <v>2.9126726941935486E-19</v>
      </c>
      <c r="C435" s="226">
        <v>1.8508840974681688E-2</v>
      </c>
      <c r="D435" s="226">
        <v>2.1743669999999996E-2</v>
      </c>
      <c r="E435" s="226">
        <v>2.5708579999999998E-2</v>
      </c>
      <c r="F435" s="226">
        <v>2.9775719999999995E-2</v>
      </c>
      <c r="G435" s="226">
        <v>3.0166809999999995E-2</v>
      </c>
      <c r="H435" s="226">
        <v>3.5512599999999998E-2</v>
      </c>
      <c r="I435" s="226">
        <v>4.0117489999999992E-2</v>
      </c>
      <c r="J435" s="226">
        <v>4.728468999999999E-2</v>
      </c>
      <c r="K435" s="226">
        <v>3.9539629999999999E-2</v>
      </c>
    </row>
    <row r="436" spans="1:11" x14ac:dyDescent="0.25">
      <c r="A436" s="224">
        <v>6.8300000000000007E-7</v>
      </c>
      <c r="B436" s="225">
        <f t="shared" si="6"/>
        <v>2.9084081660907754E-19</v>
      </c>
      <c r="C436" s="226">
        <v>1.8417406785453477E-2</v>
      </c>
      <c r="D436" s="226">
        <v>2.2018184999999996E-2</v>
      </c>
      <c r="E436" s="226">
        <v>2.6092389999999997E-2</v>
      </c>
      <c r="F436" s="226">
        <v>2.9688769999999996E-2</v>
      </c>
      <c r="G436" s="226">
        <v>3.0621019999999995E-2</v>
      </c>
      <c r="H436" s="226">
        <v>3.5610304999999995E-2</v>
      </c>
      <c r="I436" s="226">
        <v>4.0192439999999996E-2</v>
      </c>
      <c r="J436" s="226">
        <v>4.7711199999999995E-2</v>
      </c>
      <c r="K436" s="226">
        <v>3.8601849999999993E-2</v>
      </c>
    </row>
    <row r="437" spans="1:11" x14ac:dyDescent="0.25">
      <c r="A437" s="224">
        <v>6.8400000000000004E-7</v>
      </c>
      <c r="B437" s="225">
        <f t="shared" si="6"/>
        <v>2.9041561073684208E-19</v>
      </c>
      <c r="C437" s="226">
        <v>1.8341314136874363E-2</v>
      </c>
      <c r="D437" s="226">
        <v>2.2292699999999999E-2</v>
      </c>
      <c r="E437" s="226">
        <v>2.6476199999999995E-2</v>
      </c>
      <c r="F437" s="226">
        <v>2.9601819999999994E-2</v>
      </c>
      <c r="G437" s="226">
        <v>3.1075229999999995E-2</v>
      </c>
      <c r="H437" s="226">
        <v>3.5708009999999998E-2</v>
      </c>
      <c r="I437" s="226">
        <v>4.0267389999999993E-2</v>
      </c>
      <c r="J437" s="226">
        <v>4.8137709999999993E-2</v>
      </c>
      <c r="K437" s="226">
        <v>3.7664069999999994E-2</v>
      </c>
    </row>
    <row r="438" spans="1:11" x14ac:dyDescent="0.25">
      <c r="A438" s="224">
        <v>6.8500000000000001E-7</v>
      </c>
      <c r="B438" s="225">
        <f t="shared" si="6"/>
        <v>2.8999164634160584E-19</v>
      </c>
      <c r="C438" s="226">
        <v>1.8255815272356538E-2</v>
      </c>
      <c r="D438" s="226">
        <v>2.1559384999999997E-2</v>
      </c>
      <c r="E438" s="226">
        <v>2.5861709999999996E-2</v>
      </c>
      <c r="F438" s="226">
        <v>2.9117134999999995E-2</v>
      </c>
      <c r="G438" s="226">
        <v>3.0164989999999996E-2</v>
      </c>
      <c r="H438" s="226">
        <v>3.4920699999999999E-2</v>
      </c>
      <c r="I438" s="226">
        <v>3.9071869999999995E-2</v>
      </c>
      <c r="J438" s="226">
        <v>4.7078664999999992E-2</v>
      </c>
      <c r="K438" s="226">
        <v>3.8734779999999996E-2</v>
      </c>
    </row>
    <row r="439" spans="1:11" x14ac:dyDescent="0.25">
      <c r="A439" s="224">
        <v>6.8599999999999998E-7</v>
      </c>
      <c r="B439" s="225">
        <f t="shared" si="6"/>
        <v>2.8956891799416908E-19</v>
      </c>
      <c r="C439" s="226">
        <v>1.8171116662787312E-2</v>
      </c>
      <c r="D439" s="226">
        <v>2.0826069999999995E-2</v>
      </c>
      <c r="E439" s="226">
        <v>2.5247219999999997E-2</v>
      </c>
      <c r="F439" s="226">
        <v>2.8632449999999997E-2</v>
      </c>
      <c r="G439" s="226">
        <v>2.9254749999999996E-2</v>
      </c>
      <c r="H439" s="226">
        <v>3.4133389999999993E-2</v>
      </c>
      <c r="I439" s="226">
        <v>3.7876349999999996E-2</v>
      </c>
      <c r="J439" s="226">
        <v>4.601961999999999E-2</v>
      </c>
      <c r="K439" s="226">
        <v>3.9805489999999999E-2</v>
      </c>
    </row>
    <row r="440" spans="1:11" x14ac:dyDescent="0.25">
      <c r="A440" s="224">
        <v>6.8700000000000005E-7</v>
      </c>
      <c r="B440" s="225">
        <f t="shared" si="6"/>
        <v>2.8914742029694322E-19</v>
      </c>
      <c r="C440" s="226">
        <v>1.8094426537790698E-2</v>
      </c>
      <c r="D440" s="226">
        <v>2.0684704999999998E-2</v>
      </c>
      <c r="E440" s="226">
        <v>2.4767819999999996E-2</v>
      </c>
      <c r="F440" s="226">
        <v>2.8689139999999995E-2</v>
      </c>
      <c r="G440" s="226">
        <v>2.8890759999999995E-2</v>
      </c>
      <c r="H440" s="226">
        <v>3.3541119999999994E-2</v>
      </c>
      <c r="I440" s="226">
        <v>3.7377304999999993E-2</v>
      </c>
      <c r="J440" s="226">
        <v>4.5067204999999999E-2</v>
      </c>
      <c r="K440" s="226">
        <v>3.9155414999999999E-2</v>
      </c>
    </row>
    <row r="441" spans="1:11" x14ac:dyDescent="0.25">
      <c r="A441" s="224">
        <v>6.8800000000000002E-7</v>
      </c>
      <c r="B441" s="225">
        <f t="shared" si="6"/>
        <v>2.8872714788372092E-19</v>
      </c>
      <c r="C441" s="226">
        <v>1.8014290156657963E-2</v>
      </c>
      <c r="D441" s="226">
        <v>2.0543339999999997E-2</v>
      </c>
      <c r="E441" s="226">
        <v>2.4288419999999998E-2</v>
      </c>
      <c r="F441" s="226">
        <v>2.8745829999999997E-2</v>
      </c>
      <c r="G441" s="226">
        <v>2.8526769999999993E-2</v>
      </c>
      <c r="H441" s="226">
        <v>3.2948849999999995E-2</v>
      </c>
      <c r="I441" s="226">
        <v>3.6878259999999989E-2</v>
      </c>
      <c r="J441" s="226">
        <v>4.4114790000000001E-2</v>
      </c>
      <c r="K441" s="226">
        <v>3.8505340000000006E-2</v>
      </c>
    </row>
    <row r="442" spans="1:11" x14ac:dyDescent="0.25">
      <c r="A442" s="224">
        <v>6.8899999999999999E-7</v>
      </c>
      <c r="B442" s="225">
        <f t="shared" si="6"/>
        <v>2.883080954194485E-19</v>
      </c>
      <c r="C442" s="226">
        <v>1.7934017056948269E-2</v>
      </c>
      <c r="D442" s="226">
        <v>2.0988260000000002E-2</v>
      </c>
      <c r="E442" s="226">
        <v>2.4494525E-2</v>
      </c>
      <c r="F442" s="226">
        <v>2.8963474999999995E-2</v>
      </c>
      <c r="G442" s="226">
        <v>2.8814539999999993E-2</v>
      </c>
      <c r="H442" s="226">
        <v>3.3064089999999997E-2</v>
      </c>
      <c r="I442" s="226">
        <v>3.7779469999999989E-2</v>
      </c>
      <c r="J442" s="226">
        <v>4.5578654999999996E-2</v>
      </c>
      <c r="K442" s="226">
        <v>4.0925354999999997E-2</v>
      </c>
    </row>
    <row r="443" spans="1:11" x14ac:dyDescent="0.25">
      <c r="A443" s="224">
        <v>6.9000000000000006E-7</v>
      </c>
      <c r="B443" s="225">
        <f t="shared" si="6"/>
        <v>2.8789025759999995E-19</v>
      </c>
      <c r="C443" s="226">
        <v>1.7853863496240598E-2</v>
      </c>
      <c r="D443" s="226">
        <v>2.1433180000000003E-2</v>
      </c>
      <c r="E443" s="226">
        <v>2.4700630000000001E-2</v>
      </c>
      <c r="F443" s="226">
        <v>2.9181119999999994E-2</v>
      </c>
      <c r="G443" s="226">
        <v>2.9102309999999996E-2</v>
      </c>
      <c r="H443" s="226">
        <v>3.317933E-2</v>
      </c>
      <c r="I443" s="226">
        <v>3.8680679999999988E-2</v>
      </c>
      <c r="J443" s="226">
        <v>4.7042519999999997E-2</v>
      </c>
      <c r="K443" s="226">
        <v>4.3345369999999994E-2</v>
      </c>
    </row>
    <row r="444" spans="1:11" x14ac:dyDescent="0.25">
      <c r="A444" s="224">
        <v>6.9100000000000003E-7</v>
      </c>
      <c r="B444" s="225">
        <f t="shared" si="6"/>
        <v>2.8747362915195365E-19</v>
      </c>
      <c r="C444" s="226">
        <v>1.7773824949436579E-2</v>
      </c>
      <c r="D444" s="226">
        <v>2.1506234999999999E-2</v>
      </c>
      <c r="E444" s="226">
        <v>2.4721750000000001E-2</v>
      </c>
      <c r="F444" s="226">
        <v>2.8820564999999992E-2</v>
      </c>
      <c r="G444" s="226">
        <v>2.9397719999999995E-2</v>
      </c>
      <c r="H444" s="226">
        <v>3.3303334999999996E-2</v>
      </c>
      <c r="I444" s="226">
        <v>3.8905524999999989E-2</v>
      </c>
      <c r="J444" s="226">
        <v>4.8078069999999994E-2</v>
      </c>
      <c r="K444" s="226">
        <v>4.6442769999999994E-2</v>
      </c>
    </row>
    <row r="445" spans="1:11" x14ac:dyDescent="0.25">
      <c r="A445" s="224">
        <v>6.92E-7</v>
      </c>
      <c r="B445" s="225">
        <f t="shared" si="6"/>
        <v>2.8705820483236994E-19</v>
      </c>
      <c r="C445" s="226">
        <v>1.7692260581026523E-2</v>
      </c>
      <c r="D445" s="226">
        <v>2.1579289999999998E-2</v>
      </c>
      <c r="E445" s="226">
        <v>2.4742869999999997E-2</v>
      </c>
      <c r="F445" s="226">
        <v>2.8460009999999994E-2</v>
      </c>
      <c r="G445" s="226">
        <v>2.9693129999999995E-2</v>
      </c>
      <c r="H445" s="226">
        <v>3.3427339999999993E-2</v>
      </c>
      <c r="I445" s="226">
        <v>3.9130369999999991E-2</v>
      </c>
      <c r="J445" s="226">
        <v>4.911361999999999E-2</v>
      </c>
      <c r="K445" s="226">
        <v>4.9540169999999988E-2</v>
      </c>
    </row>
    <row r="446" spans="1:11" x14ac:dyDescent="0.25">
      <c r="A446" s="224">
        <v>6.9300000000000008E-7</v>
      </c>
      <c r="B446" s="225">
        <f t="shared" si="6"/>
        <v>2.8664397942857139E-19</v>
      </c>
      <c r="C446" s="226">
        <v>1.7611290900187239E-2</v>
      </c>
      <c r="D446" s="226">
        <v>2.1251444999999997E-2</v>
      </c>
      <c r="E446" s="226">
        <v>2.4682969999999999E-2</v>
      </c>
      <c r="F446" s="226">
        <v>2.8287204999999996E-2</v>
      </c>
      <c r="G446" s="226">
        <v>2.9219094999999994E-2</v>
      </c>
      <c r="H446" s="226">
        <v>3.3630239999999992E-2</v>
      </c>
      <c r="I446" s="226">
        <v>3.9711674999999988E-2</v>
      </c>
      <c r="J446" s="226">
        <v>5.0078684999999998E-2</v>
      </c>
      <c r="K446" s="226">
        <v>5.2881569999999996E-2</v>
      </c>
    </row>
    <row r="447" spans="1:11" x14ac:dyDescent="0.25">
      <c r="A447" s="224">
        <v>6.9400000000000005E-7</v>
      </c>
      <c r="B447" s="225">
        <f t="shared" si="6"/>
        <v>2.8623094775792503E-19</v>
      </c>
      <c r="C447" s="226">
        <v>1.753438584303579E-2</v>
      </c>
      <c r="D447" s="226">
        <v>2.0923599999999997E-2</v>
      </c>
      <c r="E447" s="226">
        <v>2.4623069999999997E-2</v>
      </c>
      <c r="F447" s="226">
        <v>2.8114399999999994E-2</v>
      </c>
      <c r="G447" s="226">
        <v>2.8745059999999996E-2</v>
      </c>
      <c r="H447" s="226">
        <v>3.3833139999999991E-2</v>
      </c>
      <c r="I447" s="226">
        <v>4.0292979999999992E-2</v>
      </c>
      <c r="J447" s="226">
        <v>5.1043749999999999E-2</v>
      </c>
      <c r="K447" s="226">
        <v>5.6222970000000004E-2</v>
      </c>
    </row>
    <row r="448" spans="1:11" x14ac:dyDescent="0.25">
      <c r="A448" s="224">
        <v>6.9500000000000002E-7</v>
      </c>
      <c r="B448" s="225">
        <f t="shared" si="6"/>
        <v>2.8581910466762589E-19</v>
      </c>
      <c r="C448" s="226">
        <v>1.7454811723147612E-2</v>
      </c>
      <c r="D448" s="226">
        <v>2.0686164999999996E-2</v>
      </c>
      <c r="E448" s="226">
        <v>2.4654024999999996E-2</v>
      </c>
      <c r="F448" s="226">
        <v>2.807904E-2</v>
      </c>
      <c r="G448" s="226">
        <v>2.8946424999999998E-2</v>
      </c>
      <c r="H448" s="226">
        <v>3.3930664999999992E-2</v>
      </c>
      <c r="I448" s="226">
        <v>4.0384379999999998E-2</v>
      </c>
      <c r="J448" s="226">
        <v>5.1929299999999998E-2</v>
      </c>
      <c r="K448" s="226">
        <v>5.6931309999999999E-2</v>
      </c>
    </row>
    <row r="449" spans="1:11" x14ac:dyDescent="0.25">
      <c r="A449" s="224">
        <v>6.9599999999999999E-7</v>
      </c>
      <c r="B449" s="225">
        <f t="shared" si="6"/>
        <v>2.8540844503448274E-19</v>
      </c>
      <c r="C449" s="226">
        <v>1.7375341803184619E-2</v>
      </c>
      <c r="D449" s="226">
        <v>2.0448729999999995E-2</v>
      </c>
      <c r="E449" s="226">
        <v>2.4684979999999999E-2</v>
      </c>
      <c r="F449" s="226">
        <v>2.8043680000000001E-2</v>
      </c>
      <c r="G449" s="226">
        <v>2.9147789999999996E-2</v>
      </c>
      <c r="H449" s="226">
        <v>3.4028189999999993E-2</v>
      </c>
      <c r="I449" s="226">
        <v>4.0475779999999996E-2</v>
      </c>
      <c r="J449" s="226">
        <v>5.281484999999999E-2</v>
      </c>
      <c r="K449" s="226">
        <v>5.7639650000000001E-2</v>
      </c>
    </row>
    <row r="450" spans="1:11" x14ac:dyDescent="0.25">
      <c r="A450" s="224">
        <v>6.9700000000000006E-7</v>
      </c>
      <c r="B450" s="225">
        <f t="shared" si="6"/>
        <v>2.8499896376470583E-19</v>
      </c>
      <c r="C450" s="226">
        <v>1.7299091400343643E-2</v>
      </c>
      <c r="D450" s="226">
        <v>2.0187184999999996E-2</v>
      </c>
      <c r="E450" s="226">
        <v>2.459194E-2</v>
      </c>
      <c r="F450" s="226">
        <v>2.7827495000000001E-2</v>
      </c>
      <c r="G450" s="226">
        <v>2.9008449999999998E-2</v>
      </c>
      <c r="H450" s="226">
        <v>3.3759904999999993E-2</v>
      </c>
      <c r="I450" s="226">
        <v>4.0280184999999996E-2</v>
      </c>
      <c r="J450" s="226">
        <v>5.2328699999999992E-2</v>
      </c>
      <c r="K450" s="226">
        <v>6.0802604999999996E-2</v>
      </c>
    </row>
    <row r="451" spans="1:11" x14ac:dyDescent="0.25">
      <c r="A451" s="224">
        <v>6.9800000000000003E-7</v>
      </c>
      <c r="B451" s="225">
        <f t="shared" ref="B451:B514" si="7">h_planck*c_light/A451</f>
        <v>2.8459065579369625E-19</v>
      </c>
      <c r="C451" s="226">
        <v>1.7224670998283748E-2</v>
      </c>
      <c r="D451" s="226">
        <v>1.9925639999999994E-2</v>
      </c>
      <c r="E451" s="226">
        <v>2.4498899999999997E-2</v>
      </c>
      <c r="F451" s="226">
        <v>2.7611309999999997E-2</v>
      </c>
      <c r="G451" s="226">
        <v>2.8869109999999996E-2</v>
      </c>
      <c r="H451" s="226">
        <v>3.3491619999999993E-2</v>
      </c>
      <c r="I451" s="226">
        <v>4.0084589999999996E-2</v>
      </c>
      <c r="J451" s="226">
        <v>5.1842549999999987E-2</v>
      </c>
      <c r="K451" s="226">
        <v>6.3965559999999991E-2</v>
      </c>
    </row>
    <row r="452" spans="1:11" x14ac:dyDescent="0.25">
      <c r="A452" s="224">
        <v>6.99E-7</v>
      </c>
      <c r="B452" s="225">
        <f t="shared" si="7"/>
        <v>2.8418351608583688E-19</v>
      </c>
      <c r="C452" s="226">
        <v>1.714554350649351E-2</v>
      </c>
      <c r="D452" s="226">
        <v>1.9634139999999994E-2</v>
      </c>
      <c r="E452" s="226">
        <v>2.4350874999999998E-2</v>
      </c>
      <c r="F452" s="226">
        <v>2.7510324999999995E-2</v>
      </c>
      <c r="G452" s="226">
        <v>2.8685389999999998E-2</v>
      </c>
      <c r="H452" s="226">
        <v>3.3532349999999995E-2</v>
      </c>
      <c r="I452" s="226">
        <v>3.9481349999999998E-2</v>
      </c>
      <c r="J452" s="226">
        <v>5.2370264999999992E-2</v>
      </c>
      <c r="K452" s="226">
        <v>6.5595290000000001E-2</v>
      </c>
    </row>
    <row r="453" spans="1:11" x14ac:dyDescent="0.25">
      <c r="A453" s="224">
        <v>7.0000000000000007E-7</v>
      </c>
      <c r="B453" s="225">
        <f t="shared" si="7"/>
        <v>2.8377753963428567E-19</v>
      </c>
      <c r="C453" s="226">
        <v>1.7055818397033653E-2</v>
      </c>
      <c r="D453" s="226">
        <v>1.9342639999999998E-2</v>
      </c>
      <c r="E453" s="226">
        <v>2.4202849999999998E-2</v>
      </c>
      <c r="F453" s="226">
        <v>2.7409339999999997E-2</v>
      </c>
      <c r="G453" s="226">
        <v>2.8501669999999996E-2</v>
      </c>
      <c r="H453" s="226">
        <v>3.3573079999999998E-2</v>
      </c>
      <c r="I453" s="226">
        <v>3.8878109999999994E-2</v>
      </c>
      <c r="J453" s="226">
        <v>5.2897979999999997E-2</v>
      </c>
      <c r="K453" s="226">
        <v>6.7225019999999996E-2</v>
      </c>
    </row>
    <row r="454" spans="1:11" x14ac:dyDescent="0.25">
      <c r="A454" s="224">
        <v>7.0100000000000004E-7</v>
      </c>
      <c r="B454" s="225">
        <f t="shared" si="7"/>
        <v>2.8337272146077033E-19</v>
      </c>
      <c r="C454" s="226">
        <v>1.6980529642806316E-2</v>
      </c>
      <c r="D454" s="226">
        <v>1.9456429999999997E-2</v>
      </c>
      <c r="E454" s="226">
        <v>2.4145129999999997E-2</v>
      </c>
      <c r="F454" s="226">
        <v>2.7397854999999992E-2</v>
      </c>
      <c r="G454" s="226">
        <v>2.8387434999999996E-2</v>
      </c>
      <c r="H454" s="226">
        <v>3.3330915000000003E-2</v>
      </c>
      <c r="I454" s="226">
        <v>3.9163274999999997E-2</v>
      </c>
      <c r="J454" s="226">
        <v>5.3658829999999991E-2</v>
      </c>
      <c r="K454" s="226">
        <v>7.065747E-2</v>
      </c>
    </row>
    <row r="455" spans="1:11" x14ac:dyDescent="0.25">
      <c r="A455" s="224">
        <v>7.0200000000000001E-7</v>
      </c>
      <c r="B455" s="225">
        <f t="shared" si="7"/>
        <v>2.829690566153846E-19</v>
      </c>
      <c r="C455" s="226">
        <v>1.690885531276656E-2</v>
      </c>
      <c r="D455" s="226">
        <v>1.9570219999999999E-2</v>
      </c>
      <c r="E455" s="226">
        <v>2.4087409999999997E-2</v>
      </c>
      <c r="F455" s="226">
        <v>2.738636999999999E-2</v>
      </c>
      <c r="G455" s="226">
        <v>2.8273199999999995E-2</v>
      </c>
      <c r="H455" s="226">
        <v>3.308875E-2</v>
      </c>
      <c r="I455" s="226">
        <v>3.9448439999999994E-2</v>
      </c>
      <c r="J455" s="226">
        <v>5.4419679999999984E-2</v>
      </c>
      <c r="K455" s="226">
        <v>7.408991999999999E-2</v>
      </c>
    </row>
    <row r="456" spans="1:11" x14ac:dyDescent="0.25">
      <c r="A456" s="224">
        <v>7.0299999999999998E-7</v>
      </c>
      <c r="B456" s="225">
        <f t="shared" si="7"/>
        <v>2.8256654017638693E-19</v>
      </c>
      <c r="C456" s="226">
        <v>1.6837652529829543E-2</v>
      </c>
      <c r="D456" s="226">
        <v>1.9542274999999998E-2</v>
      </c>
      <c r="E456" s="226">
        <v>2.3940844999999999E-2</v>
      </c>
      <c r="F456" s="226">
        <v>2.733186499999999E-2</v>
      </c>
      <c r="G456" s="226">
        <v>2.8236999999999998E-2</v>
      </c>
      <c r="H456" s="226">
        <v>3.3274479999999995E-2</v>
      </c>
      <c r="I456" s="226">
        <v>3.9989529999999995E-2</v>
      </c>
      <c r="J456" s="226">
        <v>5.5442579999999984E-2</v>
      </c>
      <c r="K456" s="226">
        <v>7.3337879999999994E-2</v>
      </c>
    </row>
    <row r="457" spans="1:11" x14ac:dyDescent="0.25">
      <c r="A457" s="224">
        <v>7.0400000000000006E-7</v>
      </c>
      <c r="B457" s="225">
        <f t="shared" si="7"/>
        <v>2.8216516724999996E-19</v>
      </c>
      <c r="C457" s="226">
        <v>1.6767441836995037E-2</v>
      </c>
      <c r="D457" s="226">
        <v>1.9514329999999996E-2</v>
      </c>
      <c r="E457" s="226">
        <v>2.3794280000000001E-2</v>
      </c>
      <c r="F457" s="226">
        <v>2.7277359999999994E-2</v>
      </c>
      <c r="G457" s="226">
        <v>2.8200799999999998E-2</v>
      </c>
      <c r="H457" s="226">
        <v>3.3460209999999997E-2</v>
      </c>
      <c r="I457" s="226">
        <v>4.0530619999999989E-2</v>
      </c>
      <c r="J457" s="226">
        <v>5.6465479999999985E-2</v>
      </c>
      <c r="K457" s="226">
        <v>7.2585839999999985E-2</v>
      </c>
    </row>
    <row r="458" spans="1:11" x14ac:dyDescent="0.25">
      <c r="A458" s="224">
        <v>7.0500000000000003E-7</v>
      </c>
      <c r="B458" s="225">
        <f t="shared" si="7"/>
        <v>2.8176493297021276E-19</v>
      </c>
      <c r="C458" s="226">
        <v>1.6695156962186656E-2</v>
      </c>
      <c r="D458" s="226">
        <v>1.9452594999999996E-2</v>
      </c>
      <c r="E458" s="226">
        <v>2.3694139999999999E-2</v>
      </c>
      <c r="F458" s="226">
        <v>2.7233069999999991E-2</v>
      </c>
      <c r="G458" s="226">
        <v>2.8065099999999999E-2</v>
      </c>
      <c r="H458" s="226">
        <v>3.3677724999999992E-2</v>
      </c>
      <c r="I458" s="226">
        <v>4.0717079999999989E-2</v>
      </c>
      <c r="J458" s="226">
        <v>5.6160054999999987E-2</v>
      </c>
      <c r="K458" s="226">
        <v>6.8811054999999982E-2</v>
      </c>
    </row>
    <row r="459" spans="1:11" x14ac:dyDescent="0.25">
      <c r="A459" s="224">
        <v>7.06E-7</v>
      </c>
      <c r="B459" s="225">
        <f t="shared" si="7"/>
        <v>2.8136583249858357E-19</v>
      </c>
      <c r="C459" s="226">
        <v>1.6620108725268513E-2</v>
      </c>
      <c r="D459" s="226">
        <v>1.9390859999999999E-2</v>
      </c>
      <c r="E459" s="226">
        <v>2.3593999999999997E-2</v>
      </c>
      <c r="F459" s="226">
        <v>2.7188779999999992E-2</v>
      </c>
      <c r="G459" s="226">
        <v>2.79294E-2</v>
      </c>
      <c r="H459" s="226">
        <v>3.3895239999999993E-2</v>
      </c>
      <c r="I459" s="226">
        <v>4.0903539999999995E-2</v>
      </c>
      <c r="J459" s="226">
        <v>5.5854629999999995E-2</v>
      </c>
      <c r="K459" s="226">
        <v>6.5036269999999993E-2</v>
      </c>
    </row>
    <row r="460" spans="1:11" x14ac:dyDescent="0.25">
      <c r="A460" s="224">
        <v>7.0700000000000007E-7</v>
      </c>
      <c r="B460" s="225">
        <f t="shared" si="7"/>
        <v>2.8096786102404521E-19</v>
      </c>
      <c r="C460" s="226">
        <v>1.6548247340485604E-2</v>
      </c>
      <c r="D460" s="226">
        <v>1.9207304999999997E-2</v>
      </c>
      <c r="E460" s="226">
        <v>2.3570874999999998E-2</v>
      </c>
      <c r="F460" s="226">
        <v>2.7056444999999995E-2</v>
      </c>
      <c r="G460" s="226">
        <v>2.7818074999999998E-2</v>
      </c>
      <c r="H460" s="226">
        <v>3.3810679999999996E-2</v>
      </c>
      <c r="I460" s="226">
        <v>4.0287499999999997E-2</v>
      </c>
      <c r="J460" s="226">
        <v>5.5068479999999989E-2</v>
      </c>
      <c r="K460" s="226">
        <v>6.0077879999999993E-2</v>
      </c>
    </row>
    <row r="461" spans="1:11" x14ac:dyDescent="0.25">
      <c r="A461" s="224">
        <v>7.0800000000000004E-7</v>
      </c>
      <c r="B461" s="225">
        <f t="shared" si="7"/>
        <v>2.8057101376271183E-19</v>
      </c>
      <c r="C461" s="226">
        <v>1.6478177272086798E-2</v>
      </c>
      <c r="D461" s="226">
        <v>1.9023749999999996E-2</v>
      </c>
      <c r="E461" s="226">
        <v>2.3547749999999996E-2</v>
      </c>
      <c r="F461" s="226">
        <v>2.6924109999999998E-2</v>
      </c>
      <c r="G461" s="226">
        <v>2.7706749999999995E-2</v>
      </c>
      <c r="H461" s="226">
        <v>3.3726119999999998E-2</v>
      </c>
      <c r="I461" s="226">
        <v>3.9671459999999999E-2</v>
      </c>
      <c r="J461" s="226">
        <v>5.4282329999999983E-2</v>
      </c>
      <c r="K461" s="226">
        <v>5.5119489999999993E-2</v>
      </c>
    </row>
    <row r="462" spans="1:11" x14ac:dyDescent="0.25">
      <c r="A462" s="224">
        <v>7.0900000000000001E-7</v>
      </c>
      <c r="B462" s="225">
        <f t="shared" si="7"/>
        <v>2.8017528595768686E-19</v>
      </c>
      <c r="C462" s="226">
        <v>1.640794365939479E-2</v>
      </c>
      <c r="D462" s="226">
        <v>1.9051694999999997E-2</v>
      </c>
      <c r="E462" s="226">
        <v>2.3427400000000001E-2</v>
      </c>
      <c r="F462" s="226">
        <v>2.6837519999999997E-2</v>
      </c>
      <c r="G462" s="226">
        <v>2.7770599999999996E-2</v>
      </c>
      <c r="H462" s="226">
        <v>3.3554084999999997E-2</v>
      </c>
      <c r="I462" s="226">
        <v>3.9958454999999997E-2</v>
      </c>
      <c r="J462" s="226">
        <v>5.3863049999999989E-2</v>
      </c>
      <c r="K462" s="226">
        <v>5.2562904999999993E-2</v>
      </c>
    </row>
    <row r="463" spans="1:11" x14ac:dyDescent="0.25">
      <c r="A463" s="224">
        <v>7.0999999999999998E-7</v>
      </c>
      <c r="B463" s="225">
        <f t="shared" si="7"/>
        <v>2.7978067287887324E-19</v>
      </c>
      <c r="C463" s="226">
        <v>1.6330044043869511E-2</v>
      </c>
      <c r="D463" s="226">
        <v>1.9079639999999998E-2</v>
      </c>
      <c r="E463" s="226">
        <v>2.3307050000000003E-2</v>
      </c>
      <c r="F463" s="226">
        <v>2.6750929999999992E-2</v>
      </c>
      <c r="G463" s="226">
        <v>2.7834449999999997E-2</v>
      </c>
      <c r="H463" s="226">
        <v>3.3382049999999996E-2</v>
      </c>
      <c r="I463" s="226">
        <v>4.0245449999999995E-2</v>
      </c>
      <c r="J463" s="226">
        <v>5.3443769999999995E-2</v>
      </c>
      <c r="K463" s="226">
        <v>5.0006319999999993E-2</v>
      </c>
    </row>
    <row r="464" spans="1:11" x14ac:dyDescent="0.25">
      <c r="A464" s="224">
        <v>7.1100000000000005E-7</v>
      </c>
      <c r="B464" s="225">
        <f t="shared" si="7"/>
        <v>2.7938716982278477E-19</v>
      </c>
      <c r="C464" s="226">
        <v>1.6211184150996354E-2</v>
      </c>
      <c r="D464" s="226">
        <v>1.9046579999999997E-2</v>
      </c>
      <c r="E464" s="226">
        <v>2.3220205000000001E-2</v>
      </c>
      <c r="F464" s="226">
        <v>2.6643569999999995E-2</v>
      </c>
      <c r="G464" s="226">
        <v>2.7756229999999993E-2</v>
      </c>
      <c r="H464" s="226">
        <v>3.3113219999999999E-2</v>
      </c>
      <c r="I464" s="226">
        <v>3.9989529999999995E-2</v>
      </c>
      <c r="J464" s="226">
        <v>5.2608824999999998E-2</v>
      </c>
      <c r="K464" s="226">
        <v>4.9239714999999996E-2</v>
      </c>
    </row>
    <row r="465" spans="1:11" x14ac:dyDescent="0.25">
      <c r="A465" s="224">
        <v>7.1200000000000002E-7</v>
      </c>
      <c r="B465" s="225">
        <f t="shared" si="7"/>
        <v>2.7899477211235953E-19</v>
      </c>
      <c r="C465" s="226">
        <v>1.6123668717409584E-2</v>
      </c>
      <c r="D465" s="226">
        <v>1.9013519999999996E-2</v>
      </c>
      <c r="E465" s="226">
        <v>2.3133359999999999E-2</v>
      </c>
      <c r="F465" s="226">
        <v>2.6536209999999998E-2</v>
      </c>
      <c r="G465" s="226">
        <v>2.7678009999999992E-2</v>
      </c>
      <c r="H465" s="226">
        <v>3.2844390000000001E-2</v>
      </c>
      <c r="I465" s="226">
        <v>3.9733610000000003E-2</v>
      </c>
      <c r="J465" s="226">
        <v>5.1773879999999994E-2</v>
      </c>
      <c r="K465" s="226">
        <v>4.847311E-2</v>
      </c>
    </row>
    <row r="466" spans="1:11" x14ac:dyDescent="0.25">
      <c r="A466" s="224">
        <v>7.1299999999999999E-7</v>
      </c>
      <c r="B466" s="225">
        <f t="shared" si="7"/>
        <v>2.786034750967742E-19</v>
      </c>
      <c r="C466" s="226">
        <v>1.6105579675433683E-2</v>
      </c>
      <c r="D466" s="226">
        <v>1.8950689999999996E-2</v>
      </c>
      <c r="E466" s="226">
        <v>2.3068539999999995E-2</v>
      </c>
      <c r="F466" s="226">
        <v>2.595455E-2</v>
      </c>
      <c r="G466" s="226">
        <v>2.7481919999999993E-2</v>
      </c>
      <c r="H466" s="226">
        <v>3.2644044999999997E-2</v>
      </c>
      <c r="I466" s="226">
        <v>3.945941E-2</v>
      </c>
      <c r="J466" s="226">
        <v>5.1121464999999991E-2</v>
      </c>
      <c r="K466" s="226">
        <v>4.6078584999999998E-2</v>
      </c>
    </row>
    <row r="467" spans="1:11" x14ac:dyDescent="0.25">
      <c r="A467" s="224">
        <v>7.1400000000000007E-7</v>
      </c>
      <c r="B467" s="225">
        <f t="shared" si="7"/>
        <v>2.7821327415126047E-19</v>
      </c>
      <c r="C467" s="226">
        <v>1.6043283387840668E-2</v>
      </c>
      <c r="D467" s="226">
        <v>1.8887859999999996E-2</v>
      </c>
      <c r="E467" s="226">
        <v>2.3003719999999991E-2</v>
      </c>
      <c r="F467" s="226">
        <v>2.5372889999999999E-2</v>
      </c>
      <c r="G467" s="226">
        <v>2.7285829999999994E-2</v>
      </c>
      <c r="H467" s="226">
        <v>3.2443699999999999E-2</v>
      </c>
      <c r="I467" s="226">
        <v>3.9185209999999991E-2</v>
      </c>
      <c r="J467" s="226">
        <v>5.0469049999999988E-2</v>
      </c>
      <c r="K467" s="226">
        <v>4.3684059999999997E-2</v>
      </c>
    </row>
    <row r="468" spans="1:11" x14ac:dyDescent="0.25">
      <c r="A468" s="224">
        <v>7.1500000000000004E-7</v>
      </c>
      <c r="B468" s="225">
        <f t="shared" si="7"/>
        <v>2.7782416467692306E-19</v>
      </c>
      <c r="C468" s="226">
        <v>1.5972551662943313E-2</v>
      </c>
      <c r="D468" s="226">
        <v>1.8845854999999995E-2</v>
      </c>
      <c r="E468" s="226">
        <v>2.3422304999999994E-2</v>
      </c>
      <c r="F468" s="226">
        <v>2.4614230000000001E-2</v>
      </c>
      <c r="G468" s="226">
        <v>2.7350224999999992E-2</v>
      </c>
      <c r="H468" s="226">
        <v>3.3218774999999992E-2</v>
      </c>
      <c r="I468" s="226">
        <v>3.9499624999999997E-2</v>
      </c>
      <c r="J468" s="226">
        <v>5.1598574999999994E-2</v>
      </c>
      <c r="K468" s="226">
        <v>4.5852789999999991E-2</v>
      </c>
    </row>
    <row r="469" spans="1:11" x14ac:dyDescent="0.25">
      <c r="A469" s="224">
        <v>7.1600000000000001E-7</v>
      </c>
      <c r="B469" s="225">
        <f t="shared" si="7"/>
        <v>2.7743614210055866E-19</v>
      </c>
      <c r="C469" s="226">
        <v>1.58984392335563E-2</v>
      </c>
      <c r="D469" s="226">
        <v>1.8803849999999997E-2</v>
      </c>
      <c r="E469" s="226">
        <v>2.3840889999999997E-2</v>
      </c>
      <c r="F469" s="226">
        <v>2.385557E-2</v>
      </c>
      <c r="G469" s="226">
        <v>2.7414619999999994E-2</v>
      </c>
      <c r="H469" s="226">
        <v>3.3993849999999992E-2</v>
      </c>
      <c r="I469" s="226">
        <v>3.9814039999999995E-2</v>
      </c>
      <c r="J469" s="226">
        <v>5.2728099999999993E-2</v>
      </c>
      <c r="K469" s="226">
        <v>4.8021519999999991E-2</v>
      </c>
    </row>
    <row r="470" spans="1:11" x14ac:dyDescent="0.25">
      <c r="A470" s="224">
        <v>7.1699999999999997E-7</v>
      </c>
      <c r="B470" s="225">
        <f t="shared" si="7"/>
        <v>2.7704920187447701E-19</v>
      </c>
      <c r="C470" s="226">
        <v>1.5832317119587914E-2</v>
      </c>
      <c r="D470" s="226">
        <v>1.8513994999999998E-2</v>
      </c>
      <c r="E470" s="226">
        <v>2.3720539999999998E-2</v>
      </c>
      <c r="F470" s="226">
        <v>2.4056444999999996E-2</v>
      </c>
      <c r="G470" s="226">
        <v>2.6717929999999997E-2</v>
      </c>
      <c r="H470" s="226">
        <v>3.4092834999999988E-2</v>
      </c>
      <c r="I470" s="226">
        <v>3.9528874999999998E-2</v>
      </c>
      <c r="J470" s="226">
        <v>5.3450999999999999E-2</v>
      </c>
      <c r="K470" s="226">
        <v>5.0028174999999994E-2</v>
      </c>
    </row>
    <row r="471" spans="1:11" x14ac:dyDescent="0.25">
      <c r="A471" s="224">
        <v>7.1800000000000005E-7</v>
      </c>
      <c r="B471" s="225">
        <f t="shared" si="7"/>
        <v>2.766633394763231E-19</v>
      </c>
      <c r="C471" s="226">
        <v>1.5766157679911085E-2</v>
      </c>
      <c r="D471" s="226">
        <v>1.822414E-2</v>
      </c>
      <c r="E471" s="226">
        <v>2.3600189999999997E-2</v>
      </c>
      <c r="F471" s="226">
        <v>2.4257319999999995E-2</v>
      </c>
      <c r="G471" s="226">
        <v>2.6021240000000001E-2</v>
      </c>
      <c r="H471" s="226">
        <v>3.4191819999999991E-2</v>
      </c>
      <c r="I471" s="226">
        <v>3.9243710000000001E-2</v>
      </c>
      <c r="J471" s="226">
        <v>5.4173899999999997E-2</v>
      </c>
      <c r="K471" s="226">
        <v>5.2034829999999997E-2</v>
      </c>
    </row>
    <row r="472" spans="1:11" x14ac:dyDescent="0.25">
      <c r="A472" s="224">
        <v>7.1900000000000002E-7</v>
      </c>
      <c r="B472" s="225">
        <f t="shared" si="7"/>
        <v>2.7627855040890125E-19</v>
      </c>
      <c r="C472" s="226">
        <v>1.5692454814712004E-2</v>
      </c>
      <c r="D472" s="226">
        <v>1.8362214999999998E-2</v>
      </c>
      <c r="E472" s="226">
        <v>2.3132264999999999E-2</v>
      </c>
      <c r="F472" s="226">
        <v>2.4902049999999995E-2</v>
      </c>
      <c r="G472" s="226">
        <v>2.5300719999999999E-2</v>
      </c>
      <c r="H472" s="226">
        <v>3.3294749999999998E-2</v>
      </c>
      <c r="I472" s="226">
        <v>3.8587449999999995E-2</v>
      </c>
      <c r="J472" s="226">
        <v>5.2975695000000003E-2</v>
      </c>
      <c r="K472" s="226">
        <v>5.3560769999999994E-2</v>
      </c>
    </row>
    <row r="473" spans="1:11" x14ac:dyDescent="0.25">
      <c r="A473" s="224">
        <v>7.1999999999999999E-7</v>
      </c>
      <c r="B473" s="225">
        <f t="shared" si="7"/>
        <v>2.7589483020000001E-19</v>
      </c>
      <c r="C473" s="226">
        <v>1.5632872468108704E-2</v>
      </c>
      <c r="D473" s="226">
        <v>1.8500289999999996E-2</v>
      </c>
      <c r="E473" s="226">
        <v>2.2664339999999998E-2</v>
      </c>
      <c r="F473" s="226">
        <v>2.5546779999999998E-2</v>
      </c>
      <c r="G473" s="226">
        <v>2.45802E-2</v>
      </c>
      <c r="H473" s="226">
        <v>3.2397679999999998E-2</v>
      </c>
      <c r="I473" s="226">
        <v>3.7931189999999997E-2</v>
      </c>
      <c r="J473" s="226">
        <v>5.1777490000000002E-2</v>
      </c>
      <c r="K473" s="226">
        <v>5.508670999999999E-2</v>
      </c>
    </row>
    <row r="474" spans="1:11" x14ac:dyDescent="0.25">
      <c r="A474" s="224">
        <v>7.2100000000000006E-7</v>
      </c>
      <c r="B474" s="225">
        <f t="shared" si="7"/>
        <v>2.7551217440221909E-19</v>
      </c>
      <c r="C474" s="226">
        <v>1.5560856457237751E-2</v>
      </c>
      <c r="D474" s="226">
        <v>1.8268699999999999E-2</v>
      </c>
      <c r="E474" s="226">
        <v>2.2653960000000001E-2</v>
      </c>
      <c r="F474" s="226">
        <v>2.5380724999999996E-2</v>
      </c>
      <c r="G474" s="226">
        <v>2.5526460000000001E-2</v>
      </c>
      <c r="H474" s="226">
        <v>3.2530814999999991E-2</v>
      </c>
      <c r="I474" s="226">
        <v>3.7816024999999996E-2</v>
      </c>
      <c r="J474" s="226">
        <v>5.2429904999999999E-2</v>
      </c>
      <c r="K474" s="226">
        <v>5.808213999999999E-2</v>
      </c>
    </row>
    <row r="475" spans="1:11" x14ac:dyDescent="0.25">
      <c r="A475" s="224">
        <v>7.2200000000000003E-7</v>
      </c>
      <c r="B475" s="225">
        <f t="shared" si="7"/>
        <v>2.7513057859279775E-19</v>
      </c>
      <c r="C475" s="226">
        <v>1.5490766884158139E-2</v>
      </c>
      <c r="D475" s="226">
        <v>1.8037109999999999E-2</v>
      </c>
      <c r="E475" s="226">
        <v>2.264358E-2</v>
      </c>
      <c r="F475" s="226">
        <v>2.5214669999999995E-2</v>
      </c>
      <c r="G475" s="226">
        <v>2.6472719999999998E-2</v>
      </c>
      <c r="H475" s="226">
        <v>3.266394999999999E-2</v>
      </c>
      <c r="I475" s="226">
        <v>3.7700859999999996E-2</v>
      </c>
      <c r="J475" s="226">
        <v>5.3082319999999995E-2</v>
      </c>
      <c r="K475" s="226">
        <v>6.1077569999999998E-2</v>
      </c>
    </row>
    <row r="476" spans="1:11" x14ac:dyDescent="0.25">
      <c r="A476" s="224">
        <v>7.23E-7</v>
      </c>
      <c r="B476" s="225">
        <f t="shared" si="7"/>
        <v>2.7475003837344398E-19</v>
      </c>
      <c r="C476" s="226">
        <v>1.5421713404225932E-2</v>
      </c>
      <c r="D476" s="226">
        <v>1.7888254999999999E-2</v>
      </c>
      <c r="E476" s="226">
        <v>2.2560189999999997E-2</v>
      </c>
      <c r="F476" s="226">
        <v>2.4882184999999998E-2</v>
      </c>
      <c r="G476" s="226">
        <v>2.6421605000000001E-2</v>
      </c>
      <c r="H476" s="226">
        <v>3.2775534999999995E-2</v>
      </c>
      <c r="I476" s="226">
        <v>3.8053669999999991E-2</v>
      </c>
      <c r="J476" s="226">
        <v>5.387750999999999E-2</v>
      </c>
      <c r="K476" s="226">
        <v>6.4029289999999989E-2</v>
      </c>
    </row>
    <row r="477" spans="1:11" x14ac:dyDescent="0.25">
      <c r="A477" s="224">
        <v>7.2400000000000008E-7</v>
      </c>
      <c r="B477" s="225">
        <f t="shared" si="7"/>
        <v>2.7437054937016571E-19</v>
      </c>
      <c r="C477" s="226">
        <v>1.5361612311190737E-2</v>
      </c>
      <c r="D477" s="226">
        <v>1.7739399999999995E-2</v>
      </c>
      <c r="E477" s="226">
        <v>2.2476799999999995E-2</v>
      </c>
      <c r="F477" s="226">
        <v>2.4549700000000001E-2</v>
      </c>
      <c r="G477" s="226">
        <v>2.637049E-2</v>
      </c>
      <c r="H477" s="226">
        <v>3.2887119999999992E-2</v>
      </c>
      <c r="I477" s="226">
        <v>3.8406479999999986E-2</v>
      </c>
      <c r="J477" s="226">
        <v>5.4672699999999991E-2</v>
      </c>
      <c r="K477" s="226">
        <v>6.698100999999998E-2</v>
      </c>
    </row>
    <row r="478" spans="1:11" x14ac:dyDescent="0.25">
      <c r="A478" s="224">
        <v>7.2500000000000005E-7</v>
      </c>
      <c r="B478" s="225">
        <f t="shared" si="7"/>
        <v>2.7399210723310342E-19</v>
      </c>
      <c r="C478" s="226">
        <v>1.5290860476387167E-2</v>
      </c>
      <c r="D478" s="226">
        <v>1.7801679999999993E-2</v>
      </c>
      <c r="E478" s="226">
        <v>2.2435834999999998E-2</v>
      </c>
      <c r="F478" s="226">
        <v>2.4681309999999998E-2</v>
      </c>
      <c r="G478" s="226">
        <v>2.6025605E-2</v>
      </c>
      <c r="H478" s="226">
        <v>3.266997499999999E-2</v>
      </c>
      <c r="I478" s="226">
        <v>3.8682509999999989E-2</v>
      </c>
      <c r="J478" s="226">
        <v>5.4725104999999996E-2</v>
      </c>
      <c r="K478" s="226">
        <v>7.0604659999999986E-2</v>
      </c>
    </row>
    <row r="479" spans="1:11" x14ac:dyDescent="0.25">
      <c r="A479" s="224">
        <v>7.2600000000000002E-7</v>
      </c>
      <c r="B479" s="225">
        <f t="shared" si="7"/>
        <v>2.7361470763636364E-19</v>
      </c>
      <c r="C479" s="226">
        <v>1.5225554861225607E-2</v>
      </c>
      <c r="D479" s="226">
        <v>1.7863959999999995E-2</v>
      </c>
      <c r="E479" s="226">
        <v>2.2394870000000001E-2</v>
      </c>
      <c r="F479" s="226">
        <v>2.4812919999999995E-2</v>
      </c>
      <c r="G479" s="226">
        <v>2.5680719999999997E-2</v>
      </c>
      <c r="H479" s="226">
        <v>3.2452829999999995E-2</v>
      </c>
      <c r="I479" s="226">
        <v>3.895854E-2</v>
      </c>
      <c r="J479" s="226">
        <v>5.4777509999999995E-2</v>
      </c>
      <c r="K479" s="226">
        <v>7.4228309999999992E-2</v>
      </c>
    </row>
    <row r="480" spans="1:11" x14ac:dyDescent="0.25">
      <c r="A480" s="224">
        <v>7.2699999999999999E-7</v>
      </c>
      <c r="B480" s="225">
        <f t="shared" si="7"/>
        <v>2.732383462778542E-19</v>
      </c>
      <c r="C480" s="226">
        <v>1.5163899862731638E-2</v>
      </c>
      <c r="D480" s="226">
        <v>1.7904689999999994E-2</v>
      </c>
      <c r="E480" s="226">
        <v>2.2261229999999996E-2</v>
      </c>
      <c r="F480" s="226">
        <v>2.4931584999999992E-2</v>
      </c>
      <c r="G480" s="226">
        <v>2.5797679999999996E-2</v>
      </c>
      <c r="H480" s="226">
        <v>3.2384344999999995E-2</v>
      </c>
      <c r="I480" s="226">
        <v>3.9018859999999995E-2</v>
      </c>
      <c r="J480" s="226">
        <v>5.5368479999999998E-2</v>
      </c>
      <c r="K480" s="226">
        <v>7.8248914999999988E-2</v>
      </c>
    </row>
    <row r="481" spans="1:11" x14ac:dyDescent="0.25">
      <c r="A481" s="224">
        <v>7.2800000000000006E-7</v>
      </c>
      <c r="B481" s="225">
        <f t="shared" si="7"/>
        <v>2.7286301887912084E-19</v>
      </c>
      <c r="C481" s="226">
        <v>1.5096661741634668E-2</v>
      </c>
      <c r="D481" s="226">
        <v>1.7945419999999997E-2</v>
      </c>
      <c r="E481" s="226">
        <v>2.2127589999999992E-2</v>
      </c>
      <c r="F481" s="226">
        <v>2.5050249999999993E-2</v>
      </c>
      <c r="G481" s="226">
        <v>2.5914639999999996E-2</v>
      </c>
      <c r="H481" s="226">
        <v>3.2315859999999995E-2</v>
      </c>
      <c r="I481" s="226">
        <v>3.9079179999999991E-2</v>
      </c>
      <c r="J481" s="226">
        <v>5.5959449999999994E-2</v>
      </c>
      <c r="K481" s="226">
        <v>8.2269519999999985E-2</v>
      </c>
    </row>
    <row r="482" spans="1:11" x14ac:dyDescent="0.25">
      <c r="A482" s="224">
        <v>7.2900000000000003E-7</v>
      </c>
      <c r="B482" s="225">
        <f t="shared" si="7"/>
        <v>2.7248872118518517E-19</v>
      </c>
      <c r="C482" s="226">
        <v>1.503020934035856E-2</v>
      </c>
      <c r="D482" s="226">
        <v>1.7922044999999998E-2</v>
      </c>
      <c r="E482" s="226">
        <v>2.1912199999999993E-2</v>
      </c>
      <c r="F482" s="226">
        <v>2.5260964999999996E-2</v>
      </c>
      <c r="G482" s="226">
        <v>2.5905179999999996E-2</v>
      </c>
      <c r="H482" s="226">
        <v>3.2009589999999991E-2</v>
      </c>
      <c r="I482" s="226">
        <v>3.9389944999999996E-2</v>
      </c>
      <c r="J482" s="226">
        <v>5.6720299999999994E-2</v>
      </c>
      <c r="K482" s="226">
        <v>8.5596359999999996E-2</v>
      </c>
    </row>
    <row r="483" spans="1:11" x14ac:dyDescent="0.25">
      <c r="A483" s="224">
        <v>7.3E-7</v>
      </c>
      <c r="B483" s="225">
        <f t="shared" si="7"/>
        <v>2.7211544896438357E-19</v>
      </c>
      <c r="C483" s="226">
        <v>1.4965271564337482E-2</v>
      </c>
      <c r="D483" s="226">
        <v>1.7898669999999998E-2</v>
      </c>
      <c r="E483" s="226">
        <v>2.1696809999999993E-2</v>
      </c>
      <c r="F483" s="226">
        <v>2.547168E-2</v>
      </c>
      <c r="G483" s="226">
        <v>2.5895719999999997E-2</v>
      </c>
      <c r="H483" s="226">
        <v>3.1703319999999993E-2</v>
      </c>
      <c r="I483" s="226">
        <v>3.9700709999999993E-2</v>
      </c>
      <c r="J483" s="226">
        <v>5.7481149999999995E-2</v>
      </c>
      <c r="K483" s="226">
        <v>8.8923200000000008E-2</v>
      </c>
    </row>
    <row r="484" spans="1:11" x14ac:dyDescent="0.25">
      <c r="A484" s="224">
        <v>7.3100000000000007E-7</v>
      </c>
      <c r="B484" s="225">
        <f t="shared" si="7"/>
        <v>2.717431980082079E-19</v>
      </c>
      <c r="C484" s="226">
        <v>1.4893114735764025E-2</v>
      </c>
      <c r="D484" s="226">
        <v>1.7875289999999999E-2</v>
      </c>
      <c r="E484" s="226">
        <v>2.1863039999999993E-2</v>
      </c>
      <c r="F484" s="226">
        <v>2.5597089999999999E-2</v>
      </c>
      <c r="G484" s="226">
        <v>2.5887174999999998E-2</v>
      </c>
      <c r="H484" s="226">
        <v>3.1782399999999995E-2</v>
      </c>
      <c r="I484" s="226">
        <v>3.9530704999999992E-2</v>
      </c>
      <c r="J484" s="226">
        <v>5.7096209999999994E-2</v>
      </c>
      <c r="K484" s="226">
        <v>9.2330154999999997E-2</v>
      </c>
    </row>
    <row r="485" spans="1:11" x14ac:dyDescent="0.25">
      <c r="A485" s="224">
        <v>7.3200000000000004E-7</v>
      </c>
      <c r="B485" s="225">
        <f t="shared" si="7"/>
        <v>2.7137196413114753E-19</v>
      </c>
      <c r="C485" s="226">
        <v>1.4835660610687021E-2</v>
      </c>
      <c r="D485" s="226">
        <v>1.7851909999999999E-2</v>
      </c>
      <c r="E485" s="226">
        <v>2.2029269999999997E-2</v>
      </c>
      <c r="F485" s="226">
        <v>2.5722499999999999E-2</v>
      </c>
      <c r="G485" s="226">
        <v>2.5878629999999996E-2</v>
      </c>
      <c r="H485" s="226">
        <v>3.1861479999999998E-2</v>
      </c>
      <c r="I485" s="226">
        <v>3.9360699999999992E-2</v>
      </c>
      <c r="J485" s="226">
        <v>5.6711269999999994E-2</v>
      </c>
      <c r="K485" s="226">
        <v>9.5737109999999986E-2</v>
      </c>
    </row>
    <row r="486" spans="1:11" x14ac:dyDescent="0.25">
      <c r="A486" s="224">
        <v>7.3300000000000001E-7</v>
      </c>
      <c r="B486" s="225">
        <f t="shared" si="7"/>
        <v>2.7100174317053205E-19</v>
      </c>
      <c r="C486" s="226">
        <v>1.477613801852104E-2</v>
      </c>
      <c r="D486" s="226">
        <v>1.7463244999999995E-2</v>
      </c>
      <c r="E486" s="226">
        <v>2.1827354999999996E-2</v>
      </c>
      <c r="F486" s="226">
        <v>2.5539854999999997E-2</v>
      </c>
      <c r="G486" s="226">
        <v>2.6023059999999997E-2</v>
      </c>
      <c r="H486" s="226">
        <v>3.1825684999999992E-2</v>
      </c>
      <c r="I486" s="226">
        <v>3.9357039999999996E-2</v>
      </c>
      <c r="J486" s="226">
        <v>5.6743799999999997E-2</v>
      </c>
      <c r="K486" s="226">
        <v>9.7425114999999979E-2</v>
      </c>
    </row>
    <row r="487" spans="1:11" x14ac:dyDescent="0.25">
      <c r="A487" s="224">
        <v>7.3399999999999998E-7</v>
      </c>
      <c r="B487" s="225">
        <f t="shared" si="7"/>
        <v>2.7063253098637605E-19</v>
      </c>
      <c r="C487" s="226">
        <v>1.4722221739603152E-2</v>
      </c>
      <c r="D487" s="226">
        <v>1.7074579999999995E-2</v>
      </c>
      <c r="E487" s="226">
        <v>2.1625439999999996E-2</v>
      </c>
      <c r="F487" s="226">
        <v>2.5357209999999995E-2</v>
      </c>
      <c r="G487" s="226">
        <v>2.6167489999999998E-2</v>
      </c>
      <c r="H487" s="226">
        <v>3.1789889999999994E-2</v>
      </c>
      <c r="I487" s="226">
        <v>3.935338E-2</v>
      </c>
      <c r="J487" s="226">
        <v>5.6776329999999993E-2</v>
      </c>
      <c r="K487" s="226">
        <v>9.9113119999999985E-2</v>
      </c>
    </row>
    <row r="488" spans="1:11" x14ac:dyDescent="0.25">
      <c r="A488" s="224">
        <v>7.3500000000000006E-7</v>
      </c>
      <c r="B488" s="225">
        <f t="shared" si="7"/>
        <v>2.7026432346122446E-19</v>
      </c>
      <c r="C488" s="226">
        <v>1.4657735917730109E-2</v>
      </c>
      <c r="D488" s="226">
        <v>1.7040244999999996E-2</v>
      </c>
      <c r="E488" s="226">
        <v>2.1697719999999997E-2</v>
      </c>
      <c r="F488" s="226">
        <v>2.5125714999999996E-2</v>
      </c>
      <c r="G488" s="226">
        <v>2.614675E-2</v>
      </c>
      <c r="H488" s="226">
        <v>3.1693459999999993E-2</v>
      </c>
      <c r="I488" s="226">
        <v>3.8834229999999997E-2</v>
      </c>
      <c r="J488" s="226">
        <v>5.6962474999999992E-2</v>
      </c>
      <c r="K488" s="226">
        <v>0.10165510999999999</v>
      </c>
    </row>
    <row r="489" spans="1:11" x14ac:dyDescent="0.25">
      <c r="A489" s="224">
        <v>7.3600000000000003E-7</v>
      </c>
      <c r="B489" s="225">
        <f t="shared" si="7"/>
        <v>2.6989711649999997E-19</v>
      </c>
      <c r="C489" s="226">
        <v>1.4593323972602738E-2</v>
      </c>
      <c r="D489" s="226">
        <v>1.7005909999999996E-2</v>
      </c>
      <c r="E489" s="226">
        <v>2.1769999999999998E-2</v>
      </c>
      <c r="F489" s="226">
        <v>2.4894219999999998E-2</v>
      </c>
      <c r="G489" s="226">
        <v>2.6126010000000002E-2</v>
      </c>
      <c r="H489" s="226">
        <v>3.1597029999999998E-2</v>
      </c>
      <c r="I489" s="226">
        <v>3.8315080000000001E-2</v>
      </c>
      <c r="J489" s="226">
        <v>5.714861999999999E-2</v>
      </c>
      <c r="K489" s="226">
        <v>0.1041971</v>
      </c>
    </row>
    <row r="490" spans="1:11" x14ac:dyDescent="0.25">
      <c r="A490" s="224">
        <v>7.37E-7</v>
      </c>
      <c r="B490" s="225">
        <f t="shared" si="7"/>
        <v>2.6953090602985073E-19</v>
      </c>
      <c r="C490" s="226">
        <v>1.4529645208446127E-2</v>
      </c>
      <c r="D490" s="226">
        <v>1.6887739999999998E-2</v>
      </c>
      <c r="E490" s="226">
        <v>2.1711189999999998E-2</v>
      </c>
      <c r="F490" s="226">
        <v>2.4746569999999996E-2</v>
      </c>
      <c r="G490" s="226">
        <v>2.5874074999999996E-2</v>
      </c>
      <c r="H490" s="226">
        <v>3.1614194999999998E-2</v>
      </c>
      <c r="I490" s="226">
        <v>3.8539919999999998E-2</v>
      </c>
      <c r="J490" s="226">
        <v>5.7520909999999995E-2</v>
      </c>
      <c r="K490" s="226">
        <v>0.10663899999999998</v>
      </c>
    </row>
    <row r="491" spans="1:11" x14ac:dyDescent="0.25">
      <c r="A491" s="224">
        <v>7.3800000000000007E-7</v>
      </c>
      <c r="B491" s="225">
        <f t="shared" si="7"/>
        <v>2.6916568799999999E-19</v>
      </c>
      <c r="C491" s="226">
        <v>1.4469235922920889E-2</v>
      </c>
      <c r="D491" s="226">
        <v>1.6769570000000001E-2</v>
      </c>
      <c r="E491" s="226">
        <v>2.1652379999999999E-2</v>
      </c>
      <c r="F491" s="226">
        <v>2.4598919999999993E-2</v>
      </c>
      <c r="G491" s="226">
        <v>2.5622139999999995E-2</v>
      </c>
      <c r="H491" s="226">
        <v>3.1631359999999997E-2</v>
      </c>
      <c r="I491" s="226">
        <v>3.8764759999999995E-2</v>
      </c>
      <c r="J491" s="226">
        <v>5.7893199999999992E-2</v>
      </c>
      <c r="K491" s="226">
        <v>0.10908089999999998</v>
      </c>
    </row>
    <row r="492" spans="1:11" x14ac:dyDescent="0.25">
      <c r="A492" s="224">
        <v>7.3900000000000004E-7</v>
      </c>
      <c r="B492" s="225">
        <f t="shared" si="7"/>
        <v>2.6880145838159675E-19</v>
      </c>
      <c r="C492" s="226">
        <v>1.4400618554640011E-2</v>
      </c>
      <c r="D492" s="226">
        <v>1.6884999999999997E-2</v>
      </c>
      <c r="E492" s="226">
        <v>2.1524019999999998E-2</v>
      </c>
      <c r="F492" s="226">
        <v>2.4491554999999995E-2</v>
      </c>
      <c r="G492" s="226">
        <v>2.5572844999999997E-2</v>
      </c>
      <c r="H492" s="226">
        <v>3.1646885E-2</v>
      </c>
      <c r="I492" s="226">
        <v>3.8883584999999998E-2</v>
      </c>
      <c r="J492" s="226">
        <v>5.7900429999999989E-2</v>
      </c>
      <c r="K492" s="226">
        <v>0.10938314999999998</v>
      </c>
    </row>
    <row r="493" spans="1:11" x14ac:dyDescent="0.25">
      <c r="A493" s="224">
        <v>7.4000000000000001E-7</v>
      </c>
      <c r="B493" s="225">
        <f t="shared" si="7"/>
        <v>2.6843821316756757E-19</v>
      </c>
      <c r="C493" s="226">
        <v>1.4344473036268032E-2</v>
      </c>
      <c r="D493" s="226">
        <v>1.7000429999999997E-2</v>
      </c>
      <c r="E493" s="226">
        <v>2.1395659999999997E-2</v>
      </c>
      <c r="F493" s="226">
        <v>2.4384189999999997E-2</v>
      </c>
      <c r="G493" s="226">
        <v>2.5523549999999996E-2</v>
      </c>
      <c r="H493" s="226">
        <v>3.1662409999999995E-2</v>
      </c>
      <c r="I493" s="226">
        <v>3.9002409999999994E-2</v>
      </c>
      <c r="J493" s="226">
        <v>5.7907659999999993E-2</v>
      </c>
      <c r="K493" s="226">
        <v>0.10968539999999999</v>
      </c>
    </row>
    <row r="494" spans="1:11" x14ac:dyDescent="0.25">
      <c r="A494" s="224">
        <v>7.4099999999999998E-7</v>
      </c>
      <c r="B494" s="225">
        <f t="shared" si="7"/>
        <v>2.6807594837246964E-19</v>
      </c>
      <c r="C494" s="226">
        <v>1.4280496208754205E-2</v>
      </c>
      <c r="D494" s="226">
        <v>1.7063989999999998E-2</v>
      </c>
      <c r="E494" s="226">
        <v>2.1328294999999997E-2</v>
      </c>
      <c r="F494" s="226">
        <v>2.4419004999999994E-2</v>
      </c>
      <c r="G494" s="226">
        <v>2.5484624999999997E-2</v>
      </c>
      <c r="H494" s="226">
        <v>3.1748429999999994E-2</v>
      </c>
      <c r="I494" s="226">
        <v>3.9291234999999994E-2</v>
      </c>
      <c r="J494" s="226">
        <v>5.801609499999999E-2</v>
      </c>
      <c r="K494" s="226">
        <v>0.11041194999999998</v>
      </c>
    </row>
    <row r="495" spans="1:11" x14ac:dyDescent="0.25">
      <c r="A495" s="224">
        <v>7.4200000000000005E-7</v>
      </c>
      <c r="B495" s="225">
        <f t="shared" si="7"/>
        <v>2.6771466003234499E-19</v>
      </c>
      <c r="C495" s="226">
        <v>1.4210040055159421E-2</v>
      </c>
      <c r="D495" s="226">
        <v>1.7127549999999998E-2</v>
      </c>
      <c r="E495" s="226">
        <v>2.1260930000000001E-2</v>
      </c>
      <c r="F495" s="226">
        <v>2.4453819999999994E-2</v>
      </c>
      <c r="G495" s="226">
        <v>2.5445699999999998E-2</v>
      </c>
      <c r="H495" s="226">
        <v>3.1834449999999993E-2</v>
      </c>
      <c r="I495" s="226">
        <v>3.9580059999999993E-2</v>
      </c>
      <c r="J495" s="226">
        <v>5.8124529999999994E-2</v>
      </c>
      <c r="K495" s="226">
        <v>0.11113849999999997</v>
      </c>
    </row>
    <row r="496" spans="1:11" x14ac:dyDescent="0.25">
      <c r="A496" s="224">
        <v>7.4300000000000002E-7</v>
      </c>
      <c r="B496" s="225">
        <f t="shared" si="7"/>
        <v>2.6735434420457601E-19</v>
      </c>
      <c r="C496" s="226">
        <v>1.4154185682062299E-2</v>
      </c>
      <c r="D496" s="226">
        <v>1.6909654999999996E-2</v>
      </c>
      <c r="E496" s="226">
        <v>2.1342859999999998E-2</v>
      </c>
      <c r="F496" s="226">
        <v>2.4448354999999998E-2</v>
      </c>
      <c r="G496" s="226">
        <v>2.5527189999999998E-2</v>
      </c>
      <c r="H496" s="226">
        <v>3.181929E-2</v>
      </c>
      <c r="I496" s="226">
        <v>3.9656835000000001E-2</v>
      </c>
      <c r="J496" s="226">
        <v>5.8263689999999993E-2</v>
      </c>
      <c r="K496" s="226">
        <v>0.11172484999999997</v>
      </c>
    </row>
    <row r="497" spans="1:11" x14ac:dyDescent="0.25">
      <c r="A497" s="224">
        <v>7.4399999999999999E-7</v>
      </c>
      <c r="B497" s="225">
        <f t="shared" si="7"/>
        <v>2.6699499696774193E-19</v>
      </c>
      <c r="C497" s="226">
        <v>1.4092916163133885E-2</v>
      </c>
      <c r="D497" s="226">
        <v>1.6691759999999996E-2</v>
      </c>
      <c r="E497" s="226">
        <v>2.1424789999999996E-2</v>
      </c>
      <c r="F497" s="226">
        <v>2.4442890000000002E-2</v>
      </c>
      <c r="G497" s="226">
        <v>2.5608679999999995E-2</v>
      </c>
      <c r="H497" s="226">
        <v>3.180413E-2</v>
      </c>
      <c r="I497" s="226">
        <v>3.9733610000000003E-2</v>
      </c>
      <c r="J497" s="226">
        <v>5.8402849999999999E-2</v>
      </c>
      <c r="K497" s="226">
        <v>0.11231119999999997</v>
      </c>
    </row>
    <row r="498" spans="1:11" x14ac:dyDescent="0.25">
      <c r="A498" s="224">
        <v>7.4500000000000007E-7</v>
      </c>
      <c r="B498" s="225">
        <f t="shared" si="7"/>
        <v>2.6663661442147649E-19</v>
      </c>
      <c r="C498" s="226">
        <v>1.4032244542409219E-2</v>
      </c>
      <c r="D498" s="226">
        <v>1.674436E-2</v>
      </c>
      <c r="E498" s="226">
        <v>2.1307534999999996E-2</v>
      </c>
      <c r="F498" s="226">
        <v>2.4218314999999997E-2</v>
      </c>
      <c r="G498" s="226">
        <v>2.5717639999999996E-2</v>
      </c>
      <c r="H498" s="226">
        <v>3.1778015E-2</v>
      </c>
      <c r="I498" s="226">
        <v>3.9996845000000003E-2</v>
      </c>
      <c r="J498" s="226">
        <v>5.8578149999999996E-2</v>
      </c>
      <c r="K498" s="226">
        <v>0.11382439999999998</v>
      </c>
    </row>
    <row r="499" spans="1:11" x14ac:dyDescent="0.25">
      <c r="A499" s="224">
        <v>7.4600000000000004E-7</v>
      </c>
      <c r="B499" s="225">
        <f t="shared" si="7"/>
        <v>2.6627919268632705E-19</v>
      </c>
      <c r="C499" s="226">
        <v>1.3968278020861192E-2</v>
      </c>
      <c r="D499" s="226">
        <v>1.679696E-2</v>
      </c>
      <c r="E499" s="226">
        <v>2.1190279999999995E-2</v>
      </c>
      <c r="F499" s="226">
        <v>2.3993739999999996E-2</v>
      </c>
      <c r="G499" s="226">
        <v>2.5826599999999998E-2</v>
      </c>
      <c r="H499" s="226">
        <v>3.17519E-2</v>
      </c>
      <c r="I499" s="226">
        <v>4.0260079999999997E-2</v>
      </c>
      <c r="J499" s="226">
        <v>5.8753449999999992E-2</v>
      </c>
      <c r="K499" s="226">
        <v>0.11533759999999998</v>
      </c>
    </row>
    <row r="500" spans="1:11" x14ac:dyDescent="0.25">
      <c r="A500" s="224">
        <v>7.4700000000000001E-7</v>
      </c>
      <c r="B500" s="225">
        <f t="shared" si="7"/>
        <v>2.6592272790361444E-19</v>
      </c>
      <c r="C500" s="226">
        <v>1.3894248392785569E-2</v>
      </c>
      <c r="D500" s="226">
        <v>1.680591E-2</v>
      </c>
      <c r="E500" s="226">
        <v>2.1222509999999997E-2</v>
      </c>
      <c r="F500" s="226">
        <v>2.3831874999999995E-2</v>
      </c>
      <c r="G500" s="226">
        <v>2.5571389999999999E-2</v>
      </c>
      <c r="H500" s="226">
        <v>3.1399789999999997E-2</v>
      </c>
      <c r="I500" s="226">
        <v>4.0053509999999994E-2</v>
      </c>
      <c r="J500" s="226">
        <v>5.8576339999999991E-2</v>
      </c>
      <c r="K500" s="226">
        <v>0.11628084999999999</v>
      </c>
    </row>
    <row r="501" spans="1:11" x14ac:dyDescent="0.25">
      <c r="A501" s="224">
        <v>7.4799999999999997E-7</v>
      </c>
      <c r="B501" s="225">
        <f t="shared" si="7"/>
        <v>2.6556721623529413E-19</v>
      </c>
      <c r="C501" s="226">
        <v>1.3834041453550451E-2</v>
      </c>
      <c r="D501" s="226">
        <v>1.6814859999999997E-2</v>
      </c>
      <c r="E501" s="226">
        <v>2.1254739999999998E-2</v>
      </c>
      <c r="F501" s="226">
        <v>2.3670009999999998E-2</v>
      </c>
      <c r="G501" s="226">
        <v>2.5316180000000001E-2</v>
      </c>
      <c r="H501" s="226">
        <v>3.1047679999999998E-2</v>
      </c>
      <c r="I501" s="226">
        <v>3.984693999999999E-2</v>
      </c>
      <c r="J501" s="226">
        <v>5.8399229999999989E-2</v>
      </c>
      <c r="K501" s="226">
        <v>0.11722410000000001</v>
      </c>
    </row>
    <row r="502" spans="1:11" x14ac:dyDescent="0.25">
      <c r="A502" s="224">
        <v>7.4900000000000005E-7</v>
      </c>
      <c r="B502" s="225">
        <f t="shared" si="7"/>
        <v>2.6521265386381842E-19</v>
      </c>
      <c r="C502" s="226">
        <v>1.3790795753296923E-2</v>
      </c>
      <c r="D502" s="226">
        <v>1.6627104999999996E-2</v>
      </c>
      <c r="E502" s="226">
        <v>2.1129289999999998E-2</v>
      </c>
      <c r="F502" s="226">
        <v>2.3763519999999996E-2</v>
      </c>
      <c r="G502" s="226">
        <v>2.5170115E-2</v>
      </c>
      <c r="H502" s="226">
        <v>3.1201634999999998E-2</v>
      </c>
      <c r="I502" s="226">
        <v>3.9810379999999992E-2</v>
      </c>
      <c r="J502" s="226">
        <v>5.841368999999999E-2</v>
      </c>
      <c r="K502" s="226">
        <v>0.1170966</v>
      </c>
    </row>
    <row r="503" spans="1:11" x14ac:dyDescent="0.25">
      <c r="A503" s="224">
        <v>7.5000000000000002E-7</v>
      </c>
      <c r="B503" s="225">
        <f t="shared" si="7"/>
        <v>2.6485903699199999E-19</v>
      </c>
      <c r="C503" s="226">
        <v>1.3744447654025282E-2</v>
      </c>
      <c r="D503" s="226">
        <v>1.6439349999999998E-2</v>
      </c>
      <c r="E503" s="226">
        <v>2.1003839999999999E-2</v>
      </c>
      <c r="F503" s="226">
        <v>2.3857029999999998E-2</v>
      </c>
      <c r="G503" s="226">
        <v>2.5024049999999996E-2</v>
      </c>
      <c r="H503" s="226">
        <v>3.1355589999999996E-2</v>
      </c>
      <c r="I503" s="226">
        <v>3.9773819999999994E-2</v>
      </c>
      <c r="J503" s="226">
        <v>5.8428149999999998E-2</v>
      </c>
      <c r="K503" s="226">
        <v>0.11696909999999998</v>
      </c>
    </row>
    <row r="504" spans="1:11" x14ac:dyDescent="0.25">
      <c r="A504" s="224">
        <v>7.5099999999999999E-7</v>
      </c>
      <c r="B504" s="225">
        <f t="shared" si="7"/>
        <v>2.6450636184287615E-19</v>
      </c>
      <c r="C504" s="226">
        <v>1.3685020832114845E-2</v>
      </c>
      <c r="D504" s="226">
        <v>1.6595875E-2</v>
      </c>
      <c r="E504" s="226">
        <v>2.0851445E-2</v>
      </c>
      <c r="F504" s="226">
        <v>2.4027644999999997E-2</v>
      </c>
      <c r="G504" s="226">
        <v>2.4831229999999996E-2</v>
      </c>
      <c r="H504" s="226">
        <v>3.1536939999999999E-2</v>
      </c>
      <c r="I504" s="226">
        <v>3.9706184999999998E-2</v>
      </c>
      <c r="J504" s="226">
        <v>5.8619715000000003E-2</v>
      </c>
      <c r="K504" s="226">
        <v>0.11798334999999999</v>
      </c>
    </row>
    <row r="505" spans="1:11" x14ac:dyDescent="0.25">
      <c r="A505" s="224">
        <v>7.5200000000000006E-7</v>
      </c>
      <c r="B505" s="225">
        <f t="shared" si="7"/>
        <v>2.6415462465957446E-19</v>
      </c>
      <c r="C505" s="226">
        <v>1.3623493762271158E-2</v>
      </c>
      <c r="D505" s="226">
        <v>1.6752400000000001E-2</v>
      </c>
      <c r="E505" s="226">
        <v>2.069905E-2</v>
      </c>
      <c r="F505" s="226">
        <v>2.4198259999999996E-2</v>
      </c>
      <c r="G505" s="226">
        <v>2.4638409999999993E-2</v>
      </c>
      <c r="H505" s="226">
        <v>3.1718289999999996E-2</v>
      </c>
      <c r="I505" s="226">
        <v>3.9638550000000002E-2</v>
      </c>
      <c r="J505" s="226">
        <v>5.8811280000000001E-2</v>
      </c>
      <c r="K505" s="226">
        <v>0.1189976</v>
      </c>
    </row>
    <row r="506" spans="1:11" x14ac:dyDescent="0.25">
      <c r="A506" s="224">
        <v>7.5300000000000003E-7</v>
      </c>
      <c r="B506" s="225">
        <f t="shared" si="7"/>
        <v>2.6380382170517925E-19</v>
      </c>
      <c r="C506" s="226">
        <v>1.3575116381230112E-2</v>
      </c>
      <c r="D506" s="226">
        <v>1.6801530000000002E-2</v>
      </c>
      <c r="E506" s="226">
        <v>2.0470370000000002E-2</v>
      </c>
      <c r="F506" s="226">
        <v>2.4230344999999993E-2</v>
      </c>
      <c r="G506" s="226">
        <v>2.4765924999999994E-2</v>
      </c>
      <c r="H506" s="226">
        <v>3.1156159999999995E-2</v>
      </c>
      <c r="I506" s="226">
        <v>3.9651344999999998E-2</v>
      </c>
      <c r="J506" s="226">
        <v>5.9149234999999994E-2</v>
      </c>
      <c r="K506" s="226">
        <v>0.12057635</v>
      </c>
    </row>
    <row r="507" spans="1:11" x14ac:dyDescent="0.25">
      <c r="A507" s="224">
        <v>7.54E-7</v>
      </c>
      <c r="B507" s="225">
        <f t="shared" si="7"/>
        <v>2.6345394926259945E-19</v>
      </c>
      <c r="C507" s="226">
        <v>1.3526548359592213E-2</v>
      </c>
      <c r="D507" s="226">
        <v>1.685066E-2</v>
      </c>
      <c r="E507" s="226">
        <v>2.024169E-2</v>
      </c>
      <c r="F507" s="226">
        <v>2.4262429999999991E-2</v>
      </c>
      <c r="G507" s="226">
        <v>2.4893439999999999E-2</v>
      </c>
      <c r="H507" s="226">
        <v>3.0594029999999998E-2</v>
      </c>
      <c r="I507" s="226">
        <v>3.9664139999999994E-2</v>
      </c>
      <c r="J507" s="226">
        <v>5.9487189999999995E-2</v>
      </c>
      <c r="K507" s="226">
        <v>0.12215509999999999</v>
      </c>
    </row>
    <row r="508" spans="1:11" x14ac:dyDescent="0.25">
      <c r="A508" s="224">
        <v>7.5500000000000008E-7</v>
      </c>
      <c r="B508" s="225">
        <f t="shared" si="7"/>
        <v>2.6310500363443707E-19</v>
      </c>
      <c r="C508" s="226">
        <v>1.3466314594344608E-2</v>
      </c>
      <c r="D508" s="226">
        <v>1.7003165000000001E-2</v>
      </c>
      <c r="E508" s="226">
        <v>2.0082009999999997E-2</v>
      </c>
      <c r="F508" s="226">
        <v>2.2762249999999994E-2</v>
      </c>
      <c r="G508" s="226">
        <v>2.4721719999999999E-2</v>
      </c>
      <c r="H508" s="226">
        <v>3.0426009999999996E-2</v>
      </c>
      <c r="I508" s="226">
        <v>3.9267464999999994E-2</v>
      </c>
      <c r="J508" s="226">
        <v>5.964441999999999E-2</v>
      </c>
      <c r="K508" s="226">
        <v>0.12188379999999999</v>
      </c>
    </row>
    <row r="509" spans="1:11" x14ac:dyDescent="0.25">
      <c r="A509" s="224">
        <v>7.5600000000000005E-7</v>
      </c>
      <c r="B509" s="225">
        <f t="shared" si="7"/>
        <v>2.6275698114285713E-19</v>
      </c>
      <c r="C509" s="226">
        <v>1.3414067969636963E-2</v>
      </c>
      <c r="D509" s="226">
        <v>1.7155669999999998E-2</v>
      </c>
      <c r="E509" s="226">
        <v>1.9922329999999995E-2</v>
      </c>
      <c r="F509" s="226">
        <v>2.1262069999999997E-2</v>
      </c>
      <c r="G509" s="226">
        <v>2.4549999999999999E-2</v>
      </c>
      <c r="H509" s="226">
        <v>3.0257989999999995E-2</v>
      </c>
      <c r="I509" s="226">
        <v>3.8870789999999995E-2</v>
      </c>
      <c r="J509" s="226">
        <v>5.9801649999999991E-2</v>
      </c>
      <c r="K509" s="226">
        <v>0.12161249999999998</v>
      </c>
    </row>
    <row r="510" spans="1:11" x14ac:dyDescent="0.25">
      <c r="A510" s="224">
        <v>7.5700000000000002E-7</v>
      </c>
      <c r="B510" s="225">
        <f t="shared" si="7"/>
        <v>2.6240987812945839E-19</v>
      </c>
      <c r="C510" s="226">
        <v>1.3355516182249765E-2</v>
      </c>
      <c r="D510" s="226">
        <v>1.5971050000000001E-2</v>
      </c>
      <c r="E510" s="226">
        <v>2.0281559999999997E-2</v>
      </c>
      <c r="F510" s="226">
        <v>1.8890949999999997E-2</v>
      </c>
      <c r="G510" s="226">
        <v>2.5550104999999997E-2</v>
      </c>
      <c r="H510" s="226">
        <v>3.0922029999999996E-2</v>
      </c>
      <c r="I510" s="226">
        <v>3.8583789999999993E-2</v>
      </c>
      <c r="J510" s="226">
        <v>6.2339014999999998E-2</v>
      </c>
      <c r="K510" s="226">
        <v>0.11517369999999999</v>
      </c>
    </row>
    <row r="511" spans="1:11" x14ac:dyDescent="0.25">
      <c r="A511" s="224">
        <v>7.5799999999999998E-7</v>
      </c>
      <c r="B511" s="225">
        <f t="shared" si="7"/>
        <v>2.6206369095514513E-19</v>
      </c>
      <c r="C511" s="226">
        <v>1.3300890880494864E-2</v>
      </c>
      <c r="D511" s="226">
        <v>1.4786430000000001E-2</v>
      </c>
      <c r="E511" s="226">
        <v>2.0640789999999996E-2</v>
      </c>
      <c r="F511" s="226">
        <v>1.6519829999999996E-2</v>
      </c>
      <c r="G511" s="226">
        <v>2.6550209999999998E-2</v>
      </c>
      <c r="H511" s="226">
        <v>3.1586070000000001E-2</v>
      </c>
      <c r="I511" s="226">
        <v>3.829678999999999E-2</v>
      </c>
      <c r="J511" s="226">
        <v>6.4876379999999997E-2</v>
      </c>
      <c r="K511" s="226">
        <v>0.10873489999999998</v>
      </c>
    </row>
    <row r="512" spans="1:11" x14ac:dyDescent="0.25">
      <c r="A512" s="224">
        <v>7.5900000000000006E-7</v>
      </c>
      <c r="B512" s="225">
        <f t="shared" si="7"/>
        <v>2.6171841599999997E-19</v>
      </c>
      <c r="C512" s="226">
        <v>1.3241893475345167E-2</v>
      </c>
      <c r="D512" s="226">
        <v>1.3801435000000001E-2</v>
      </c>
      <c r="E512" s="226">
        <v>1.9476804999999996E-2</v>
      </c>
      <c r="F512" s="226">
        <v>1.6711044999999994E-2</v>
      </c>
      <c r="G512" s="226">
        <v>2.4486884999999996E-2</v>
      </c>
      <c r="H512" s="226">
        <v>2.9351784999999998E-2</v>
      </c>
      <c r="I512" s="226">
        <v>3.6478654999999992E-2</v>
      </c>
      <c r="J512" s="226">
        <v>6.1189604999999994E-2</v>
      </c>
      <c r="K512" s="226">
        <v>0.10370912999999998</v>
      </c>
    </row>
    <row r="513" spans="1:11" x14ac:dyDescent="0.25">
      <c r="A513" s="224">
        <v>7.6000000000000003E-7</v>
      </c>
      <c r="B513" s="225">
        <f t="shared" si="7"/>
        <v>2.6137404966315789E-19</v>
      </c>
      <c r="C513" s="226">
        <v>1.3189917764644076E-2</v>
      </c>
      <c r="D513" s="226">
        <v>1.2816439999999998E-2</v>
      </c>
      <c r="E513" s="226">
        <v>1.8312819999999997E-2</v>
      </c>
      <c r="F513" s="226">
        <v>1.6902259999999995E-2</v>
      </c>
      <c r="G513" s="226">
        <v>2.2423559999999995E-2</v>
      </c>
      <c r="H513" s="226">
        <v>2.7117499999999996E-2</v>
      </c>
      <c r="I513" s="226">
        <v>3.4660519999999993E-2</v>
      </c>
      <c r="J513" s="226">
        <v>5.7502829999999998E-2</v>
      </c>
      <c r="K513" s="226">
        <v>9.8683359999999998E-2</v>
      </c>
    </row>
    <row r="514" spans="1:11" x14ac:dyDescent="0.25">
      <c r="A514" s="224">
        <v>7.61E-7</v>
      </c>
      <c r="B514" s="225">
        <f t="shared" si="7"/>
        <v>2.610305883626807E-19</v>
      </c>
      <c r="C514" s="226">
        <v>1.3137499735220864E-2</v>
      </c>
      <c r="D514" s="226">
        <v>1.4466254999999997E-2</v>
      </c>
      <c r="E514" s="226">
        <v>1.7963054999999999E-2</v>
      </c>
      <c r="F514" s="226">
        <v>1.9219604999999997E-2</v>
      </c>
      <c r="G514" s="226">
        <v>2.1661749999999997E-2</v>
      </c>
      <c r="H514" s="226">
        <v>2.6606684999999998E-2</v>
      </c>
      <c r="I514" s="226">
        <v>3.4733094999999992E-2</v>
      </c>
      <c r="J514" s="226">
        <v>5.5767879999999992E-2</v>
      </c>
      <c r="K514" s="226">
        <v>0.10252367999999999</v>
      </c>
    </row>
    <row r="515" spans="1:11" x14ac:dyDescent="0.25">
      <c r="A515" s="224">
        <v>7.6200000000000007E-7</v>
      </c>
      <c r="B515" s="225">
        <f t="shared" ref="B515:B578" si="8">h_planck*c_light/A515</f>
        <v>2.6068802853543304E-19</v>
      </c>
      <c r="C515" s="226">
        <v>1.3078257236773177E-2</v>
      </c>
      <c r="D515" s="226">
        <v>1.6116069999999996E-2</v>
      </c>
      <c r="E515" s="226">
        <v>1.7613289999999997E-2</v>
      </c>
      <c r="F515" s="226">
        <v>2.1536949999999999E-2</v>
      </c>
      <c r="G515" s="226">
        <v>2.0899939999999999E-2</v>
      </c>
      <c r="H515" s="226">
        <v>2.6095869999999997E-2</v>
      </c>
      <c r="I515" s="226">
        <v>3.480566999999999E-2</v>
      </c>
      <c r="J515" s="226">
        <v>5.4032929999999993E-2</v>
      </c>
      <c r="K515" s="226">
        <v>0.10636399999999999</v>
      </c>
    </row>
    <row r="516" spans="1:11" x14ac:dyDescent="0.25">
      <c r="A516" s="224">
        <v>7.6300000000000004E-7</v>
      </c>
      <c r="B516" s="225">
        <f t="shared" si="8"/>
        <v>2.6034636663695935E-19</v>
      </c>
      <c r="C516" s="226">
        <v>1.3026484578754577E-2</v>
      </c>
      <c r="D516" s="226">
        <v>1.5972694999999995E-2</v>
      </c>
      <c r="E516" s="226">
        <v>1.8447180000000001E-2</v>
      </c>
      <c r="F516" s="226">
        <v>2.2745294999999999E-2</v>
      </c>
      <c r="G516" s="226">
        <v>2.2120509999999996E-2</v>
      </c>
      <c r="H516" s="226">
        <v>2.7586674999999998E-2</v>
      </c>
      <c r="I516" s="226">
        <v>3.5975409999999992E-2</v>
      </c>
      <c r="J516" s="226">
        <v>5.4880524999999999E-2</v>
      </c>
      <c r="K516" s="226">
        <v>9.7037229999999988E-2</v>
      </c>
    </row>
    <row r="517" spans="1:11" x14ac:dyDescent="0.25">
      <c r="A517" s="224">
        <v>7.6400000000000001E-7</v>
      </c>
      <c r="B517" s="225">
        <f t="shared" si="8"/>
        <v>2.6000559914136126E-19</v>
      </c>
      <c r="C517" s="226">
        <v>1.2974767451313554E-2</v>
      </c>
      <c r="D517" s="226">
        <v>1.5829319999999997E-2</v>
      </c>
      <c r="E517" s="226">
        <v>1.9281070000000001E-2</v>
      </c>
      <c r="F517" s="226">
        <v>2.3953639999999998E-2</v>
      </c>
      <c r="G517" s="226">
        <v>2.3341079999999997E-2</v>
      </c>
      <c r="H517" s="226">
        <v>2.9077479999999999E-2</v>
      </c>
      <c r="I517" s="226">
        <v>3.7145149999999995E-2</v>
      </c>
      <c r="J517" s="226">
        <v>5.5728119999999999E-2</v>
      </c>
      <c r="K517" s="226">
        <v>8.771045999999999E-2</v>
      </c>
    </row>
    <row r="518" spans="1:11" x14ac:dyDescent="0.25">
      <c r="A518" s="224">
        <v>7.6499999999999998E-7</v>
      </c>
      <c r="B518" s="225">
        <f t="shared" si="8"/>
        <v>2.5966572254117647E-19</v>
      </c>
      <c r="C518" s="226">
        <v>1.2915227628798745E-2</v>
      </c>
      <c r="D518" s="226">
        <v>1.5626769999999998E-2</v>
      </c>
      <c r="E518" s="226">
        <v>1.9362094999999999E-2</v>
      </c>
      <c r="F518" s="226">
        <v>2.4022724999999998E-2</v>
      </c>
      <c r="G518" s="226">
        <v>2.3195739999999999E-2</v>
      </c>
      <c r="H518" s="226">
        <v>2.9190344999999999E-2</v>
      </c>
      <c r="I518" s="226">
        <v>3.7514409999999998E-2</v>
      </c>
      <c r="J518" s="226">
        <v>5.5612460000000002E-2</v>
      </c>
      <c r="K518" s="226">
        <v>8.3642504999999978E-2</v>
      </c>
    </row>
    <row r="519" spans="1:11" x14ac:dyDescent="0.25">
      <c r="A519" s="224">
        <v>7.6600000000000006E-7</v>
      </c>
      <c r="B519" s="225">
        <f t="shared" si="8"/>
        <v>2.5932673334725845E-19</v>
      </c>
      <c r="C519" s="226">
        <v>1.2858912740065145E-2</v>
      </c>
      <c r="D519" s="226">
        <v>1.5424219999999997E-2</v>
      </c>
      <c r="E519" s="226">
        <v>1.9443119999999998E-2</v>
      </c>
      <c r="F519" s="226">
        <v>2.4091809999999998E-2</v>
      </c>
      <c r="G519" s="226">
        <v>2.3050399999999999E-2</v>
      </c>
      <c r="H519" s="226">
        <v>2.930321E-2</v>
      </c>
      <c r="I519" s="226">
        <v>3.7883669999999994E-2</v>
      </c>
      <c r="J519" s="226">
        <v>5.5496799999999999E-2</v>
      </c>
      <c r="K519" s="226">
        <v>7.957454999999998E-2</v>
      </c>
    </row>
    <row r="520" spans="1:11" x14ac:dyDescent="0.25">
      <c r="A520" s="224">
        <v>7.6700000000000003E-7</v>
      </c>
      <c r="B520" s="225">
        <f t="shared" si="8"/>
        <v>2.5898862808865708E-19</v>
      </c>
      <c r="C520" s="226">
        <v>1.2804242189533974E-2</v>
      </c>
      <c r="D520" s="226">
        <v>1.4884139999999997E-2</v>
      </c>
      <c r="E520" s="226">
        <v>1.9132319999999994E-2</v>
      </c>
      <c r="F520" s="226">
        <v>2.3711024999999997E-2</v>
      </c>
      <c r="G520" s="226">
        <v>2.2746984999999997E-2</v>
      </c>
      <c r="H520" s="226">
        <v>2.9095009999999998E-2</v>
      </c>
      <c r="I520" s="226">
        <v>3.7197979999999992E-2</v>
      </c>
      <c r="J520" s="226">
        <v>5.3669674999999993E-2</v>
      </c>
      <c r="K520" s="226">
        <v>7.3804029999999993E-2</v>
      </c>
    </row>
    <row r="521" spans="1:11" x14ac:dyDescent="0.25">
      <c r="A521" s="224">
        <v>7.6799999999999999E-7</v>
      </c>
      <c r="B521" s="225">
        <f t="shared" si="8"/>
        <v>2.5865140331250001E-19</v>
      </c>
      <c r="C521" s="226">
        <v>1.2760716017147308E-2</v>
      </c>
      <c r="D521" s="226">
        <v>1.4344059999999999E-2</v>
      </c>
      <c r="E521" s="226">
        <v>1.8821519999999994E-2</v>
      </c>
      <c r="F521" s="226">
        <v>2.3330239999999995E-2</v>
      </c>
      <c r="G521" s="226">
        <v>2.2443569999999996E-2</v>
      </c>
      <c r="H521" s="226">
        <v>2.8886809999999999E-2</v>
      </c>
      <c r="I521" s="226">
        <v>3.6512289999999996E-2</v>
      </c>
      <c r="J521" s="226">
        <v>5.1842549999999987E-2</v>
      </c>
      <c r="K521" s="226">
        <v>6.8033509999999991E-2</v>
      </c>
    </row>
    <row r="522" spans="1:11" x14ac:dyDescent="0.25">
      <c r="A522" s="224">
        <v>7.6900000000000007E-7</v>
      </c>
      <c r="B522" s="225">
        <f t="shared" si="8"/>
        <v>2.5831505558387514E-19</v>
      </c>
      <c r="C522" s="226">
        <v>1.2705393436729396E-2</v>
      </c>
      <c r="D522" s="226">
        <v>1.4328169999999998E-2</v>
      </c>
      <c r="E522" s="226">
        <v>1.9318944999999997E-2</v>
      </c>
      <c r="F522" s="226">
        <v>2.3065929999999998E-2</v>
      </c>
      <c r="G522" s="226">
        <v>2.3026929999999998E-2</v>
      </c>
      <c r="H522" s="226">
        <v>2.9850544999999999E-2</v>
      </c>
      <c r="I522" s="226">
        <v>3.7649494999999998E-2</v>
      </c>
      <c r="J522" s="226">
        <v>5.3391359999999992E-2</v>
      </c>
      <c r="K522" s="226">
        <v>7.1646229999999991E-2</v>
      </c>
    </row>
    <row r="523" spans="1:11" x14ac:dyDescent="0.25">
      <c r="A523" s="224">
        <v>7.7000000000000004E-7</v>
      </c>
      <c r="B523" s="225">
        <f t="shared" si="8"/>
        <v>2.5797958148571426E-19</v>
      </c>
      <c r="C523" s="226">
        <v>1.2650131502657848E-2</v>
      </c>
      <c r="D523" s="226">
        <v>1.4312279999999998E-2</v>
      </c>
      <c r="E523" s="226">
        <v>1.981637E-2</v>
      </c>
      <c r="F523" s="226">
        <v>2.2801619999999998E-2</v>
      </c>
      <c r="G523" s="226">
        <v>2.3610289999999999E-2</v>
      </c>
      <c r="H523" s="226">
        <v>3.0814279999999996E-2</v>
      </c>
      <c r="I523" s="226">
        <v>3.87867E-2</v>
      </c>
      <c r="J523" s="226">
        <v>5.4940169999999997E-2</v>
      </c>
      <c r="K523" s="226">
        <v>7.5258949999999991E-2</v>
      </c>
    </row>
    <row r="524" spans="1:11" x14ac:dyDescent="0.25">
      <c r="A524" s="224">
        <v>7.7100000000000001E-7</v>
      </c>
      <c r="B524" s="225">
        <f t="shared" si="8"/>
        <v>2.5764497761867704E-19</v>
      </c>
      <c r="C524" s="226">
        <v>1.2590989642857143E-2</v>
      </c>
      <c r="D524" s="226">
        <v>1.4356844999999998E-2</v>
      </c>
      <c r="E524" s="226">
        <v>1.9857699999999999E-2</v>
      </c>
      <c r="F524" s="226">
        <v>2.2779379999999995E-2</v>
      </c>
      <c r="G524" s="226">
        <v>2.3873325000000001E-2</v>
      </c>
      <c r="H524" s="226">
        <v>3.0948879999999998E-2</v>
      </c>
      <c r="I524" s="226">
        <v>3.8293139999999996E-2</v>
      </c>
      <c r="J524" s="226">
        <v>5.5137159999999991E-2</v>
      </c>
      <c r="K524" s="226">
        <v>7.9827659999999995E-2</v>
      </c>
    </row>
    <row r="525" spans="1:11" x14ac:dyDescent="0.25">
      <c r="A525" s="224">
        <v>7.7199999999999998E-7</v>
      </c>
      <c r="B525" s="225">
        <f t="shared" si="8"/>
        <v>2.5731124060103626E-19</v>
      </c>
      <c r="C525" s="226">
        <v>1.2542876662789193E-2</v>
      </c>
      <c r="D525" s="226">
        <v>1.4401409999999998E-2</v>
      </c>
      <c r="E525" s="226">
        <v>1.9899029999999998E-2</v>
      </c>
      <c r="F525" s="226">
        <v>2.2757139999999995E-2</v>
      </c>
      <c r="G525" s="226">
        <v>2.4136359999999999E-2</v>
      </c>
      <c r="H525" s="226">
        <v>3.1083479999999997E-2</v>
      </c>
      <c r="I525" s="226">
        <v>3.7799579999999992E-2</v>
      </c>
      <c r="J525" s="226">
        <v>5.5334149999999992E-2</v>
      </c>
      <c r="K525" s="226">
        <v>8.4396369999999984E-2</v>
      </c>
    </row>
    <row r="526" spans="1:11" x14ac:dyDescent="0.25">
      <c r="A526" s="224">
        <v>7.7300000000000005E-7</v>
      </c>
      <c r="B526" s="225">
        <f t="shared" si="8"/>
        <v>2.5697836706856402E-19</v>
      </c>
      <c r="C526" s="226">
        <v>1.2501994891528924E-2</v>
      </c>
      <c r="D526" s="226">
        <v>1.4526889999999999E-2</v>
      </c>
      <c r="E526" s="226">
        <v>1.9874994999999999E-2</v>
      </c>
      <c r="F526" s="226">
        <v>2.2459294999999997E-2</v>
      </c>
      <c r="G526" s="226">
        <v>2.3769824999999998E-2</v>
      </c>
      <c r="H526" s="226">
        <v>3.1197984999999998E-2</v>
      </c>
      <c r="I526" s="226">
        <v>3.8176149999999992E-2</v>
      </c>
      <c r="J526" s="226">
        <v>5.5771499999999988E-2</v>
      </c>
      <c r="K526" s="226">
        <v>8.4538399999999986E-2</v>
      </c>
    </row>
    <row r="527" spans="1:11" x14ac:dyDescent="0.25">
      <c r="A527" s="224">
        <v>7.7400000000000002E-7</v>
      </c>
      <c r="B527" s="225">
        <f t="shared" si="8"/>
        <v>2.566463536744186E-19</v>
      </c>
      <c r="C527" s="226">
        <v>1.2453495180598552E-2</v>
      </c>
      <c r="D527" s="226">
        <v>1.465237E-2</v>
      </c>
      <c r="E527" s="226">
        <v>1.9850959999999997E-2</v>
      </c>
      <c r="F527" s="226">
        <v>2.2161449999999999E-2</v>
      </c>
      <c r="G527" s="226">
        <v>2.3403289999999997E-2</v>
      </c>
      <c r="H527" s="226">
        <v>3.1312489999999998E-2</v>
      </c>
      <c r="I527" s="226">
        <v>3.8552719999999999E-2</v>
      </c>
      <c r="J527" s="226">
        <v>5.6208849999999991E-2</v>
      </c>
      <c r="K527" s="226">
        <v>8.4680429999999987E-2</v>
      </c>
    </row>
    <row r="528" spans="1:11" x14ac:dyDescent="0.25">
      <c r="A528" s="224">
        <v>7.7499999999999999E-7</v>
      </c>
      <c r="B528" s="225">
        <f t="shared" si="8"/>
        <v>2.5631519708903228E-19</v>
      </c>
      <c r="C528" s="226">
        <v>1.2394619902162715E-2</v>
      </c>
      <c r="D528" s="226">
        <v>1.4674649999999999E-2</v>
      </c>
      <c r="E528" s="226">
        <v>1.9735524999999997E-2</v>
      </c>
      <c r="F528" s="226">
        <v>2.1958204999999998E-2</v>
      </c>
      <c r="G528" s="226">
        <v>2.3352174999999996E-2</v>
      </c>
      <c r="H528" s="226">
        <v>3.1388464999999997E-2</v>
      </c>
      <c r="I528" s="226">
        <v>3.8611214999999997E-2</v>
      </c>
      <c r="J528" s="226">
        <v>5.6521504999999993E-2</v>
      </c>
      <c r="K528" s="226">
        <v>8.3793639999999989E-2</v>
      </c>
    </row>
    <row r="529" spans="1:11" x14ac:dyDescent="0.25">
      <c r="A529" s="224">
        <v>7.7600000000000007E-7</v>
      </c>
      <c r="B529" s="225">
        <f t="shared" si="8"/>
        <v>2.5598489399999998E-19</v>
      </c>
      <c r="C529" s="226">
        <v>1.2322194729868792E-2</v>
      </c>
      <c r="D529" s="226">
        <v>1.4696929999999999E-2</v>
      </c>
      <c r="E529" s="226">
        <v>1.9620089999999996E-2</v>
      </c>
      <c r="F529" s="226">
        <v>2.1754959999999997E-2</v>
      </c>
      <c r="G529" s="226">
        <v>2.3301059999999992E-2</v>
      </c>
      <c r="H529" s="226">
        <v>3.1464439999999996E-2</v>
      </c>
      <c r="I529" s="226">
        <v>3.8669709999999996E-2</v>
      </c>
      <c r="J529" s="226">
        <v>5.6834159999999995E-2</v>
      </c>
      <c r="K529" s="226">
        <v>8.290684999999999E-2</v>
      </c>
    </row>
    <row r="530" spans="1:11" x14ac:dyDescent="0.25">
      <c r="A530" s="224">
        <v>7.7700000000000004E-7</v>
      </c>
      <c r="B530" s="225">
        <f t="shared" si="8"/>
        <v>2.5565544111196909E-19</v>
      </c>
      <c r="C530" s="226">
        <v>1.2128667424203489E-2</v>
      </c>
      <c r="D530" s="226">
        <v>1.4594099999999999E-2</v>
      </c>
      <c r="E530" s="226">
        <v>1.9769934999999999E-2</v>
      </c>
      <c r="F530" s="226">
        <v>2.1789409999999995E-2</v>
      </c>
      <c r="G530" s="226">
        <v>2.3296149999999995E-2</v>
      </c>
      <c r="H530" s="226">
        <v>3.1246014999999995E-2</v>
      </c>
      <c r="I530" s="226">
        <v>3.8644119999999997E-2</v>
      </c>
      <c r="J530" s="226">
        <v>5.7143194999999994E-2</v>
      </c>
      <c r="K530" s="226">
        <v>8.4773299999999982E-2</v>
      </c>
    </row>
    <row r="531" spans="1:11" x14ac:dyDescent="0.25">
      <c r="A531" s="224">
        <v>7.7800000000000001E-7</v>
      </c>
      <c r="B531" s="225">
        <f t="shared" si="8"/>
        <v>2.5532683514652956E-19</v>
      </c>
      <c r="C531" s="226">
        <v>1.2046365342992695E-2</v>
      </c>
      <c r="D531" s="226">
        <v>1.4491269999999999E-2</v>
      </c>
      <c r="E531" s="226">
        <v>1.9919780000000002E-2</v>
      </c>
      <c r="F531" s="226">
        <v>2.1823859999999997E-2</v>
      </c>
      <c r="G531" s="226">
        <v>2.3291239999999994E-2</v>
      </c>
      <c r="H531" s="226">
        <v>3.1027589999999997E-2</v>
      </c>
      <c r="I531" s="226">
        <v>3.8618529999999998E-2</v>
      </c>
      <c r="J531" s="226">
        <v>5.7452229999999993E-2</v>
      </c>
      <c r="K531" s="226">
        <v>8.6639749999999974E-2</v>
      </c>
    </row>
    <row r="532" spans="1:11" x14ac:dyDescent="0.25">
      <c r="A532" s="224">
        <v>7.7900000000000008E-7</v>
      </c>
      <c r="B532" s="225">
        <f t="shared" si="8"/>
        <v>2.5499907284210525E-19</v>
      </c>
      <c r="C532" s="226">
        <v>1.2157875323427691E-2</v>
      </c>
      <c r="D532" s="226">
        <v>1.4419129999999999E-2</v>
      </c>
      <c r="E532" s="226">
        <v>1.9977500000000002E-2</v>
      </c>
      <c r="F532" s="226">
        <v>2.1840815E-2</v>
      </c>
      <c r="G532" s="226">
        <v>2.3485509999999998E-2</v>
      </c>
      <c r="H532" s="226">
        <v>3.0866149999999995E-2</v>
      </c>
      <c r="I532" s="226">
        <v>3.8592934999999995E-2</v>
      </c>
      <c r="J532" s="226">
        <v>5.7238974999999991E-2</v>
      </c>
      <c r="K532" s="226">
        <v>8.7353554999999986E-2</v>
      </c>
    </row>
    <row r="533" spans="1:11" x14ac:dyDescent="0.25">
      <c r="A533" s="224">
        <v>7.8000000000000005E-7</v>
      </c>
      <c r="B533" s="225">
        <f t="shared" si="8"/>
        <v>2.5467215095384615E-19</v>
      </c>
      <c r="C533" s="226">
        <v>1.2146090772971588E-2</v>
      </c>
      <c r="D533" s="226">
        <v>1.4346989999999997E-2</v>
      </c>
      <c r="E533" s="226">
        <v>2.0035219999999999E-2</v>
      </c>
      <c r="F533" s="226">
        <v>2.1857769999999999E-2</v>
      </c>
      <c r="G533" s="226">
        <v>2.3679780000000001E-2</v>
      </c>
      <c r="H533" s="226">
        <v>3.0704709999999993E-2</v>
      </c>
      <c r="I533" s="226">
        <v>3.8567339999999992E-2</v>
      </c>
      <c r="J533" s="226">
        <v>5.7025719999999988E-2</v>
      </c>
      <c r="K533" s="226">
        <v>8.8067359999999997E-2</v>
      </c>
    </row>
    <row r="534" spans="1:11" x14ac:dyDescent="0.25">
      <c r="A534" s="224">
        <v>7.8100000000000002E-7</v>
      </c>
      <c r="B534" s="225">
        <f t="shared" si="8"/>
        <v>2.543460662535211E-19</v>
      </c>
      <c r="C534" s="226">
        <v>1.2098075768345691E-2</v>
      </c>
      <c r="D534" s="226">
        <v>1.4414929999999996E-2</v>
      </c>
      <c r="E534" s="226">
        <v>1.9849139999999998E-2</v>
      </c>
      <c r="F534" s="226">
        <v>2.1742930000000001E-2</v>
      </c>
      <c r="G534" s="226">
        <v>2.3610295000000003E-2</v>
      </c>
      <c r="H534" s="226">
        <v>3.0571569999999992E-2</v>
      </c>
      <c r="I534" s="226">
        <v>3.8934769999999994E-2</v>
      </c>
      <c r="J534" s="226">
        <v>5.6825114999999989E-2</v>
      </c>
      <c r="K534" s="226">
        <v>8.8968720000000001E-2</v>
      </c>
    </row>
    <row r="535" spans="1:11" x14ac:dyDescent="0.25">
      <c r="A535" s="224">
        <v>7.8199999999999999E-7</v>
      </c>
      <c r="B535" s="225">
        <f t="shared" si="8"/>
        <v>2.5402081552941178E-19</v>
      </c>
      <c r="C535" s="226">
        <v>1.2053644897282121E-2</v>
      </c>
      <c r="D535" s="226">
        <v>1.4482869999999997E-2</v>
      </c>
      <c r="E535" s="226">
        <v>1.9663059999999996E-2</v>
      </c>
      <c r="F535" s="226">
        <v>2.1628089999999999E-2</v>
      </c>
      <c r="G535" s="226">
        <v>2.3540810000000002E-2</v>
      </c>
      <c r="H535" s="226">
        <v>3.0438429999999995E-2</v>
      </c>
      <c r="I535" s="226">
        <v>3.9302199999999995E-2</v>
      </c>
      <c r="J535" s="226">
        <v>5.6624509999999989E-2</v>
      </c>
      <c r="K535" s="226">
        <v>8.9870079999999991E-2</v>
      </c>
    </row>
    <row r="536" spans="1:11" x14ac:dyDescent="0.25">
      <c r="A536" s="224">
        <v>7.8300000000000006E-7</v>
      </c>
      <c r="B536" s="225">
        <f t="shared" si="8"/>
        <v>2.5369639558620685E-19</v>
      </c>
      <c r="C536" s="226">
        <v>1.1997112939077235E-2</v>
      </c>
      <c r="D536" s="226">
        <v>1.4387164999999997E-2</v>
      </c>
      <c r="E536" s="226">
        <v>1.9791604999999997E-2</v>
      </c>
      <c r="F536" s="226">
        <v>2.1618245000000001E-2</v>
      </c>
      <c r="G536" s="226">
        <v>2.3646859999999999E-2</v>
      </c>
      <c r="H536" s="226">
        <v>3.0378709999999996E-2</v>
      </c>
      <c r="I536" s="226">
        <v>3.9128539999999996E-2</v>
      </c>
      <c r="J536" s="226">
        <v>5.7246204999999994E-2</v>
      </c>
      <c r="K536" s="226">
        <v>9.0044889999999989E-2</v>
      </c>
    </row>
    <row r="537" spans="1:11" x14ac:dyDescent="0.25">
      <c r="A537" s="224">
        <v>7.8400000000000003E-7</v>
      </c>
      <c r="B537" s="225">
        <f t="shared" si="8"/>
        <v>2.5337280324489793E-19</v>
      </c>
      <c r="C537" s="226">
        <v>1.1946731604278074E-2</v>
      </c>
      <c r="D537" s="226">
        <v>1.4291459999999999E-2</v>
      </c>
      <c r="E537" s="226">
        <v>1.9920149999999998E-2</v>
      </c>
      <c r="F537" s="226">
        <v>2.16084E-2</v>
      </c>
      <c r="G537" s="226">
        <v>2.3752909999999999E-2</v>
      </c>
      <c r="H537" s="226">
        <v>3.0318989999999994E-2</v>
      </c>
      <c r="I537" s="226">
        <v>3.8954879999999997E-2</v>
      </c>
      <c r="J537" s="226">
        <v>5.7867899999999993E-2</v>
      </c>
      <c r="K537" s="226">
        <v>9.0219699999999972E-2</v>
      </c>
    </row>
    <row r="538" spans="1:11" x14ac:dyDescent="0.25">
      <c r="A538" s="224">
        <v>7.85E-7</v>
      </c>
      <c r="B538" s="225">
        <f t="shared" si="8"/>
        <v>2.5305003534267514E-19</v>
      </c>
      <c r="C538" s="226">
        <v>1.1896403770491802E-2</v>
      </c>
      <c r="D538" s="226">
        <v>1.4311919999999999E-2</v>
      </c>
      <c r="E538" s="226">
        <v>1.9825289999999999E-2</v>
      </c>
      <c r="F538" s="226">
        <v>2.1625175E-2</v>
      </c>
      <c r="G538" s="226">
        <v>2.3605929999999997E-2</v>
      </c>
      <c r="H538" s="226">
        <v>3.0269499999999994E-2</v>
      </c>
      <c r="I538" s="226">
        <v>3.8856169999999995E-2</v>
      </c>
      <c r="J538" s="226">
        <v>5.8066694999999995E-2</v>
      </c>
      <c r="K538" s="226">
        <v>9.2133494999999982E-2</v>
      </c>
    </row>
    <row r="539" spans="1:11" x14ac:dyDescent="0.25">
      <c r="A539" s="224">
        <v>7.8600000000000008E-7</v>
      </c>
      <c r="B539" s="225">
        <f t="shared" si="8"/>
        <v>2.5272808873282439E-19</v>
      </c>
      <c r="C539" s="226">
        <v>1.1846146752570773E-2</v>
      </c>
      <c r="D539" s="226">
        <v>1.433238E-2</v>
      </c>
      <c r="E539" s="226">
        <v>1.973043E-2</v>
      </c>
      <c r="F539" s="226">
        <v>2.164195E-2</v>
      </c>
      <c r="G539" s="226">
        <v>2.3458949999999992E-2</v>
      </c>
      <c r="H539" s="226">
        <v>3.0220009999999995E-2</v>
      </c>
      <c r="I539" s="226">
        <v>3.8757459999999994E-2</v>
      </c>
      <c r="J539" s="226">
        <v>5.8265489999999996E-2</v>
      </c>
      <c r="K539" s="226">
        <v>9.4047289999999992E-2</v>
      </c>
    </row>
    <row r="540" spans="1:11" x14ac:dyDescent="0.25">
      <c r="A540" s="224">
        <v>7.8700000000000005E-7</v>
      </c>
      <c r="B540" s="225">
        <f t="shared" si="8"/>
        <v>2.5240696028462512E-19</v>
      </c>
      <c r="C540" s="226">
        <v>1.1791275339251742E-2</v>
      </c>
      <c r="D540" s="226">
        <v>1.4195579999999999E-2</v>
      </c>
      <c r="E540" s="226">
        <v>1.9698019999999997E-2</v>
      </c>
      <c r="F540" s="226">
        <v>2.1480630000000001E-2</v>
      </c>
      <c r="G540" s="226">
        <v>2.3330164999999993E-2</v>
      </c>
      <c r="H540" s="226">
        <v>3.0116089999999995E-2</v>
      </c>
      <c r="I540" s="226">
        <v>3.8605729999999991E-2</v>
      </c>
      <c r="J540" s="226">
        <v>5.8254649999999991E-2</v>
      </c>
      <c r="K540" s="226">
        <v>9.6867905000000004E-2</v>
      </c>
    </row>
    <row r="541" spans="1:11" x14ac:dyDescent="0.25">
      <c r="A541" s="224">
        <v>7.8800000000000002E-7</v>
      </c>
      <c r="B541" s="225">
        <f t="shared" si="8"/>
        <v>2.5208664688324872E-19</v>
      </c>
      <c r="C541" s="226">
        <v>1.1724319190421894E-2</v>
      </c>
      <c r="D541" s="226">
        <v>1.405878E-2</v>
      </c>
      <c r="E541" s="226">
        <v>1.9665609999999997E-2</v>
      </c>
      <c r="F541" s="226">
        <v>2.1319309999999998E-2</v>
      </c>
      <c r="G541" s="226">
        <v>2.3201379999999997E-2</v>
      </c>
      <c r="H541" s="226">
        <v>3.0012169999999994E-2</v>
      </c>
      <c r="I541" s="226">
        <v>3.8453999999999995E-2</v>
      </c>
      <c r="J541" s="226">
        <v>5.8243809999999986E-2</v>
      </c>
      <c r="K541" s="226">
        <v>9.9688520000000003E-2</v>
      </c>
    </row>
    <row r="542" spans="1:11" x14ac:dyDescent="0.25">
      <c r="A542" s="224">
        <v>7.8899999999999998E-7</v>
      </c>
      <c r="B542" s="225">
        <f t="shared" si="8"/>
        <v>2.5176714542965779E-19</v>
      </c>
      <c r="C542" s="226">
        <v>1.1676979755974207E-2</v>
      </c>
      <c r="D542" s="226">
        <v>1.3961794999999999E-2</v>
      </c>
      <c r="E542" s="226">
        <v>1.9377754999999997E-2</v>
      </c>
      <c r="F542" s="226">
        <v>2.1317849999999999E-2</v>
      </c>
      <c r="G542" s="226">
        <v>2.2988004999999995E-2</v>
      </c>
      <c r="H542" s="226">
        <v>2.9865154999999994E-2</v>
      </c>
      <c r="I542" s="226">
        <v>3.7964094999999996E-2</v>
      </c>
      <c r="J542" s="226">
        <v>5.7799229999999993E-2</v>
      </c>
      <c r="K542" s="226">
        <v>0.10025845999999999</v>
      </c>
    </row>
    <row r="543" spans="1:11" x14ac:dyDescent="0.25">
      <c r="A543" s="224">
        <v>7.9000000000000006E-7</v>
      </c>
      <c r="B543" s="225">
        <f t="shared" si="8"/>
        <v>2.5144845284050633E-19</v>
      </c>
      <c r="C543" s="226">
        <v>1.1615426777412834E-2</v>
      </c>
      <c r="D543" s="226">
        <v>1.3864809999999998E-2</v>
      </c>
      <c r="E543" s="226">
        <v>1.90899E-2</v>
      </c>
      <c r="F543" s="226">
        <v>2.1316389999999998E-2</v>
      </c>
      <c r="G543" s="226">
        <v>2.2774629999999994E-2</v>
      </c>
      <c r="H543" s="226">
        <v>2.9718139999999994E-2</v>
      </c>
      <c r="I543" s="226">
        <v>3.7474189999999998E-2</v>
      </c>
      <c r="J543" s="226">
        <v>5.7354649999999993E-2</v>
      </c>
      <c r="K543" s="226">
        <v>0.10082839999999998</v>
      </c>
    </row>
    <row r="544" spans="1:11" x14ac:dyDescent="0.25">
      <c r="A544" s="224">
        <v>7.9100000000000003E-7</v>
      </c>
      <c r="B544" s="225">
        <f t="shared" si="8"/>
        <v>2.5113056604804046E-19</v>
      </c>
      <c r="C544" s="226">
        <v>1.1600598768454257E-2</v>
      </c>
      <c r="D544" s="226">
        <v>1.3849099999999998E-2</v>
      </c>
      <c r="E544" s="226">
        <v>1.8910375E-2</v>
      </c>
      <c r="F544" s="226">
        <v>2.1174575000000001E-2</v>
      </c>
      <c r="G544" s="226">
        <v>2.2640569999999999E-2</v>
      </c>
      <c r="H544" s="226">
        <v>2.9413514999999998E-2</v>
      </c>
      <c r="I544" s="226">
        <v>3.7022669999999994E-2</v>
      </c>
      <c r="J544" s="226">
        <v>5.706729499999999E-2</v>
      </c>
      <c r="K544" s="226">
        <v>0.10001081499999998</v>
      </c>
    </row>
    <row r="545" spans="1:11" x14ac:dyDescent="0.25">
      <c r="A545" s="224">
        <v>7.92E-7</v>
      </c>
      <c r="B545" s="225">
        <f t="shared" si="8"/>
        <v>2.5081348199999999E-19</v>
      </c>
      <c r="C545" s="226">
        <v>1.156897627836611E-2</v>
      </c>
      <c r="D545" s="226">
        <v>1.3833389999999997E-2</v>
      </c>
      <c r="E545" s="226">
        <v>1.8730849999999997E-2</v>
      </c>
      <c r="F545" s="226">
        <v>2.1032760000000001E-2</v>
      </c>
      <c r="G545" s="226">
        <v>2.250651E-2</v>
      </c>
      <c r="H545" s="226">
        <v>2.9108890000000002E-2</v>
      </c>
      <c r="I545" s="226">
        <v>3.6571149999999997E-2</v>
      </c>
      <c r="J545" s="226">
        <v>5.6779939999999994E-2</v>
      </c>
      <c r="K545" s="226">
        <v>9.9193229999999979E-2</v>
      </c>
    </row>
    <row r="546" spans="1:11" x14ac:dyDescent="0.25">
      <c r="A546" s="224">
        <v>7.9300000000000007E-7</v>
      </c>
      <c r="B546" s="225">
        <f t="shared" si="8"/>
        <v>2.5049719765952078E-19</v>
      </c>
      <c r="C546" s="226">
        <v>1.152641212353755E-2</v>
      </c>
      <c r="D546" s="226">
        <v>1.3653669999999998E-2</v>
      </c>
      <c r="E546" s="226">
        <v>1.8623064999999998E-2</v>
      </c>
      <c r="F546" s="226">
        <v>2.1067574999999998E-2</v>
      </c>
      <c r="G546" s="226">
        <v>2.2390089999999998E-2</v>
      </c>
      <c r="H546" s="226">
        <v>2.8719345E-2</v>
      </c>
      <c r="I546" s="226">
        <v>3.6197324999999995E-2</v>
      </c>
      <c r="J546" s="226">
        <v>5.6564879999999984E-2</v>
      </c>
      <c r="K546" s="226">
        <v>0.10106151499999999</v>
      </c>
    </row>
    <row r="547" spans="1:11" x14ac:dyDescent="0.25">
      <c r="A547" s="224">
        <v>7.9400000000000004E-7</v>
      </c>
      <c r="B547" s="225">
        <f t="shared" si="8"/>
        <v>2.5018171000503775E-19</v>
      </c>
      <c r="C547" s="226">
        <v>1.1466720143288086E-2</v>
      </c>
      <c r="D547" s="226">
        <v>1.3473949999999998E-2</v>
      </c>
      <c r="E547" s="226">
        <v>1.8515279999999999E-2</v>
      </c>
      <c r="F547" s="226">
        <v>2.1102389999999999E-2</v>
      </c>
      <c r="G547" s="226">
        <v>2.2273669999999995E-2</v>
      </c>
      <c r="H547" s="226">
        <v>2.8329799999999995E-2</v>
      </c>
      <c r="I547" s="226">
        <v>3.5823499999999994E-2</v>
      </c>
      <c r="J547" s="226">
        <v>5.6349819999999981E-2</v>
      </c>
      <c r="K547" s="226">
        <v>0.10292979999999999</v>
      </c>
    </row>
    <row r="548" spans="1:11" x14ac:dyDescent="0.25">
      <c r="A548" s="224">
        <v>7.9500000000000001E-7</v>
      </c>
      <c r="B548" s="225">
        <f t="shared" si="8"/>
        <v>2.4986701603018866E-19</v>
      </c>
      <c r="C548" s="226">
        <v>1.1407087194876948E-2</v>
      </c>
      <c r="D548" s="226">
        <v>1.3649104999999998E-2</v>
      </c>
      <c r="E548" s="226">
        <v>1.8511819999999998E-2</v>
      </c>
      <c r="F548" s="226">
        <v>2.1120069999999998E-2</v>
      </c>
      <c r="G548" s="226">
        <v>2.2107594999999997E-2</v>
      </c>
      <c r="H548" s="226">
        <v>2.8590589999999996E-2</v>
      </c>
      <c r="I548" s="226">
        <v>3.6427654999999989E-2</v>
      </c>
      <c r="J548" s="226">
        <v>5.6333549999999982E-2</v>
      </c>
      <c r="K548" s="226">
        <v>0.10453949999999998</v>
      </c>
    </row>
    <row r="549" spans="1:11" x14ac:dyDescent="0.25">
      <c r="A549" s="224">
        <v>7.9599999999999998E-7</v>
      </c>
      <c r="B549" s="225">
        <f t="shared" si="8"/>
        <v>2.495531127437186E-19</v>
      </c>
      <c r="C549" s="226">
        <v>1.137728043020193E-2</v>
      </c>
      <c r="D549" s="226">
        <v>1.3824259999999996E-2</v>
      </c>
      <c r="E549" s="226">
        <v>1.8508359999999998E-2</v>
      </c>
      <c r="F549" s="226">
        <v>2.1137749999999997E-2</v>
      </c>
      <c r="G549" s="226">
        <v>2.1941519999999999E-2</v>
      </c>
      <c r="H549" s="226">
        <v>2.8851379999999996E-2</v>
      </c>
      <c r="I549" s="226">
        <v>3.7031809999999991E-2</v>
      </c>
      <c r="J549" s="226">
        <v>5.631727999999999E-2</v>
      </c>
      <c r="K549" s="226">
        <v>0.10614919999999999</v>
      </c>
    </row>
    <row r="550" spans="1:11" x14ac:dyDescent="0.25">
      <c r="A550" s="224">
        <v>7.9700000000000006E-7</v>
      </c>
      <c r="B550" s="225">
        <f t="shared" si="8"/>
        <v>2.4923999716938518E-19</v>
      </c>
      <c r="C550" s="226">
        <v>1.1341917739391662E-2</v>
      </c>
      <c r="D550" s="226">
        <v>1.3763074999999998E-2</v>
      </c>
      <c r="E550" s="226">
        <v>1.8427704999999996E-2</v>
      </c>
      <c r="F550" s="226">
        <v>2.1250584999999995E-2</v>
      </c>
      <c r="G550" s="226">
        <v>2.2139429999999998E-2</v>
      </c>
      <c r="H550" s="226">
        <v>2.8857589999999995E-2</v>
      </c>
      <c r="I550" s="226">
        <v>3.7516234999999995E-2</v>
      </c>
      <c r="J550" s="226">
        <v>5.6915479999999991E-2</v>
      </c>
      <c r="K550" s="226">
        <v>0.10827964999999999</v>
      </c>
    </row>
    <row r="551" spans="1:11" x14ac:dyDescent="0.25">
      <c r="A551" s="224">
        <v>7.9800000000000003E-7</v>
      </c>
      <c r="B551" s="225">
        <f t="shared" si="8"/>
        <v>2.4892766634586465E-19</v>
      </c>
      <c r="C551" s="226">
        <v>1.1269105182591298E-2</v>
      </c>
      <c r="D551" s="226">
        <v>1.370189E-2</v>
      </c>
      <c r="E551" s="226">
        <v>1.8347049999999997E-2</v>
      </c>
      <c r="F551" s="226">
        <v>2.1363419999999998E-2</v>
      </c>
      <c r="G551" s="226">
        <v>2.2337339999999997E-2</v>
      </c>
      <c r="H551" s="226">
        <v>2.8863799999999998E-2</v>
      </c>
      <c r="I551" s="226">
        <v>3.8000659999999992E-2</v>
      </c>
      <c r="J551" s="226">
        <v>5.7513679999999998E-2</v>
      </c>
      <c r="K551" s="226">
        <v>0.1104101</v>
      </c>
    </row>
    <row r="552" spans="1:11" x14ac:dyDescent="0.25">
      <c r="A552" s="224">
        <v>7.9899999999999999E-7</v>
      </c>
      <c r="B552" s="225">
        <f t="shared" si="8"/>
        <v>2.4861611732665834E-19</v>
      </c>
      <c r="C552" s="226">
        <v>1.1195487811094453E-2</v>
      </c>
      <c r="D552" s="226">
        <v>1.3763259999999998E-2</v>
      </c>
      <c r="E552" s="226">
        <v>1.8198114999999997E-2</v>
      </c>
      <c r="F552" s="226">
        <v>2.1258059999999995E-2</v>
      </c>
      <c r="G552" s="226">
        <v>2.2449569999999995E-2</v>
      </c>
      <c r="H552" s="226">
        <v>2.8965524999999999E-2</v>
      </c>
      <c r="I552" s="226">
        <v>3.7863559999999991E-2</v>
      </c>
      <c r="J552" s="226">
        <v>5.7651029999999992E-2</v>
      </c>
      <c r="K552" s="226">
        <v>0.11092365</v>
      </c>
    </row>
    <row r="553" spans="1:11" x14ac:dyDescent="0.25">
      <c r="A553" s="224">
        <v>8.0000000000000007E-7</v>
      </c>
      <c r="B553" s="225">
        <f t="shared" si="8"/>
        <v>2.4830534717999996E-19</v>
      </c>
      <c r="C553" s="226">
        <v>1.1171095074254334E-2</v>
      </c>
      <c r="D553" s="226">
        <v>1.3824629999999996E-2</v>
      </c>
      <c r="E553" s="226">
        <v>1.8049179999999998E-2</v>
      </c>
      <c r="F553" s="226">
        <v>2.1152699999999997E-2</v>
      </c>
      <c r="G553" s="226">
        <v>2.2561799999999996E-2</v>
      </c>
      <c r="H553" s="226">
        <v>2.9067249999999996E-2</v>
      </c>
      <c r="I553" s="226">
        <v>3.7726459999999989E-2</v>
      </c>
      <c r="J553" s="226">
        <v>5.7788379999999986E-2</v>
      </c>
      <c r="K553" s="226">
        <v>0.1114372</v>
      </c>
    </row>
    <row r="554" spans="1:11" x14ac:dyDescent="0.25">
      <c r="A554" s="224">
        <v>8.0100000000000004E-7</v>
      </c>
      <c r="B554" s="225">
        <f t="shared" si="8"/>
        <v>2.4799535298876405E-19</v>
      </c>
      <c r="C554" s="226">
        <v>1.1156741416292974E-2</v>
      </c>
      <c r="D554" s="226">
        <v>1.3671209999999996E-2</v>
      </c>
      <c r="E554" s="226">
        <v>1.7901334999999997E-2</v>
      </c>
      <c r="F554" s="226">
        <v>2.1073589999999996E-2</v>
      </c>
      <c r="G554" s="226">
        <v>2.2246744999999995E-2</v>
      </c>
      <c r="H554" s="226">
        <v>2.8692494999999995E-2</v>
      </c>
      <c r="I554" s="226">
        <v>3.7580214999999986E-2</v>
      </c>
      <c r="J554" s="226">
        <v>5.7923924999999987E-2</v>
      </c>
      <c r="K554" s="226">
        <v>0.1129868</v>
      </c>
    </row>
    <row r="555" spans="1:11" x14ac:dyDescent="0.25">
      <c r="A555" s="224">
        <v>8.0200000000000001E-7</v>
      </c>
      <c r="B555" s="225">
        <f t="shared" si="8"/>
        <v>2.4768613185037404E-19</v>
      </c>
      <c r="C555" s="226">
        <v>1.1117336657956948E-2</v>
      </c>
      <c r="D555" s="226">
        <v>1.3517789999999998E-2</v>
      </c>
      <c r="E555" s="226">
        <v>1.7753489999999997E-2</v>
      </c>
      <c r="F555" s="226">
        <v>2.0994479999999999E-2</v>
      </c>
      <c r="G555" s="226">
        <v>2.1931689999999993E-2</v>
      </c>
      <c r="H555" s="226">
        <v>2.8317739999999994E-2</v>
      </c>
      <c r="I555" s="226">
        <v>3.743396999999999E-2</v>
      </c>
      <c r="J555" s="226">
        <v>5.8059469999999995E-2</v>
      </c>
      <c r="K555" s="226">
        <v>0.11453639999999998</v>
      </c>
    </row>
    <row r="556" spans="1:11" x14ac:dyDescent="0.25">
      <c r="A556" s="224">
        <v>8.0299999999999998E-7</v>
      </c>
      <c r="B556" s="225">
        <f t="shared" si="8"/>
        <v>2.4737768087671232E-19</v>
      </c>
      <c r="C556" s="226">
        <v>1.1077983306401491E-2</v>
      </c>
      <c r="D556" s="226">
        <v>1.3474864999999999E-2</v>
      </c>
      <c r="E556" s="226">
        <v>1.7786264999999996E-2</v>
      </c>
      <c r="F556" s="226">
        <v>2.1080334999999999E-2</v>
      </c>
      <c r="G556" s="226">
        <v>2.2026644999999997E-2</v>
      </c>
      <c r="H556" s="226">
        <v>2.8599904999999995E-2</v>
      </c>
      <c r="I556" s="226">
        <v>3.7572899999999992E-2</v>
      </c>
      <c r="J556" s="226">
        <v>5.789681499999999E-2</v>
      </c>
      <c r="K556" s="226">
        <v>0.11905044999999997</v>
      </c>
    </row>
    <row r="557" spans="1:11" x14ac:dyDescent="0.25">
      <c r="A557" s="224">
        <v>8.0400000000000005E-7</v>
      </c>
      <c r="B557" s="225">
        <f t="shared" si="8"/>
        <v>2.4706999719402983E-19</v>
      </c>
      <c r="C557" s="226">
        <v>1.1031393621010802E-2</v>
      </c>
      <c r="D557" s="226">
        <v>1.3431939999999998E-2</v>
      </c>
      <c r="E557" s="226">
        <v>1.7819039999999998E-2</v>
      </c>
      <c r="F557" s="226">
        <v>2.1166189999999998E-2</v>
      </c>
      <c r="G557" s="226">
        <v>2.2121599999999998E-2</v>
      </c>
      <c r="H557" s="226">
        <v>2.8882069999999996E-2</v>
      </c>
      <c r="I557" s="226">
        <v>3.7711829999999995E-2</v>
      </c>
      <c r="J557" s="226">
        <v>5.7734159999999993E-2</v>
      </c>
      <c r="K557" s="226">
        <v>0.12356449999999998</v>
      </c>
    </row>
    <row r="558" spans="1:11" x14ac:dyDescent="0.25">
      <c r="A558" s="224">
        <v>8.0500000000000002E-7</v>
      </c>
      <c r="B558" s="225">
        <f t="shared" si="8"/>
        <v>2.4676307794285715E-19</v>
      </c>
      <c r="C558" s="226">
        <v>1.0990236082538105E-2</v>
      </c>
      <c r="D558" s="226">
        <v>1.3380984999999998E-2</v>
      </c>
      <c r="E558" s="226">
        <v>1.7842159999999996E-2</v>
      </c>
      <c r="F558" s="226">
        <v>2.1147414999999996E-2</v>
      </c>
      <c r="G558" s="226">
        <v>2.2297864999999997E-2</v>
      </c>
      <c r="H558" s="226">
        <v>2.8895584999999994E-2</v>
      </c>
      <c r="I558" s="226">
        <v>3.7395584999999995E-2</v>
      </c>
      <c r="J558" s="226">
        <v>5.8091994999999993E-2</v>
      </c>
      <c r="K558" s="226">
        <v>0.12353174999999997</v>
      </c>
    </row>
    <row r="559" spans="1:11" x14ac:dyDescent="0.25">
      <c r="A559" s="224">
        <v>8.0599999999999999E-7</v>
      </c>
      <c r="B559" s="225">
        <f t="shared" si="8"/>
        <v>2.4645692027791562E-19</v>
      </c>
      <c r="C559" s="226">
        <v>1.0944388885724896E-2</v>
      </c>
      <c r="D559" s="226">
        <v>1.3330029999999998E-2</v>
      </c>
      <c r="E559" s="226">
        <v>1.7865279999999997E-2</v>
      </c>
      <c r="F559" s="226">
        <v>2.1128639999999997E-2</v>
      </c>
      <c r="G559" s="226">
        <v>2.2474129999999995E-2</v>
      </c>
      <c r="H559" s="226">
        <v>2.8909099999999997E-2</v>
      </c>
      <c r="I559" s="226">
        <v>3.7079339999999995E-2</v>
      </c>
      <c r="J559" s="226">
        <v>5.8449829999999994E-2</v>
      </c>
      <c r="K559" s="226">
        <v>0.12349899999999997</v>
      </c>
    </row>
    <row r="560" spans="1:11" x14ac:dyDescent="0.25">
      <c r="A560" s="224">
        <v>8.0700000000000007E-7</v>
      </c>
      <c r="B560" s="225">
        <f t="shared" si="8"/>
        <v>2.4615152136802973E-19</v>
      </c>
      <c r="C560" s="226">
        <v>1.0905229517625232E-2</v>
      </c>
      <c r="D560" s="226">
        <v>1.3158894999999997E-2</v>
      </c>
      <c r="E560" s="226">
        <v>1.7644609999999998E-2</v>
      </c>
      <c r="F560" s="226">
        <v>2.1110594999999996E-2</v>
      </c>
      <c r="G560" s="226">
        <v>2.2443569999999996E-2</v>
      </c>
      <c r="H560" s="226">
        <v>2.8685009999999993E-2</v>
      </c>
      <c r="I560" s="226">
        <v>3.6510464999999992E-2</v>
      </c>
      <c r="J560" s="226">
        <v>5.8082959999999989E-2</v>
      </c>
      <c r="K560" s="226">
        <v>0.12497209999999997</v>
      </c>
    </row>
    <row r="561" spans="1:11" x14ac:dyDescent="0.25">
      <c r="A561" s="224">
        <v>8.0800000000000004E-7</v>
      </c>
      <c r="B561" s="225">
        <f t="shared" si="8"/>
        <v>2.4584687839603961E-19</v>
      </c>
      <c r="C561" s="226">
        <v>1.0859213773631533E-2</v>
      </c>
      <c r="D561" s="226">
        <v>1.2987759999999998E-2</v>
      </c>
      <c r="E561" s="226">
        <v>1.7423939999999999E-2</v>
      </c>
      <c r="F561" s="226">
        <v>2.1092549999999998E-2</v>
      </c>
      <c r="G561" s="226">
        <v>2.2413009999999997E-2</v>
      </c>
      <c r="H561" s="226">
        <v>2.846091999999999E-2</v>
      </c>
      <c r="I561" s="226">
        <v>3.5941589999999995E-2</v>
      </c>
      <c r="J561" s="226">
        <v>5.7716089999999984E-2</v>
      </c>
      <c r="K561" s="226">
        <v>0.12644519999999998</v>
      </c>
    </row>
    <row r="562" spans="1:11" x14ac:dyDescent="0.25">
      <c r="A562" s="224">
        <v>8.09E-7</v>
      </c>
      <c r="B562" s="225">
        <f t="shared" si="8"/>
        <v>2.4554298855871447E-19</v>
      </c>
      <c r="C562" s="226">
        <v>1.0819145401405845E-2</v>
      </c>
      <c r="D562" s="226">
        <v>1.2873239999999998E-2</v>
      </c>
      <c r="E562" s="226">
        <v>1.7213645E-2</v>
      </c>
      <c r="F562" s="226">
        <v>2.0998124999999999E-2</v>
      </c>
      <c r="G562" s="226">
        <v>2.2087399999999997E-2</v>
      </c>
      <c r="H562" s="226">
        <v>2.8288884999999993E-2</v>
      </c>
      <c r="I562" s="226">
        <v>3.6226574999999997E-2</v>
      </c>
      <c r="J562" s="226">
        <v>5.7701634999999987E-2</v>
      </c>
      <c r="K562" s="226">
        <v>0.1265927</v>
      </c>
    </row>
    <row r="563" spans="1:11" x14ac:dyDescent="0.25">
      <c r="A563" s="224">
        <v>8.1000000000000008E-7</v>
      </c>
      <c r="B563" s="225">
        <f t="shared" si="8"/>
        <v>2.4523984906666664E-19</v>
      </c>
      <c r="C563" s="226">
        <v>1.0777443654059377E-2</v>
      </c>
      <c r="D563" s="226">
        <v>1.2758719999999999E-2</v>
      </c>
      <c r="E563" s="226">
        <v>1.7003349999999997E-2</v>
      </c>
      <c r="F563" s="226">
        <v>2.0903699999999997E-2</v>
      </c>
      <c r="G563" s="226">
        <v>2.1761789999999996E-2</v>
      </c>
      <c r="H563" s="226">
        <v>2.8116849999999995E-2</v>
      </c>
      <c r="I563" s="226">
        <v>3.6511559999999998E-2</v>
      </c>
      <c r="J563" s="226">
        <v>5.7687179999999984E-2</v>
      </c>
      <c r="K563" s="226">
        <v>0.1267402</v>
      </c>
    </row>
    <row r="564" spans="1:11" x14ac:dyDescent="0.25">
      <c r="A564" s="224">
        <v>8.1100000000000005E-7</v>
      </c>
      <c r="B564" s="225">
        <f t="shared" si="8"/>
        <v>2.4493745714426632E-19</v>
      </c>
      <c r="C564" s="226">
        <v>1.0733257775043071E-2</v>
      </c>
      <c r="D564" s="226">
        <v>1.2824289999999999E-2</v>
      </c>
      <c r="E564" s="226">
        <v>1.7319429999999997E-2</v>
      </c>
      <c r="F564" s="226">
        <v>2.1046244999999998E-2</v>
      </c>
      <c r="G564" s="226">
        <v>2.2196539999999994E-2</v>
      </c>
      <c r="H564" s="226">
        <v>2.8594424999999993E-2</v>
      </c>
      <c r="I564" s="226">
        <v>3.709889999999999E-2</v>
      </c>
      <c r="J564" s="226">
        <v>5.848055499999999E-2</v>
      </c>
      <c r="K564" s="226">
        <v>0.12711894999999998</v>
      </c>
    </row>
    <row r="565" spans="1:11" x14ac:dyDescent="0.25">
      <c r="A565" s="224">
        <v>8.1200000000000002E-7</v>
      </c>
      <c r="B565" s="225">
        <f t="shared" si="8"/>
        <v>2.4463581002955663E-19</v>
      </c>
      <c r="C565" s="226">
        <v>1.0694337976395376E-2</v>
      </c>
      <c r="D565" s="226">
        <v>1.288986E-2</v>
      </c>
      <c r="E565" s="226">
        <v>1.7635509999999997E-2</v>
      </c>
      <c r="F565" s="226">
        <v>2.1188790000000002E-2</v>
      </c>
      <c r="G565" s="226">
        <v>2.2631289999999995E-2</v>
      </c>
      <c r="H565" s="226">
        <v>2.9071999999999994E-2</v>
      </c>
      <c r="I565" s="226">
        <v>3.7686239999999989E-2</v>
      </c>
      <c r="J565" s="226">
        <v>5.9273929999999989E-2</v>
      </c>
      <c r="K565" s="226">
        <v>0.12749769999999996</v>
      </c>
    </row>
    <row r="566" spans="1:11" x14ac:dyDescent="0.25">
      <c r="A566" s="224">
        <v>8.1299999999999999E-7</v>
      </c>
      <c r="B566" s="225">
        <f t="shared" si="8"/>
        <v>2.4433490497416976E-19</v>
      </c>
      <c r="C566" s="226">
        <v>1.0647560208588957E-2</v>
      </c>
      <c r="D566" s="226">
        <v>1.3072139999999999E-2</v>
      </c>
      <c r="E566" s="226">
        <v>1.7650799999999998E-2</v>
      </c>
      <c r="F566" s="226">
        <v>2.1127725E-2</v>
      </c>
      <c r="G566" s="226">
        <v>2.1779439999999994E-2</v>
      </c>
      <c r="H566" s="226">
        <v>2.9544644999999994E-2</v>
      </c>
      <c r="I566" s="226">
        <v>3.7786779999999992E-2</v>
      </c>
      <c r="J566" s="226">
        <v>5.9637184999999995E-2</v>
      </c>
      <c r="K566" s="226">
        <v>0.12695144999999997</v>
      </c>
    </row>
    <row r="567" spans="1:11" x14ac:dyDescent="0.25">
      <c r="A567" s="224">
        <v>8.1400000000000006E-7</v>
      </c>
      <c r="B567" s="225">
        <f t="shared" si="8"/>
        <v>2.440347392432432E-19</v>
      </c>
      <c r="C567" s="226">
        <v>1.0608736383917627E-2</v>
      </c>
      <c r="D567" s="226">
        <v>1.3254419999999998E-2</v>
      </c>
      <c r="E567" s="226">
        <v>1.7666089999999999E-2</v>
      </c>
      <c r="F567" s="226">
        <v>2.1066660000000001E-2</v>
      </c>
      <c r="G567" s="226">
        <v>2.0927589999999992E-2</v>
      </c>
      <c r="H567" s="226">
        <v>3.0017289999999999E-2</v>
      </c>
      <c r="I567" s="226">
        <v>3.7887319999999995E-2</v>
      </c>
      <c r="J567" s="226">
        <v>6.0000439999999995E-2</v>
      </c>
      <c r="K567" s="226">
        <v>0.1264052</v>
      </c>
    </row>
    <row r="568" spans="1:11" x14ac:dyDescent="0.25">
      <c r="A568" s="224">
        <v>8.1500000000000003E-7</v>
      </c>
      <c r="B568" s="225">
        <f t="shared" si="8"/>
        <v>2.4373531011533742E-19</v>
      </c>
      <c r="C568" s="226">
        <v>1.0569962498163112E-2</v>
      </c>
      <c r="D568" s="226">
        <v>1.2964744999999998E-2</v>
      </c>
      <c r="E568" s="226">
        <v>1.7242954999999997E-2</v>
      </c>
      <c r="F568" s="226">
        <v>2.090844E-2</v>
      </c>
      <c r="G568" s="226">
        <v>2.0272374999999995E-2</v>
      </c>
      <c r="H568" s="226">
        <v>2.9460819999999999E-2</v>
      </c>
      <c r="I568" s="226">
        <v>3.7149534999999997E-2</v>
      </c>
      <c r="J568" s="226">
        <v>5.9306459999999991E-2</v>
      </c>
      <c r="K568" s="226">
        <v>0.12225529999999998</v>
      </c>
    </row>
    <row r="569" spans="1:11" x14ac:dyDescent="0.25">
      <c r="A569" s="224">
        <v>8.16E-7</v>
      </c>
      <c r="B569" s="225">
        <f t="shared" si="8"/>
        <v>2.4343661488235292E-19</v>
      </c>
      <c r="C569" s="226">
        <v>1.0525654874617736E-2</v>
      </c>
      <c r="D569" s="226">
        <v>1.2675069999999998E-2</v>
      </c>
      <c r="E569" s="226">
        <v>1.6819819999999999E-2</v>
      </c>
      <c r="F569" s="226">
        <v>2.0750219999999996E-2</v>
      </c>
      <c r="G569" s="226">
        <v>1.9617159999999998E-2</v>
      </c>
      <c r="H569" s="226">
        <v>2.8904349999999995E-2</v>
      </c>
      <c r="I569" s="226">
        <v>3.6411749999999993E-2</v>
      </c>
      <c r="J569" s="226">
        <v>5.8612479999999995E-2</v>
      </c>
      <c r="K569" s="226">
        <v>0.11810539999999999</v>
      </c>
    </row>
    <row r="570" spans="1:11" x14ac:dyDescent="0.25">
      <c r="A570" s="224">
        <v>8.1700000000000008E-7</v>
      </c>
      <c r="B570" s="225">
        <f t="shared" si="8"/>
        <v>2.4313865084944917E-19</v>
      </c>
      <c r="C570" s="226">
        <v>1.0484641987046314E-2</v>
      </c>
      <c r="D570" s="226">
        <v>1.2523109999999997E-2</v>
      </c>
      <c r="E570" s="226">
        <v>1.6746085000000001E-2</v>
      </c>
      <c r="F570" s="226">
        <v>2.0839174999999998E-2</v>
      </c>
      <c r="G570" s="226">
        <v>1.947873E-2</v>
      </c>
      <c r="H570" s="226">
        <v>2.8626569999999997E-2</v>
      </c>
      <c r="I570" s="226">
        <v>3.6030974999999993E-2</v>
      </c>
      <c r="J570" s="226">
        <v>5.7202834999999994E-2</v>
      </c>
      <c r="K570" s="226">
        <v>0.11422499999999999</v>
      </c>
    </row>
    <row r="571" spans="1:11" x14ac:dyDescent="0.25">
      <c r="A571" s="224">
        <v>8.1800000000000005E-7</v>
      </c>
      <c r="B571" s="225">
        <f t="shared" si="8"/>
        <v>2.428414153349633E-19</v>
      </c>
      <c r="C571" s="226">
        <v>1.0435752318575433E-2</v>
      </c>
      <c r="D571" s="226">
        <v>1.2371149999999997E-2</v>
      </c>
      <c r="E571" s="226">
        <v>1.6672349999999999E-2</v>
      </c>
      <c r="F571" s="226">
        <v>2.092813E-2</v>
      </c>
      <c r="G571" s="226">
        <v>1.9340299999999998E-2</v>
      </c>
      <c r="H571" s="226">
        <v>2.8348789999999995E-2</v>
      </c>
      <c r="I571" s="226">
        <v>3.56502E-2</v>
      </c>
      <c r="J571" s="226">
        <v>5.5793189999999986E-2</v>
      </c>
      <c r="K571" s="226">
        <v>0.11034459999999999</v>
      </c>
    </row>
    <row r="572" spans="1:11" x14ac:dyDescent="0.25">
      <c r="A572" s="224">
        <v>8.1900000000000001E-7</v>
      </c>
      <c r="B572" s="225">
        <f t="shared" si="8"/>
        <v>2.4254490567032965E-19</v>
      </c>
      <c r="C572" s="226">
        <v>1.0377874186159841E-2</v>
      </c>
      <c r="D572" s="226">
        <v>1.2525664999999998E-2</v>
      </c>
      <c r="E572" s="226">
        <v>1.6925789999999996E-2</v>
      </c>
      <c r="F572" s="226">
        <v>2.0762619999999996E-2</v>
      </c>
      <c r="G572" s="226">
        <v>2.0505570000000001E-2</v>
      </c>
      <c r="H572" s="226">
        <v>2.8048364999999995E-2</v>
      </c>
      <c r="I572" s="226">
        <v>3.5563369999999997E-2</v>
      </c>
      <c r="J572" s="226">
        <v>5.3863054999999986E-2</v>
      </c>
      <c r="K572" s="226">
        <v>0.11500619999999999</v>
      </c>
    </row>
    <row r="573" spans="1:11" x14ac:dyDescent="0.25">
      <c r="A573" s="224">
        <v>8.1999999999999998E-7</v>
      </c>
      <c r="B573" s="225">
        <f t="shared" si="8"/>
        <v>2.422491192E-19</v>
      </c>
      <c r="C573" s="226">
        <v>1.0329336624467438E-2</v>
      </c>
      <c r="D573" s="226">
        <v>1.2680179999999997E-2</v>
      </c>
      <c r="E573" s="226">
        <v>1.7179229999999997E-2</v>
      </c>
      <c r="F573" s="226">
        <v>2.0597109999999995E-2</v>
      </c>
      <c r="G573" s="226">
        <v>2.167084E-2</v>
      </c>
      <c r="H573" s="226">
        <v>2.7747939999999995E-2</v>
      </c>
      <c r="I573" s="226">
        <v>3.5476539999999994E-2</v>
      </c>
      <c r="J573" s="226">
        <v>5.1932919999999987E-2</v>
      </c>
      <c r="K573" s="226">
        <v>0.11966779999999999</v>
      </c>
    </row>
    <row r="574" spans="1:11" x14ac:dyDescent="0.25">
      <c r="A574" s="224">
        <v>8.2100000000000006E-7</v>
      </c>
      <c r="B574" s="225">
        <f t="shared" si="8"/>
        <v>2.4195405328136417E-19</v>
      </c>
      <c r="C574" s="226">
        <v>1.0284496376459144E-2</v>
      </c>
      <c r="D574" s="226">
        <v>1.2492424999999998E-2</v>
      </c>
      <c r="E574" s="226">
        <v>1.6933799999999999E-2</v>
      </c>
      <c r="F574" s="226">
        <v>2.0669289999999996E-2</v>
      </c>
      <c r="G574" s="226">
        <v>2.1838739999999999E-2</v>
      </c>
      <c r="H574" s="226">
        <v>2.7450984999999997E-2</v>
      </c>
      <c r="I574" s="226">
        <v>3.5877239999999991E-2</v>
      </c>
      <c r="J574" s="226">
        <v>5.4107029999999993E-2</v>
      </c>
      <c r="K574" s="226">
        <v>0.12221344999999997</v>
      </c>
    </row>
    <row r="575" spans="1:11" x14ac:dyDescent="0.25">
      <c r="A575" s="224">
        <v>8.2200000000000003E-7</v>
      </c>
      <c r="B575" s="225">
        <f t="shared" si="8"/>
        <v>2.4165970528467153E-19</v>
      </c>
      <c r="C575" s="226">
        <v>1.0244478653076084E-2</v>
      </c>
      <c r="D575" s="226">
        <v>1.230467E-2</v>
      </c>
      <c r="E575" s="226">
        <v>1.6688370000000001E-2</v>
      </c>
      <c r="F575" s="226">
        <v>2.0741469999999998E-2</v>
      </c>
      <c r="G575" s="226">
        <v>2.2006639999999997E-2</v>
      </c>
      <c r="H575" s="226">
        <v>2.7154029999999999E-2</v>
      </c>
      <c r="I575" s="226">
        <v>3.6277939999999995E-2</v>
      </c>
      <c r="J575" s="226">
        <v>5.628114E-2</v>
      </c>
      <c r="K575" s="226">
        <v>0.12475909999999997</v>
      </c>
    </row>
    <row r="576" spans="1:11" x14ac:dyDescent="0.25">
      <c r="A576" s="224">
        <v>8.23E-7</v>
      </c>
      <c r="B576" s="225">
        <f t="shared" si="8"/>
        <v>2.4136607259295261E-19</v>
      </c>
      <c r="C576" s="226">
        <v>1.0207914246575342E-2</v>
      </c>
      <c r="D576" s="226">
        <v>1.2700275E-2</v>
      </c>
      <c r="E576" s="226">
        <v>1.7239134999999999E-2</v>
      </c>
      <c r="F576" s="226">
        <v>2.090206E-2</v>
      </c>
      <c r="G576" s="226">
        <v>2.1343964999999999E-2</v>
      </c>
      <c r="H576" s="226">
        <v>2.7537734999999994E-2</v>
      </c>
      <c r="I576" s="226">
        <v>3.697843499999999E-2</v>
      </c>
      <c r="J576" s="226">
        <v>5.5771500000000002E-2</v>
      </c>
      <c r="K576" s="226">
        <v>0.12328774999999997</v>
      </c>
    </row>
    <row r="577" spans="1:11" x14ac:dyDescent="0.25">
      <c r="A577" s="224">
        <v>8.2400000000000007E-7</v>
      </c>
      <c r="B577" s="225">
        <f t="shared" si="8"/>
        <v>2.410731526019417E-19</v>
      </c>
      <c r="C577" s="226">
        <v>1.0175653615552322E-2</v>
      </c>
      <c r="D577" s="226">
        <v>1.3095879999999999E-2</v>
      </c>
      <c r="E577" s="226">
        <v>1.7789899999999997E-2</v>
      </c>
      <c r="F577" s="226">
        <v>2.1062649999999999E-2</v>
      </c>
      <c r="G577" s="226">
        <v>2.0681289999999998E-2</v>
      </c>
      <c r="H577" s="226">
        <v>2.7921439999999992E-2</v>
      </c>
      <c r="I577" s="226">
        <v>3.7678929999999992E-2</v>
      </c>
      <c r="J577" s="226">
        <v>5.5261859999999996E-2</v>
      </c>
      <c r="K577" s="226">
        <v>0.12181639999999998</v>
      </c>
    </row>
    <row r="578" spans="1:11" x14ac:dyDescent="0.25">
      <c r="A578" s="224">
        <v>8.2500000000000004E-7</v>
      </c>
      <c r="B578" s="225">
        <f t="shared" si="8"/>
        <v>2.4078094272E-19</v>
      </c>
      <c r="C578" s="226">
        <v>1.0142510181488203E-2</v>
      </c>
      <c r="D578" s="226">
        <v>1.2861185000000001E-2</v>
      </c>
      <c r="E578" s="226">
        <v>1.7706879999999998E-2</v>
      </c>
      <c r="F578" s="226">
        <v>2.0817845000000001E-2</v>
      </c>
      <c r="G578" s="226">
        <v>2.1326499999999998E-2</v>
      </c>
      <c r="H578" s="226">
        <v>2.7585764999999995E-2</v>
      </c>
      <c r="I578" s="226">
        <v>3.7349884999999992E-2</v>
      </c>
      <c r="J578" s="226">
        <v>5.646186999999999E-2</v>
      </c>
      <c r="K578" s="226">
        <v>0.12504309999999996</v>
      </c>
    </row>
    <row r="579" spans="1:11" x14ac:dyDescent="0.25">
      <c r="A579" s="224">
        <v>8.2600000000000001E-7</v>
      </c>
      <c r="B579" s="225">
        <f t="shared" ref="B579:B642" si="9">h_planck*c_light/A579</f>
        <v>2.4048944036803873E-19</v>
      </c>
      <c r="C579" s="226">
        <v>1.012745449546828E-2</v>
      </c>
      <c r="D579" s="226">
        <v>1.2626490000000001E-2</v>
      </c>
      <c r="E579" s="226">
        <v>1.7623859999999998E-2</v>
      </c>
      <c r="F579" s="226">
        <v>2.0573040000000001E-2</v>
      </c>
      <c r="G579" s="226">
        <v>2.1971709999999998E-2</v>
      </c>
      <c r="H579" s="226">
        <v>2.7250089999999998E-2</v>
      </c>
      <c r="I579" s="226">
        <v>3.7020839999999992E-2</v>
      </c>
      <c r="J579" s="226">
        <v>5.7661879999999985E-2</v>
      </c>
      <c r="K579" s="226">
        <v>0.12826979999999996</v>
      </c>
    </row>
    <row r="580" spans="1:11" x14ac:dyDescent="0.25">
      <c r="A580" s="224">
        <v>8.2699999999999998E-7</v>
      </c>
      <c r="B580" s="225">
        <f t="shared" si="9"/>
        <v>2.4019864297944377E-19</v>
      </c>
      <c r="C580" s="226">
        <v>1.0108339244873338E-2</v>
      </c>
      <c r="D580" s="226">
        <v>1.2463755E-2</v>
      </c>
      <c r="E580" s="226">
        <v>1.7388619999999997E-2</v>
      </c>
      <c r="F580" s="226">
        <v>2.0466769999999999E-2</v>
      </c>
      <c r="G580" s="226">
        <v>2.1412359999999998E-2</v>
      </c>
      <c r="H580" s="226">
        <v>2.7167539999999997E-2</v>
      </c>
      <c r="I580" s="226">
        <v>3.6867289999999997E-2</v>
      </c>
      <c r="J580" s="226">
        <v>5.722813999999999E-2</v>
      </c>
      <c r="K580" s="226">
        <v>0.12054179999999998</v>
      </c>
    </row>
    <row r="581" spans="1:11" x14ac:dyDescent="0.25">
      <c r="A581" s="224">
        <v>8.2800000000000006E-7</v>
      </c>
      <c r="B581" s="225">
        <f t="shared" si="9"/>
        <v>2.3990854799999997E-19</v>
      </c>
      <c r="C581" s="226">
        <v>1.0070179480660319E-2</v>
      </c>
      <c r="D581" s="226">
        <v>1.2301019999999999E-2</v>
      </c>
      <c r="E581" s="226">
        <v>1.7153379999999996E-2</v>
      </c>
      <c r="F581" s="226">
        <v>2.0360499999999997E-2</v>
      </c>
      <c r="G581" s="226">
        <v>2.0853010000000002E-2</v>
      </c>
      <c r="H581" s="226">
        <v>2.7084989999999993E-2</v>
      </c>
      <c r="I581" s="226">
        <v>3.6713739999999995E-2</v>
      </c>
      <c r="J581" s="226">
        <v>5.6794399999999995E-2</v>
      </c>
      <c r="K581" s="226">
        <v>0.11281379999999999</v>
      </c>
    </row>
    <row r="582" spans="1:11" x14ac:dyDescent="0.25">
      <c r="A582" s="224">
        <v>8.2900000000000002E-7</v>
      </c>
      <c r="B582" s="225">
        <f t="shared" si="9"/>
        <v>2.3961915288781666E-19</v>
      </c>
      <c r="C582" s="226">
        <v>1.0032059961473631E-2</v>
      </c>
      <c r="D582" s="226">
        <v>1.1969519999999999E-2</v>
      </c>
      <c r="E582" s="226">
        <v>1.6928884999999998E-2</v>
      </c>
      <c r="F582" s="226">
        <v>2.0295609999999999E-2</v>
      </c>
      <c r="G582" s="226">
        <v>2.0594525000000002E-2</v>
      </c>
      <c r="H582" s="226">
        <v>2.6874969999999998E-2</v>
      </c>
      <c r="I582" s="226">
        <v>3.6608809999999992E-2</v>
      </c>
      <c r="J582" s="226">
        <v>5.6241384999999991E-2</v>
      </c>
      <c r="K582" s="226">
        <v>0.11674699999999999</v>
      </c>
    </row>
    <row r="583" spans="1:11" x14ac:dyDescent="0.25">
      <c r="A583" s="224">
        <v>8.2999999999999999E-7</v>
      </c>
      <c r="B583" s="225">
        <f t="shared" si="9"/>
        <v>2.3933045511325302E-19</v>
      </c>
      <c r="C583" s="226">
        <v>9.9993900918821394E-3</v>
      </c>
      <c r="D583" s="226">
        <v>1.1638019999999999E-2</v>
      </c>
      <c r="E583" s="226">
        <v>1.6704389999999996E-2</v>
      </c>
      <c r="F583" s="226">
        <v>2.0230719999999997E-2</v>
      </c>
      <c r="G583" s="226">
        <v>2.033604E-2</v>
      </c>
      <c r="H583" s="226">
        <v>2.666495E-2</v>
      </c>
      <c r="I583" s="226">
        <v>3.6503879999999995E-2</v>
      </c>
      <c r="J583" s="226">
        <v>5.5688369999999994E-2</v>
      </c>
      <c r="K583" s="226">
        <v>0.12068019999999999</v>
      </c>
    </row>
    <row r="584" spans="1:11" x14ac:dyDescent="0.25">
      <c r="A584" s="224">
        <v>8.3100000000000007E-7</v>
      </c>
      <c r="B584" s="225">
        <f t="shared" si="9"/>
        <v>2.3904245215884477E-19</v>
      </c>
      <c r="C584" s="226">
        <v>9.9708675845248118E-3</v>
      </c>
      <c r="D584" s="226">
        <v>1.2175904999999999E-2</v>
      </c>
      <c r="E584" s="226">
        <v>1.6648494999999996E-2</v>
      </c>
      <c r="F584" s="226">
        <v>1.9927769999999997E-2</v>
      </c>
      <c r="G584" s="226">
        <v>2.0350954999999997E-2</v>
      </c>
      <c r="H584" s="226">
        <v>2.6689604999999998E-2</v>
      </c>
      <c r="I584" s="226">
        <v>3.5876689999999996E-2</v>
      </c>
      <c r="J584" s="226">
        <v>5.4784744999999996E-2</v>
      </c>
      <c r="K584" s="226">
        <v>0.12119184999999999</v>
      </c>
    </row>
    <row r="585" spans="1:11" x14ac:dyDescent="0.25">
      <c r="A585" s="224">
        <v>8.3200000000000004E-7</v>
      </c>
      <c r="B585" s="225">
        <f t="shared" si="9"/>
        <v>2.3875514151923075E-19</v>
      </c>
      <c r="C585" s="226">
        <v>9.9324523046397245E-3</v>
      </c>
      <c r="D585" s="226">
        <v>1.2713789999999999E-2</v>
      </c>
      <c r="E585" s="226">
        <v>1.6592599999999996E-2</v>
      </c>
      <c r="F585" s="226">
        <v>1.9624819999999994E-2</v>
      </c>
      <c r="G585" s="226">
        <v>2.0365869999999998E-2</v>
      </c>
      <c r="H585" s="226">
        <v>2.671426E-2</v>
      </c>
      <c r="I585" s="226">
        <v>3.5249499999999996E-2</v>
      </c>
      <c r="J585" s="226">
        <v>5.3881119999999991E-2</v>
      </c>
      <c r="K585" s="226">
        <v>0.12170349999999998</v>
      </c>
    </row>
    <row r="586" spans="1:11" x14ac:dyDescent="0.25">
      <c r="A586" s="224">
        <v>8.3300000000000001E-7</v>
      </c>
      <c r="B586" s="225">
        <f t="shared" si="9"/>
        <v>2.3846852070108044E-19</v>
      </c>
      <c r="C586" s="226">
        <v>9.8755561911835141E-3</v>
      </c>
      <c r="D586" s="226">
        <v>1.2333529999999999E-2</v>
      </c>
      <c r="E586" s="226">
        <v>1.6520679999999996E-2</v>
      </c>
      <c r="F586" s="226">
        <v>1.9498314999999995E-2</v>
      </c>
      <c r="G586" s="226">
        <v>2.0507024999999998E-2</v>
      </c>
      <c r="H586" s="226">
        <v>2.6474649999999999E-2</v>
      </c>
      <c r="I586" s="226">
        <v>3.5541980000000001E-2</v>
      </c>
      <c r="J586" s="226">
        <v>5.3720274999999991E-2</v>
      </c>
      <c r="K586" s="226">
        <v>0.12148134999999997</v>
      </c>
    </row>
    <row r="587" spans="1:11" x14ac:dyDescent="0.25">
      <c r="A587" s="224">
        <v>8.3400000000000008E-7</v>
      </c>
      <c r="B587" s="225">
        <f t="shared" si="9"/>
        <v>2.3818258722302158E-19</v>
      </c>
      <c r="C587" s="226">
        <v>9.8339416011726695E-3</v>
      </c>
      <c r="D587" s="226">
        <v>1.195327E-2</v>
      </c>
      <c r="E587" s="226">
        <v>1.644876E-2</v>
      </c>
      <c r="F587" s="226">
        <v>1.9371809999999996E-2</v>
      </c>
      <c r="G587" s="226">
        <v>2.0648179999999995E-2</v>
      </c>
      <c r="H587" s="226">
        <v>2.6235039999999998E-2</v>
      </c>
      <c r="I587" s="226">
        <v>3.5834459999999999E-2</v>
      </c>
      <c r="J587" s="226">
        <v>5.3559429999999991E-2</v>
      </c>
      <c r="K587" s="226">
        <v>0.12125919999999997</v>
      </c>
    </row>
    <row r="588" spans="1:11" x14ac:dyDescent="0.25">
      <c r="A588" s="224">
        <v>8.3500000000000005E-7</v>
      </c>
      <c r="B588" s="225">
        <f t="shared" si="9"/>
        <v>2.3789733861556884E-19</v>
      </c>
      <c r="C588" s="226">
        <v>9.81501870460251E-3</v>
      </c>
      <c r="D588" s="226">
        <v>1.2095180000000001E-2</v>
      </c>
      <c r="E588" s="226">
        <v>1.6409435E-2</v>
      </c>
      <c r="F588" s="226">
        <v>1.9396779999999999E-2</v>
      </c>
      <c r="G588" s="226">
        <v>2.0748774999999997E-2</v>
      </c>
      <c r="H588" s="226">
        <v>2.6616914999999998E-2</v>
      </c>
      <c r="I588" s="226">
        <v>3.5206724999999994E-2</v>
      </c>
      <c r="J588" s="226">
        <v>5.4491964999999989E-2</v>
      </c>
      <c r="K588" s="226">
        <v>0.12075299999999997</v>
      </c>
    </row>
    <row r="589" spans="1:11" x14ac:dyDescent="0.25">
      <c r="A589" s="224">
        <v>8.3600000000000002E-7</v>
      </c>
      <c r="B589" s="225">
        <f t="shared" si="9"/>
        <v>2.3761277242105263E-19</v>
      </c>
      <c r="C589" s="226">
        <v>9.789221181416459E-3</v>
      </c>
      <c r="D589" s="226">
        <v>1.2237089999999999E-2</v>
      </c>
      <c r="E589" s="226">
        <v>1.6370109999999997E-2</v>
      </c>
      <c r="F589" s="226">
        <v>1.9421750000000002E-2</v>
      </c>
      <c r="G589" s="226">
        <v>2.0849369999999996E-2</v>
      </c>
      <c r="H589" s="226">
        <v>2.6998789999999998E-2</v>
      </c>
      <c r="I589" s="226">
        <v>3.457898999999999E-2</v>
      </c>
      <c r="J589" s="226">
        <v>5.5424499999999981E-2</v>
      </c>
      <c r="K589" s="226">
        <v>0.12024679999999999</v>
      </c>
    </row>
    <row r="590" spans="1:11" x14ac:dyDescent="0.25">
      <c r="A590" s="224">
        <v>8.3699999999999999E-7</v>
      </c>
      <c r="B590" s="225">
        <f t="shared" si="9"/>
        <v>2.373288861935484E-19</v>
      </c>
      <c r="C590" s="226">
        <v>9.7524812474079382E-3</v>
      </c>
      <c r="D590" s="226">
        <v>1.1923675E-2</v>
      </c>
      <c r="E590" s="226">
        <v>1.6722414999999997E-2</v>
      </c>
      <c r="F590" s="226">
        <v>1.9414460000000001E-2</v>
      </c>
      <c r="G590" s="226">
        <v>2.0996344999999996E-2</v>
      </c>
      <c r="H590" s="226">
        <v>2.6902364999999998E-2</v>
      </c>
      <c r="I590" s="226">
        <v>3.5862069999999996E-2</v>
      </c>
      <c r="J590" s="226">
        <v>5.4741364999999986E-2</v>
      </c>
      <c r="K590" s="226">
        <v>0.11967504999999998</v>
      </c>
    </row>
    <row r="591" spans="1:11" x14ac:dyDescent="0.25">
      <c r="A591" s="224">
        <v>8.3800000000000007E-7</v>
      </c>
      <c r="B591" s="225">
        <f t="shared" si="9"/>
        <v>2.3704567749880667E-19</v>
      </c>
      <c r="C591" s="226">
        <v>9.7127499229670185E-3</v>
      </c>
      <c r="D591" s="226">
        <v>1.1610260000000001E-2</v>
      </c>
      <c r="E591" s="226">
        <v>1.7074719999999998E-2</v>
      </c>
      <c r="F591" s="226">
        <v>1.9407170000000001E-2</v>
      </c>
      <c r="G591" s="226">
        <v>2.1143319999999997E-2</v>
      </c>
      <c r="H591" s="226">
        <v>2.6805939999999997E-2</v>
      </c>
      <c r="I591" s="226">
        <v>3.7145149999999995E-2</v>
      </c>
      <c r="J591" s="226">
        <v>5.4058229999999999E-2</v>
      </c>
      <c r="K591" s="226">
        <v>0.11910329999999998</v>
      </c>
    </row>
    <row r="592" spans="1:11" x14ac:dyDescent="0.25">
      <c r="A592" s="224">
        <v>8.3900000000000004E-7</v>
      </c>
      <c r="B592" s="225">
        <f t="shared" si="9"/>
        <v>2.3676314391418354E-19</v>
      </c>
      <c r="C592" s="226">
        <v>9.6692022383727833E-3</v>
      </c>
      <c r="D592" s="226">
        <v>1.2004404999999999E-2</v>
      </c>
      <c r="E592" s="226">
        <v>1.6956559999999999E-2</v>
      </c>
      <c r="F592" s="226">
        <v>1.9212855000000001E-2</v>
      </c>
      <c r="G592" s="226">
        <v>2.1217539999999997E-2</v>
      </c>
      <c r="H592" s="226">
        <v>2.7277119999999995E-2</v>
      </c>
      <c r="I592" s="226">
        <v>3.6329674999999992E-2</v>
      </c>
      <c r="J592" s="226">
        <v>5.3937144999999992E-2</v>
      </c>
      <c r="K592" s="226">
        <v>0.11713849999999998</v>
      </c>
    </row>
    <row r="593" spans="1:11" x14ac:dyDescent="0.25">
      <c r="A593" s="224">
        <v>8.4E-7</v>
      </c>
      <c r="B593" s="225">
        <f t="shared" si="9"/>
        <v>2.364812830285714E-19</v>
      </c>
      <c r="C593" s="226">
        <v>9.631580117647056E-3</v>
      </c>
      <c r="D593" s="226">
        <v>1.2398549999999998E-2</v>
      </c>
      <c r="E593" s="226">
        <v>1.68384E-2</v>
      </c>
      <c r="F593" s="226">
        <v>1.9018539999999997E-2</v>
      </c>
      <c r="G593" s="226">
        <v>2.1291759999999996E-2</v>
      </c>
      <c r="H593" s="226">
        <v>2.7748299999999997E-2</v>
      </c>
      <c r="I593" s="226">
        <v>3.5514199999999996E-2</v>
      </c>
      <c r="J593" s="226">
        <v>5.3816059999999985E-2</v>
      </c>
      <c r="K593" s="226">
        <v>0.11517369999999999</v>
      </c>
    </row>
    <row r="594" spans="1:11" x14ac:dyDescent="0.25">
      <c r="A594" s="224">
        <v>8.4100000000000008E-7</v>
      </c>
      <c r="B594" s="225">
        <f t="shared" si="9"/>
        <v>2.3620009244233054E-19</v>
      </c>
      <c r="C594" s="226">
        <v>9.5809846580009479E-3</v>
      </c>
      <c r="D594" s="226">
        <v>1.1885319999999998E-2</v>
      </c>
      <c r="E594" s="226">
        <v>1.6728424999999998E-2</v>
      </c>
      <c r="F594" s="226">
        <v>1.9011979999999998E-2</v>
      </c>
      <c r="G594" s="226">
        <v>2.1054919999999998E-2</v>
      </c>
      <c r="H594" s="226">
        <v>2.8073564999999998E-2</v>
      </c>
      <c r="I594" s="226">
        <v>3.6209024999999992E-2</v>
      </c>
      <c r="J594" s="226">
        <v>5.4004014999999989E-2</v>
      </c>
      <c r="K594" s="226">
        <v>0.11404109999999998</v>
      </c>
    </row>
    <row r="595" spans="1:11" x14ac:dyDescent="0.25">
      <c r="A595" s="224">
        <v>8.4200000000000005E-7</v>
      </c>
      <c r="B595" s="225">
        <f t="shared" si="9"/>
        <v>2.3591956976722087E-19</v>
      </c>
      <c r="C595" s="226">
        <v>9.5405802230778287E-3</v>
      </c>
      <c r="D595" s="226">
        <v>1.1372089999999998E-2</v>
      </c>
      <c r="E595" s="226">
        <v>1.661845E-2</v>
      </c>
      <c r="F595" s="226">
        <v>1.9005419999999999E-2</v>
      </c>
      <c r="G595" s="226">
        <v>2.0818079999999996E-2</v>
      </c>
      <c r="H595" s="226">
        <v>2.839883E-2</v>
      </c>
      <c r="I595" s="226">
        <v>3.6903849999999995E-2</v>
      </c>
      <c r="J595" s="226">
        <v>5.4191969999999999E-2</v>
      </c>
      <c r="K595" s="226">
        <v>0.11290849999999998</v>
      </c>
    </row>
    <row r="596" spans="1:11" x14ac:dyDescent="0.25">
      <c r="A596" s="224">
        <v>8.4300000000000002E-7</v>
      </c>
      <c r="B596" s="225">
        <f t="shared" si="9"/>
        <v>2.3563971262633451E-19</v>
      </c>
      <c r="C596" s="226">
        <v>9.4830243899408275E-3</v>
      </c>
      <c r="D596" s="226">
        <v>1.1504874999999998E-2</v>
      </c>
      <c r="E596" s="226">
        <v>1.6379024999999998E-2</v>
      </c>
      <c r="F596" s="226">
        <v>1.9138669999999997E-2</v>
      </c>
      <c r="G596" s="226">
        <v>2.0513754999999995E-2</v>
      </c>
      <c r="H596" s="226">
        <v>2.7763279999999998E-2</v>
      </c>
      <c r="I596" s="226">
        <v>3.5571414999999995E-2</v>
      </c>
      <c r="J596" s="226">
        <v>5.4647394999999994E-2</v>
      </c>
      <c r="K596" s="226">
        <v>0.11076159999999997</v>
      </c>
    </row>
    <row r="597" spans="1:11" x14ac:dyDescent="0.25">
      <c r="A597" s="224">
        <v>8.4399999999999999E-7</v>
      </c>
      <c r="B597" s="225">
        <f t="shared" si="9"/>
        <v>2.3536051865402843E-19</v>
      </c>
      <c r="C597" s="226">
        <v>9.3736827531039277E-3</v>
      </c>
      <c r="D597" s="226">
        <v>1.1637659999999999E-2</v>
      </c>
      <c r="E597" s="226">
        <v>1.6139599999999997E-2</v>
      </c>
      <c r="F597" s="226">
        <v>1.9271919999999998E-2</v>
      </c>
      <c r="G597" s="226">
        <v>2.0209429999999997E-2</v>
      </c>
      <c r="H597" s="226">
        <v>2.7127729999999996E-2</v>
      </c>
      <c r="I597" s="226">
        <v>3.4238979999999995E-2</v>
      </c>
      <c r="J597" s="226">
        <v>5.510281999999999E-2</v>
      </c>
      <c r="K597" s="226">
        <v>0.10861469999999997</v>
      </c>
    </row>
    <row r="598" spans="1:11" x14ac:dyDescent="0.25">
      <c r="A598" s="224">
        <v>8.4500000000000006E-7</v>
      </c>
      <c r="B598" s="225">
        <f t="shared" si="9"/>
        <v>2.3508198549585797E-19</v>
      </c>
      <c r="C598" s="226">
        <v>9.3282443182945551E-3</v>
      </c>
      <c r="D598" s="226">
        <v>1.1275475E-2</v>
      </c>
      <c r="E598" s="226">
        <v>1.5786199999999997E-2</v>
      </c>
      <c r="F598" s="226">
        <v>1.9226344999999999E-2</v>
      </c>
      <c r="G598" s="226">
        <v>2.0669464999999995E-2</v>
      </c>
      <c r="H598" s="226">
        <v>2.7078964999999997E-2</v>
      </c>
      <c r="I598" s="226">
        <v>3.5388799999999991E-2</v>
      </c>
      <c r="J598" s="226">
        <v>5.4533539999999991E-2</v>
      </c>
      <c r="K598" s="226">
        <v>0.10443204999999997</v>
      </c>
    </row>
    <row r="599" spans="1:11" x14ac:dyDescent="0.25">
      <c r="A599" s="224">
        <v>8.4600000000000003E-7</v>
      </c>
      <c r="B599" s="225">
        <f t="shared" si="9"/>
        <v>2.3480411080851062E-19</v>
      </c>
      <c r="C599" s="226">
        <v>9.3001794303244831E-3</v>
      </c>
      <c r="D599" s="226">
        <v>1.0913289999999999E-2</v>
      </c>
      <c r="E599" s="226">
        <v>1.5432799999999998E-2</v>
      </c>
      <c r="F599" s="226">
        <v>1.9180769999999996E-2</v>
      </c>
      <c r="G599" s="226">
        <v>2.1129499999999992E-2</v>
      </c>
      <c r="H599" s="226">
        <v>2.7030199999999997E-2</v>
      </c>
      <c r="I599" s="226">
        <v>3.6538619999999987E-2</v>
      </c>
      <c r="J599" s="226">
        <v>5.3964259999999993E-2</v>
      </c>
      <c r="K599" s="226">
        <v>0.10024939999999997</v>
      </c>
    </row>
    <row r="600" spans="1:11" x14ac:dyDescent="0.25">
      <c r="A600" s="224">
        <v>8.47E-7</v>
      </c>
      <c r="B600" s="225">
        <f t="shared" si="9"/>
        <v>2.3452689225974024E-19</v>
      </c>
      <c r="C600" s="226">
        <v>9.222433969114702E-3</v>
      </c>
      <c r="D600" s="226">
        <v>1.1278579999999998E-2</v>
      </c>
      <c r="E600" s="226">
        <v>1.5985204999999999E-2</v>
      </c>
      <c r="F600" s="226">
        <v>1.8981904999999997E-2</v>
      </c>
      <c r="G600" s="226">
        <v>2.0581789999999996E-2</v>
      </c>
      <c r="H600" s="226">
        <v>2.6680834999999996E-2</v>
      </c>
      <c r="I600" s="226">
        <v>3.6452519999999988E-2</v>
      </c>
      <c r="J600" s="226">
        <v>5.3922689999999995E-2</v>
      </c>
      <c r="K600" s="226">
        <v>0.10152949999999998</v>
      </c>
    </row>
    <row r="601" spans="1:11" x14ac:dyDescent="0.25">
      <c r="A601" s="224">
        <v>8.4800000000000008E-7</v>
      </c>
      <c r="B601" s="225">
        <f t="shared" si="9"/>
        <v>2.3425032752830187E-19</v>
      </c>
      <c r="C601" s="226">
        <v>9.2885209410588209E-3</v>
      </c>
      <c r="D601" s="226">
        <v>1.1643869999999997E-2</v>
      </c>
      <c r="E601" s="226">
        <v>1.6537609999999998E-2</v>
      </c>
      <c r="F601" s="226">
        <v>1.8783039999999997E-2</v>
      </c>
      <c r="G601" s="226">
        <v>2.0034079999999999E-2</v>
      </c>
      <c r="H601" s="226">
        <v>2.6331469999999996E-2</v>
      </c>
      <c r="I601" s="226">
        <v>3.6366419999999997E-2</v>
      </c>
      <c r="J601" s="226">
        <v>5.3881119999999991E-2</v>
      </c>
      <c r="K601" s="226">
        <v>0.10280959999999999</v>
      </c>
    </row>
    <row r="602" spans="1:11" x14ac:dyDescent="0.25">
      <c r="A602" s="224">
        <v>8.4900000000000005E-7</v>
      </c>
      <c r="B602" s="225">
        <f t="shared" si="9"/>
        <v>2.3397441430388691E-19</v>
      </c>
      <c r="C602" s="226">
        <v>9.2291288386414563E-3</v>
      </c>
      <c r="D602" s="226">
        <v>1.1677839999999998E-2</v>
      </c>
      <c r="E602" s="226">
        <v>1.6026899999999997E-2</v>
      </c>
      <c r="F602" s="226">
        <v>1.8632289999999996E-2</v>
      </c>
      <c r="G602" s="226">
        <v>1.9987149999999999E-2</v>
      </c>
      <c r="H602" s="226">
        <v>2.6330919999999994E-2</v>
      </c>
      <c r="I602" s="226">
        <v>3.5548384999999995E-2</v>
      </c>
      <c r="J602" s="226">
        <v>5.3761844999999989E-2</v>
      </c>
      <c r="K602" s="226">
        <v>0.10202839999999999</v>
      </c>
    </row>
    <row r="603" spans="1:11" x14ac:dyDescent="0.25">
      <c r="A603" s="224">
        <v>8.5000000000000001E-7</v>
      </c>
      <c r="B603" s="225">
        <f t="shared" si="9"/>
        <v>2.3369915028705881E-19</v>
      </c>
      <c r="C603" s="226">
        <v>8.9692575224231182E-3</v>
      </c>
      <c r="D603" s="226">
        <v>1.1711809999999998E-2</v>
      </c>
      <c r="E603" s="226">
        <v>1.5516189999999997E-2</v>
      </c>
      <c r="F603" s="226">
        <v>1.8481539999999998E-2</v>
      </c>
      <c r="G603" s="226">
        <v>1.9940219999999998E-2</v>
      </c>
      <c r="H603" s="226">
        <v>2.6330369999999995E-2</v>
      </c>
      <c r="I603" s="226">
        <v>3.4730349999999993E-2</v>
      </c>
      <c r="J603" s="226">
        <v>5.3642569999999994E-2</v>
      </c>
      <c r="K603" s="226">
        <v>0.10124719999999998</v>
      </c>
    </row>
    <row r="604" spans="1:11" x14ac:dyDescent="0.25">
      <c r="A604" s="224">
        <v>8.5099999999999998E-7</v>
      </c>
      <c r="B604" s="225">
        <f t="shared" si="9"/>
        <v>2.3342453318918921E-19</v>
      </c>
      <c r="C604" s="226">
        <v>8.9811996523574793E-3</v>
      </c>
      <c r="D604" s="226">
        <v>1.1582679999999998E-2</v>
      </c>
      <c r="E604" s="226">
        <v>1.5676959999999997E-2</v>
      </c>
      <c r="F604" s="226">
        <v>1.8331889999999997E-2</v>
      </c>
      <c r="G604" s="226">
        <v>2.0197065E-2</v>
      </c>
      <c r="H604" s="226">
        <v>2.5825584999999998E-2</v>
      </c>
      <c r="I604" s="226">
        <v>3.4356519999999995E-2</v>
      </c>
      <c r="J604" s="226">
        <v>5.3261239999999994E-2</v>
      </c>
      <c r="K604" s="226">
        <v>0.10166419999999998</v>
      </c>
    </row>
    <row r="605" spans="1:11" x14ac:dyDescent="0.25">
      <c r="A605" s="224">
        <v>8.5200000000000006E-7</v>
      </c>
      <c r="B605" s="225">
        <f t="shared" si="9"/>
        <v>2.3315056073239436E-19</v>
      </c>
      <c r="C605" s="226">
        <v>9.2070059020388922E-3</v>
      </c>
      <c r="D605" s="226">
        <v>1.1453549999999998E-2</v>
      </c>
      <c r="E605" s="226">
        <v>1.5837729999999998E-2</v>
      </c>
      <c r="F605" s="226">
        <v>1.8182239999999999E-2</v>
      </c>
      <c r="G605" s="226">
        <v>2.0453909999999999E-2</v>
      </c>
      <c r="H605" s="226">
        <v>2.5320799999999997E-2</v>
      </c>
      <c r="I605" s="226">
        <v>3.3982689999999996E-2</v>
      </c>
      <c r="J605" s="226">
        <v>5.2879909999999995E-2</v>
      </c>
      <c r="K605" s="226">
        <v>0.10208119999999998</v>
      </c>
    </row>
    <row r="606" spans="1:11" x14ac:dyDescent="0.25">
      <c r="A606" s="224">
        <v>8.5300000000000003E-7</v>
      </c>
      <c r="B606" s="225">
        <f t="shared" si="9"/>
        <v>2.3287723064947244E-19</v>
      </c>
      <c r="C606" s="226">
        <v>9.1796863506964747E-3</v>
      </c>
      <c r="D606" s="226">
        <v>1.1411724999999998E-2</v>
      </c>
      <c r="E606" s="226">
        <v>1.5358149999999997E-2</v>
      </c>
      <c r="F606" s="226">
        <v>1.8155444999999999E-2</v>
      </c>
      <c r="G606" s="226">
        <v>1.9695375000000001E-2</v>
      </c>
      <c r="H606" s="226">
        <v>2.5224004999999994E-2</v>
      </c>
      <c r="I606" s="226">
        <v>3.3482914999999995E-2</v>
      </c>
      <c r="J606" s="226">
        <v>5.1757609999999996E-2</v>
      </c>
      <c r="K606" s="226">
        <v>0.1025219</v>
      </c>
    </row>
    <row r="607" spans="1:11" x14ac:dyDescent="0.25">
      <c r="A607" s="224">
        <v>8.54E-7</v>
      </c>
      <c r="B607" s="225">
        <f t="shared" si="9"/>
        <v>2.3260454068384073E-19</v>
      </c>
      <c r="C607" s="226">
        <v>8.7071051144725908E-3</v>
      </c>
      <c r="D607" s="226">
        <v>1.1369899999999997E-2</v>
      </c>
      <c r="E607" s="226">
        <v>1.4878569999999997E-2</v>
      </c>
      <c r="F607" s="226">
        <v>1.812865E-2</v>
      </c>
      <c r="G607" s="226">
        <v>1.893684E-2</v>
      </c>
      <c r="H607" s="226">
        <v>2.5127209999999994E-2</v>
      </c>
      <c r="I607" s="226">
        <v>3.2983139999999994E-2</v>
      </c>
      <c r="J607" s="226">
        <v>5.0635309999999989E-2</v>
      </c>
      <c r="K607" s="226">
        <v>0.1029626</v>
      </c>
    </row>
    <row r="608" spans="1:11" x14ac:dyDescent="0.25">
      <c r="A608" s="224">
        <v>8.5500000000000007E-7</v>
      </c>
      <c r="B608" s="225">
        <f t="shared" si="9"/>
        <v>2.3233248858947366E-19</v>
      </c>
      <c r="C608" s="226">
        <v>8.5154787163865663E-3</v>
      </c>
      <c r="D608" s="226">
        <v>1.1461224999999998E-2</v>
      </c>
      <c r="E608" s="226">
        <v>1.4881485E-2</v>
      </c>
      <c r="F608" s="226">
        <v>1.8176039999999997E-2</v>
      </c>
      <c r="G608" s="226">
        <v>1.8908099999999997E-2</v>
      </c>
      <c r="H608" s="226">
        <v>2.5007954999999995E-2</v>
      </c>
      <c r="I608" s="226">
        <v>3.2997399999999996E-2</v>
      </c>
      <c r="J608" s="226">
        <v>5.050880499999999E-2</v>
      </c>
      <c r="K608" s="226">
        <v>0.10345604999999999</v>
      </c>
    </row>
    <row r="609" spans="1:11" x14ac:dyDescent="0.25">
      <c r="A609" s="224">
        <v>8.5600000000000004E-7</v>
      </c>
      <c r="B609" s="225">
        <f t="shared" si="9"/>
        <v>2.3206107213084109E-19</v>
      </c>
      <c r="C609" s="226">
        <v>8.9178301012008809E-3</v>
      </c>
      <c r="D609" s="226">
        <v>1.155255E-2</v>
      </c>
      <c r="E609" s="226">
        <v>1.4884400000000001E-2</v>
      </c>
      <c r="F609" s="226">
        <v>1.8223429999999999E-2</v>
      </c>
      <c r="G609" s="226">
        <v>1.8879359999999998E-2</v>
      </c>
      <c r="H609" s="226">
        <v>2.4888699999999996E-2</v>
      </c>
      <c r="I609" s="226">
        <v>3.3011659999999998E-2</v>
      </c>
      <c r="J609" s="226">
        <v>5.0382299999999984E-2</v>
      </c>
      <c r="K609" s="226">
        <v>0.10394949999999999</v>
      </c>
    </row>
    <row r="610" spans="1:11" x14ac:dyDescent="0.25">
      <c r="A610" s="224">
        <v>8.5700000000000001E-7</v>
      </c>
      <c r="B610" s="225">
        <f t="shared" si="9"/>
        <v>2.3179028908284714E-19</v>
      </c>
      <c r="C610" s="226">
        <v>9.2173647192267463E-3</v>
      </c>
      <c r="D610" s="226">
        <v>1.1712179999999999E-2</v>
      </c>
      <c r="E610" s="226">
        <v>1.5332294999999999E-2</v>
      </c>
      <c r="F610" s="226">
        <v>1.8114059999999998E-2</v>
      </c>
      <c r="G610" s="226">
        <v>1.9351399999999998E-2</v>
      </c>
      <c r="H610" s="226">
        <v>2.5636929999999995E-2</v>
      </c>
      <c r="I610" s="226">
        <v>3.4260184999999999E-2</v>
      </c>
      <c r="J610" s="226">
        <v>5.2733524999999989E-2</v>
      </c>
      <c r="K610" s="226">
        <v>0.10908814999999999</v>
      </c>
    </row>
    <row r="611" spans="1:11" x14ac:dyDescent="0.25">
      <c r="A611" s="224">
        <v>8.5799999999999998E-7</v>
      </c>
      <c r="B611" s="225">
        <f t="shared" si="9"/>
        <v>2.3152013723076923E-19</v>
      </c>
      <c r="C611" s="226">
        <v>9.1319224582266691E-3</v>
      </c>
      <c r="D611" s="226">
        <v>1.1871809999999997E-2</v>
      </c>
      <c r="E611" s="226">
        <v>1.5780189999999999E-2</v>
      </c>
      <c r="F611" s="226">
        <v>1.8004689999999997E-2</v>
      </c>
      <c r="G611" s="226">
        <v>1.9823439999999998E-2</v>
      </c>
      <c r="H611" s="226">
        <v>2.6385159999999994E-2</v>
      </c>
      <c r="I611" s="226">
        <v>3.5508709999999999E-2</v>
      </c>
      <c r="J611" s="226">
        <v>5.5084749999999988E-2</v>
      </c>
      <c r="K611" s="226">
        <v>0.11422679999999999</v>
      </c>
    </row>
    <row r="612" spans="1:11" x14ac:dyDescent="0.25">
      <c r="A612" s="224">
        <v>8.5900000000000006E-7</v>
      </c>
      <c r="B612" s="225">
        <f t="shared" si="9"/>
        <v>2.3125061437019787E-19</v>
      </c>
      <c r="C612" s="226">
        <v>8.590212323259289E-3</v>
      </c>
      <c r="D612" s="226">
        <v>1.1850074999999998E-2</v>
      </c>
      <c r="E612" s="226">
        <v>1.5483594999999999E-2</v>
      </c>
      <c r="F612" s="226">
        <v>1.7962949999999998E-2</v>
      </c>
      <c r="G612" s="226">
        <v>2.0031169999999997E-2</v>
      </c>
      <c r="H612" s="226">
        <v>2.6376394999999997E-2</v>
      </c>
      <c r="I612" s="226">
        <v>3.5938474999999998E-2</v>
      </c>
      <c r="J612" s="226">
        <v>5.5299809999999991E-2</v>
      </c>
      <c r="K612" s="226">
        <v>0.11372784999999999</v>
      </c>
    </row>
    <row r="613" spans="1:11" x14ac:dyDescent="0.25">
      <c r="A613" s="224">
        <v>8.6000000000000002E-7</v>
      </c>
      <c r="B613" s="225">
        <f t="shared" si="9"/>
        <v>2.3098171830697673E-19</v>
      </c>
      <c r="C613" s="226">
        <v>8.0650501995359475E-3</v>
      </c>
      <c r="D613" s="226">
        <v>1.182834E-2</v>
      </c>
      <c r="E613" s="226">
        <v>1.5186999999999997E-2</v>
      </c>
      <c r="F613" s="226">
        <v>1.7921209999999996E-2</v>
      </c>
      <c r="G613" s="226">
        <v>2.0238899999999997E-2</v>
      </c>
      <c r="H613" s="226">
        <v>2.636763E-2</v>
      </c>
      <c r="I613" s="226">
        <v>3.6368239999999996E-2</v>
      </c>
      <c r="J613" s="226">
        <v>5.5514870000000001E-2</v>
      </c>
      <c r="K613" s="226">
        <v>0.11322889999999998</v>
      </c>
    </row>
    <row r="614" spans="1:11" x14ac:dyDescent="0.25">
      <c r="A614" s="224">
        <v>8.6099999999999999E-7</v>
      </c>
      <c r="B614" s="225">
        <f t="shared" si="9"/>
        <v>2.3071344685714286E-19</v>
      </c>
      <c r="C614" s="226">
        <v>8.4369313089581784E-3</v>
      </c>
      <c r="D614" s="226">
        <v>1.192094E-2</v>
      </c>
      <c r="E614" s="226">
        <v>1.5632714999999998E-2</v>
      </c>
      <c r="F614" s="226">
        <v>1.7872174999999997E-2</v>
      </c>
      <c r="G614" s="226">
        <v>2.0704024999999997E-2</v>
      </c>
      <c r="H614" s="226">
        <v>2.6776899999999999E-2</v>
      </c>
      <c r="I614" s="226">
        <v>3.5714179999999998E-2</v>
      </c>
      <c r="J614" s="226">
        <v>5.4667275000000001E-2</v>
      </c>
      <c r="K614" s="226">
        <v>0.10873304999999997</v>
      </c>
    </row>
    <row r="615" spans="1:11" x14ac:dyDescent="0.25">
      <c r="A615" s="224">
        <v>8.6200000000000007E-7</v>
      </c>
      <c r="B615" s="225">
        <f t="shared" si="9"/>
        <v>2.3044579784686773E-19</v>
      </c>
      <c r="C615" s="226">
        <v>9.0319847568600242E-3</v>
      </c>
      <c r="D615" s="226">
        <v>1.201354E-2</v>
      </c>
      <c r="E615" s="226">
        <v>1.6078429999999998E-2</v>
      </c>
      <c r="F615" s="226">
        <v>1.7823139999999998E-2</v>
      </c>
      <c r="G615" s="226">
        <v>2.1169149999999998E-2</v>
      </c>
      <c r="H615" s="226">
        <v>2.7186169999999999E-2</v>
      </c>
      <c r="I615" s="226">
        <v>3.506012E-2</v>
      </c>
      <c r="J615" s="226">
        <v>5.3819680000000002E-2</v>
      </c>
      <c r="K615" s="226">
        <v>0.10423719999999997</v>
      </c>
    </row>
    <row r="616" spans="1:11" x14ac:dyDescent="0.25">
      <c r="A616" s="224">
        <v>8.6300000000000004E-7</v>
      </c>
      <c r="B616" s="225">
        <f t="shared" si="9"/>
        <v>2.3017876911239862E-19</v>
      </c>
      <c r="C616" s="226">
        <v>9.2840922044403335E-3</v>
      </c>
      <c r="D616" s="226">
        <v>1.1985045E-2</v>
      </c>
      <c r="E616" s="226">
        <v>1.5673134999999998E-2</v>
      </c>
      <c r="F616" s="226">
        <v>1.7671299999999997E-2</v>
      </c>
      <c r="G616" s="226">
        <v>2.1245185E-2</v>
      </c>
      <c r="H616" s="226">
        <v>2.6684489999999998E-2</v>
      </c>
      <c r="I616" s="226">
        <v>3.4486124999999999E-2</v>
      </c>
      <c r="J616" s="226">
        <v>5.4108834999999994E-2</v>
      </c>
      <c r="K616" s="226">
        <v>0.10453764999999998</v>
      </c>
    </row>
    <row r="617" spans="1:11" x14ac:dyDescent="0.25">
      <c r="A617" s="224">
        <v>8.6400000000000001E-7</v>
      </c>
      <c r="B617" s="225">
        <f t="shared" si="9"/>
        <v>2.2991235849999999E-19</v>
      </c>
      <c r="C617" s="226">
        <v>9.2304188562514506E-3</v>
      </c>
      <c r="D617" s="226">
        <v>1.1956550000000002E-2</v>
      </c>
      <c r="E617" s="226">
        <v>1.5267839999999998E-2</v>
      </c>
      <c r="F617" s="226">
        <v>1.7519459999999997E-2</v>
      </c>
      <c r="G617" s="226">
        <v>2.1321219999999998E-2</v>
      </c>
      <c r="H617" s="226">
        <v>2.6182809999999997E-2</v>
      </c>
      <c r="I617" s="226">
        <v>3.3912129999999999E-2</v>
      </c>
      <c r="J617" s="226">
        <v>5.4397989999999986E-2</v>
      </c>
      <c r="K617" s="226">
        <v>0.10483809999999998</v>
      </c>
    </row>
    <row r="618" spans="1:11" x14ac:dyDescent="0.25">
      <c r="A618" s="224">
        <v>8.6500000000000008E-7</v>
      </c>
      <c r="B618" s="225">
        <f t="shared" si="9"/>
        <v>2.2964656386589591E-19</v>
      </c>
      <c r="C618" s="226">
        <v>8.7857454113573191E-3</v>
      </c>
      <c r="D618" s="226">
        <v>1.1105614999999999E-2</v>
      </c>
      <c r="E618" s="226">
        <v>1.4873655E-2</v>
      </c>
      <c r="F618" s="226">
        <v>1.7581984999999998E-2</v>
      </c>
      <c r="G618" s="226">
        <v>2.0339129999999997E-2</v>
      </c>
      <c r="H618" s="226">
        <v>2.6277959999999996E-2</v>
      </c>
      <c r="I618" s="226">
        <v>3.3298649999999999E-2</v>
      </c>
      <c r="J618" s="226">
        <v>5.3203404999999988E-2</v>
      </c>
      <c r="K618" s="226">
        <v>0.10574855</v>
      </c>
    </row>
    <row r="619" spans="1:11" x14ac:dyDescent="0.25">
      <c r="A619" s="224">
        <v>8.6600000000000005E-7</v>
      </c>
      <c r="B619" s="225">
        <f t="shared" si="9"/>
        <v>2.2938138307621244E-19</v>
      </c>
      <c r="C619" s="226">
        <v>7.8784659817993444E-3</v>
      </c>
      <c r="D619" s="226">
        <v>1.0254679999999999E-2</v>
      </c>
      <c r="E619" s="226">
        <v>1.4479469999999999E-2</v>
      </c>
      <c r="F619" s="226">
        <v>1.7644509999999999E-2</v>
      </c>
      <c r="G619" s="226">
        <v>1.9357039999999999E-2</v>
      </c>
      <c r="H619" s="226">
        <v>2.6373109999999998E-2</v>
      </c>
      <c r="I619" s="226">
        <v>3.268517E-2</v>
      </c>
      <c r="J619" s="226">
        <v>5.200881999999999E-2</v>
      </c>
      <c r="K619" s="226">
        <v>0.106659</v>
      </c>
    </row>
    <row r="620" spans="1:11" x14ac:dyDescent="0.25">
      <c r="A620" s="224">
        <v>8.6700000000000002E-7</v>
      </c>
      <c r="B620" s="225">
        <f t="shared" si="9"/>
        <v>2.2911681400692041E-19</v>
      </c>
      <c r="C620" s="226">
        <v>7.5642594063758534E-3</v>
      </c>
      <c r="D620" s="226">
        <v>1.1012284999999998E-2</v>
      </c>
      <c r="E620" s="226">
        <v>1.4523529999999998E-2</v>
      </c>
      <c r="F620" s="226">
        <v>1.7771559999999999E-2</v>
      </c>
      <c r="G620" s="226">
        <v>1.9019969999999997E-2</v>
      </c>
      <c r="H620" s="226">
        <v>2.5605519999999996E-2</v>
      </c>
      <c r="I620" s="226">
        <v>3.2329074999999999E-2</v>
      </c>
      <c r="J620" s="226">
        <v>5.0056994999999993E-2</v>
      </c>
      <c r="K620" s="226">
        <v>0.10644414999999999</v>
      </c>
    </row>
    <row r="621" spans="1:11" x14ac:dyDescent="0.25">
      <c r="A621" s="224">
        <v>8.6799999999999999E-7</v>
      </c>
      <c r="B621" s="225">
        <f t="shared" si="9"/>
        <v>2.288528545437788E-19</v>
      </c>
      <c r="C621" s="226">
        <v>8.2872432315209184E-3</v>
      </c>
      <c r="D621" s="226">
        <v>1.1769889999999998E-2</v>
      </c>
      <c r="E621" s="226">
        <v>1.4567589999999997E-2</v>
      </c>
      <c r="F621" s="226">
        <v>1.7898609999999999E-2</v>
      </c>
      <c r="G621" s="226">
        <v>1.8682899999999995E-2</v>
      </c>
      <c r="H621" s="226">
        <v>2.4837929999999994E-2</v>
      </c>
      <c r="I621" s="226">
        <v>3.1972979999999991E-2</v>
      </c>
      <c r="J621" s="226">
        <v>4.8105169999999996E-2</v>
      </c>
      <c r="K621" s="226">
        <v>0.10622929999999997</v>
      </c>
    </row>
    <row r="622" spans="1:11" x14ac:dyDescent="0.25">
      <c r="A622" s="224">
        <v>8.6900000000000007E-7</v>
      </c>
      <c r="B622" s="225">
        <f t="shared" si="9"/>
        <v>2.2858950258227845E-19</v>
      </c>
      <c r="C622" s="226">
        <v>8.998945459170786E-3</v>
      </c>
      <c r="D622" s="226">
        <v>1.1752175E-2</v>
      </c>
      <c r="E622" s="226">
        <v>1.4805559999999997E-2</v>
      </c>
      <c r="F622" s="226">
        <v>1.7799629999999997E-2</v>
      </c>
      <c r="G622" s="226">
        <v>1.8989589999999994E-2</v>
      </c>
      <c r="H622" s="226">
        <v>2.5360064999999994E-2</v>
      </c>
      <c r="I622" s="226">
        <v>3.3688384999999987E-2</v>
      </c>
      <c r="J622" s="226">
        <v>4.9861814999999997E-2</v>
      </c>
      <c r="K622" s="226">
        <v>0.10562109999999998</v>
      </c>
    </row>
    <row r="623" spans="1:11" x14ac:dyDescent="0.25">
      <c r="A623" s="224">
        <v>8.7000000000000003E-7</v>
      </c>
      <c r="B623" s="225">
        <f t="shared" si="9"/>
        <v>2.2832675602758618E-19</v>
      </c>
      <c r="C623" s="226">
        <v>9.3360284700011384E-3</v>
      </c>
      <c r="D623" s="226">
        <v>1.173446E-2</v>
      </c>
      <c r="E623" s="226">
        <v>1.5043529999999998E-2</v>
      </c>
      <c r="F623" s="226">
        <v>1.7700649999999995E-2</v>
      </c>
      <c r="G623" s="226">
        <v>1.9296279999999996E-2</v>
      </c>
      <c r="H623" s="226">
        <v>2.5882199999999994E-2</v>
      </c>
      <c r="I623" s="226">
        <v>3.5403789999999991E-2</v>
      </c>
      <c r="J623" s="226">
        <v>5.1618459999999998E-2</v>
      </c>
      <c r="K623" s="226">
        <v>0.10501289999999999</v>
      </c>
    </row>
    <row r="624" spans="1:11" x14ac:dyDescent="0.25">
      <c r="A624" s="224">
        <v>8.71E-7</v>
      </c>
      <c r="B624" s="225">
        <f t="shared" si="9"/>
        <v>2.2806461279448908E-19</v>
      </c>
      <c r="C624" s="226">
        <v>9.4239382129756941E-3</v>
      </c>
      <c r="D624" s="226">
        <v>1.139748E-2</v>
      </c>
      <c r="E624" s="226">
        <v>1.5167884999999999E-2</v>
      </c>
      <c r="F624" s="226">
        <v>1.7580344999999997E-2</v>
      </c>
      <c r="G624" s="226">
        <v>1.9418519999999995E-2</v>
      </c>
      <c r="H624" s="226">
        <v>2.5961279999999996E-2</v>
      </c>
      <c r="I624" s="226">
        <v>3.5579459999999993E-2</v>
      </c>
      <c r="J624" s="226">
        <v>5.2534730000000002E-2</v>
      </c>
      <c r="K624" s="226">
        <v>0.10760409999999999</v>
      </c>
    </row>
    <row r="625" spans="1:11" x14ac:dyDescent="0.25">
      <c r="A625" s="224">
        <v>8.7200000000000008E-7</v>
      </c>
      <c r="B625" s="225">
        <f t="shared" si="9"/>
        <v>2.2780307080733945E-19</v>
      </c>
      <c r="C625" s="226">
        <v>9.3176303943661842E-3</v>
      </c>
      <c r="D625" s="226">
        <v>1.1060499999999999E-2</v>
      </c>
      <c r="E625" s="226">
        <v>1.5292239999999999E-2</v>
      </c>
      <c r="F625" s="226">
        <v>1.746004E-2</v>
      </c>
      <c r="G625" s="226">
        <v>1.9540759999999997E-2</v>
      </c>
      <c r="H625" s="226">
        <v>2.6040359999999999E-2</v>
      </c>
      <c r="I625" s="226">
        <v>3.5755129999999996E-2</v>
      </c>
      <c r="J625" s="226">
        <v>5.3450999999999999E-2</v>
      </c>
      <c r="K625" s="226">
        <v>0.1101953</v>
      </c>
    </row>
    <row r="626" spans="1:11" x14ac:dyDescent="0.25">
      <c r="A626" s="224">
        <v>8.7300000000000005E-7</v>
      </c>
      <c r="B626" s="225">
        <f t="shared" si="9"/>
        <v>2.2754212799999997E-19</v>
      </c>
      <c r="C626" s="226">
        <v>8.9244072473719759E-3</v>
      </c>
      <c r="D626" s="226">
        <v>1.1079679999999998E-2</v>
      </c>
      <c r="E626" s="226">
        <v>1.4779889999999999E-2</v>
      </c>
      <c r="F626" s="226">
        <v>1.7485194999999999E-2</v>
      </c>
      <c r="G626" s="226">
        <v>1.9402509999999998E-2</v>
      </c>
      <c r="H626" s="226">
        <v>2.5632179999999997E-2</v>
      </c>
      <c r="I626" s="226">
        <v>3.5841415000000001E-2</v>
      </c>
      <c r="J626" s="226">
        <v>5.373834999999999E-2</v>
      </c>
      <c r="K626" s="226">
        <v>0.11121499999999999</v>
      </c>
    </row>
    <row r="627" spans="1:11" x14ac:dyDescent="0.25">
      <c r="A627" s="224">
        <v>8.7400000000000002E-7</v>
      </c>
      <c r="B627" s="225">
        <f t="shared" si="9"/>
        <v>2.2728178231578948E-19</v>
      </c>
      <c r="C627" s="226">
        <v>8.0888960941780559E-3</v>
      </c>
      <c r="D627" s="226">
        <v>1.1098859999999997E-2</v>
      </c>
      <c r="E627" s="226">
        <v>1.4267539999999999E-2</v>
      </c>
      <c r="F627" s="226">
        <v>1.7510349999999997E-2</v>
      </c>
      <c r="G627" s="226">
        <v>1.9264259999999995E-2</v>
      </c>
      <c r="H627" s="226">
        <v>2.5223999999999996E-2</v>
      </c>
      <c r="I627" s="226">
        <v>3.59277E-2</v>
      </c>
      <c r="J627" s="226">
        <v>5.4025699999999989E-2</v>
      </c>
      <c r="K627" s="226">
        <v>0.11223469999999999</v>
      </c>
    </row>
    <row r="628" spans="1:11" x14ac:dyDescent="0.25">
      <c r="A628" s="224">
        <v>8.7499999999999999E-7</v>
      </c>
      <c r="B628" s="225">
        <f t="shared" si="9"/>
        <v>2.2702203170742859E-19</v>
      </c>
      <c r="C628" s="226">
        <v>7.2796042884023249E-3</v>
      </c>
      <c r="D628" s="226">
        <v>1.1052834999999999E-2</v>
      </c>
      <c r="E628" s="226">
        <v>1.4810479999999997E-2</v>
      </c>
      <c r="F628" s="226">
        <v>1.7455479999999999E-2</v>
      </c>
      <c r="G628" s="226">
        <v>1.9356124999999995E-2</v>
      </c>
      <c r="H628" s="226">
        <v>2.5202999999999996E-2</v>
      </c>
      <c r="I628" s="226">
        <v>3.4727245000000004E-2</v>
      </c>
      <c r="J628" s="226">
        <v>5.3261239999999987E-2</v>
      </c>
      <c r="K628" s="226">
        <v>0.11547779999999999</v>
      </c>
    </row>
    <row r="629" spans="1:11" x14ac:dyDescent="0.25">
      <c r="A629" s="224">
        <v>8.7600000000000006E-7</v>
      </c>
      <c r="B629" s="225">
        <f t="shared" si="9"/>
        <v>2.267628741369863E-19</v>
      </c>
      <c r="C629" s="226">
        <v>7.5012481254414778E-3</v>
      </c>
      <c r="D629" s="226">
        <v>1.1006810000000001E-2</v>
      </c>
      <c r="E629" s="226">
        <v>1.5353419999999996E-2</v>
      </c>
      <c r="F629" s="226">
        <v>1.740061E-2</v>
      </c>
      <c r="G629" s="226">
        <v>1.9447989999999998E-2</v>
      </c>
      <c r="H629" s="226">
        <v>2.5181999999999993E-2</v>
      </c>
      <c r="I629" s="226">
        <v>3.3526790000000001E-2</v>
      </c>
      <c r="J629" s="226">
        <v>5.2496779999999986E-2</v>
      </c>
      <c r="K629" s="226">
        <v>0.11872089999999998</v>
      </c>
    </row>
    <row r="630" spans="1:11" x14ac:dyDescent="0.25">
      <c r="A630" s="224">
        <v>8.7700000000000003E-7</v>
      </c>
      <c r="B630" s="225">
        <f t="shared" si="9"/>
        <v>2.2650430757582668E-19</v>
      </c>
      <c r="C630" s="226">
        <v>8.3966655578192346E-3</v>
      </c>
      <c r="D630" s="226">
        <v>1.1385610000000001E-2</v>
      </c>
      <c r="E630" s="226">
        <v>1.5297339999999996E-2</v>
      </c>
      <c r="F630" s="226">
        <v>1.7368164999999998E-2</v>
      </c>
      <c r="G630" s="226">
        <v>1.93896E-2</v>
      </c>
      <c r="H630" s="226">
        <v>2.5613549999999995E-2</v>
      </c>
      <c r="I630" s="226">
        <v>3.3884529999999996E-2</v>
      </c>
      <c r="J630" s="226">
        <v>5.2077499999999985E-2</v>
      </c>
      <c r="K630" s="226">
        <v>0.11507719999999999</v>
      </c>
    </row>
    <row r="631" spans="1:11" x14ac:dyDescent="0.25">
      <c r="A631" s="224">
        <v>8.78E-7</v>
      </c>
      <c r="B631" s="225">
        <f t="shared" si="9"/>
        <v>2.262463300045558E-19</v>
      </c>
      <c r="C631" s="226">
        <v>9.0544027414439839E-3</v>
      </c>
      <c r="D631" s="226">
        <v>1.1764409999999999E-2</v>
      </c>
      <c r="E631" s="226">
        <v>1.5241259999999998E-2</v>
      </c>
      <c r="F631" s="226">
        <v>1.7335719999999999E-2</v>
      </c>
      <c r="G631" s="226">
        <v>1.9331209999999998E-2</v>
      </c>
      <c r="H631" s="226">
        <v>2.6045099999999998E-2</v>
      </c>
      <c r="I631" s="226">
        <v>3.4242269999999998E-2</v>
      </c>
      <c r="J631" s="226">
        <v>5.1658219999999991E-2</v>
      </c>
      <c r="K631" s="226">
        <v>0.11143349999999999</v>
      </c>
    </row>
    <row r="632" spans="1:11" x14ac:dyDescent="0.25">
      <c r="A632" s="224">
        <v>8.7900000000000008E-7</v>
      </c>
      <c r="B632" s="225">
        <f t="shared" si="9"/>
        <v>2.2598893941296925E-19</v>
      </c>
      <c r="C632" s="226">
        <v>9.3808083112221601E-3</v>
      </c>
      <c r="D632" s="226">
        <v>1.1336479999999999E-2</v>
      </c>
      <c r="E632" s="226">
        <v>1.5121274999999997E-2</v>
      </c>
      <c r="F632" s="226">
        <v>1.7396604999999999E-2</v>
      </c>
      <c r="G632" s="226">
        <v>1.9173859999999997E-2</v>
      </c>
      <c r="H632" s="226">
        <v>2.5284269999999998E-2</v>
      </c>
      <c r="I632" s="226">
        <v>3.3343804999999997E-2</v>
      </c>
      <c r="J632" s="226">
        <v>5.2337739999999994E-2</v>
      </c>
      <c r="K632" s="226">
        <v>0.11339464999999999</v>
      </c>
    </row>
    <row r="633" spans="1:11" x14ac:dyDescent="0.25">
      <c r="A633" s="224">
        <v>8.8000000000000004E-7</v>
      </c>
      <c r="B633" s="225">
        <f t="shared" si="9"/>
        <v>2.2573213379999997E-19</v>
      </c>
      <c r="C633" s="226">
        <v>9.4934589999999975E-3</v>
      </c>
      <c r="D633" s="226">
        <v>1.0908549999999998E-2</v>
      </c>
      <c r="E633" s="226">
        <v>1.5001289999999997E-2</v>
      </c>
      <c r="F633" s="226">
        <v>1.7457489999999999E-2</v>
      </c>
      <c r="G633" s="226">
        <v>1.9016509999999997E-2</v>
      </c>
      <c r="H633" s="226">
        <v>2.4523439999999997E-2</v>
      </c>
      <c r="I633" s="226">
        <v>3.2445339999999996E-2</v>
      </c>
      <c r="J633" s="226">
        <v>5.301725999999999E-2</v>
      </c>
      <c r="K633" s="226">
        <v>0.11535579999999999</v>
      </c>
    </row>
    <row r="634" spans="1:11" x14ac:dyDescent="0.25">
      <c r="A634" s="224">
        <v>8.8100000000000001E-7</v>
      </c>
      <c r="B634" s="225">
        <f t="shared" si="9"/>
        <v>2.2547591117366628E-19</v>
      </c>
      <c r="C634" s="226">
        <v>9.4841601765371965E-3</v>
      </c>
      <c r="D634" s="226">
        <v>1.1058134999999998E-2</v>
      </c>
      <c r="E634" s="226">
        <v>1.5137114999999998E-2</v>
      </c>
      <c r="F634" s="226">
        <v>1.7318225E-2</v>
      </c>
      <c r="G634" s="226">
        <v>1.8690174999999996E-2</v>
      </c>
      <c r="H634" s="226">
        <v>2.5159534999999997E-2</v>
      </c>
      <c r="I634" s="226">
        <v>3.2321764999999995E-2</v>
      </c>
      <c r="J634" s="226">
        <v>5.2097374999999994E-2</v>
      </c>
      <c r="K634" s="226">
        <v>0.11250604999999998</v>
      </c>
    </row>
    <row r="635" spans="1:11" x14ac:dyDescent="0.25">
      <c r="A635" s="224">
        <v>8.8199999999999998E-7</v>
      </c>
      <c r="B635" s="225">
        <f t="shared" si="9"/>
        <v>2.2522026955102039E-19</v>
      </c>
      <c r="C635" s="226">
        <v>9.3992819527042373E-3</v>
      </c>
      <c r="D635" s="226">
        <v>1.1207719999999999E-2</v>
      </c>
      <c r="E635" s="226">
        <v>1.5272939999999999E-2</v>
      </c>
      <c r="F635" s="226">
        <v>1.7178959999999997E-2</v>
      </c>
      <c r="G635" s="226">
        <v>1.8363839999999996E-2</v>
      </c>
      <c r="H635" s="226">
        <v>2.5795629999999996E-2</v>
      </c>
      <c r="I635" s="226">
        <v>3.2198189999999995E-2</v>
      </c>
      <c r="J635" s="226">
        <v>5.1177489999999999E-2</v>
      </c>
      <c r="K635" s="226">
        <v>0.10965629999999997</v>
      </c>
    </row>
    <row r="636" spans="1:11" x14ac:dyDescent="0.25">
      <c r="A636" s="224">
        <v>8.8300000000000006E-7</v>
      </c>
      <c r="B636" s="225">
        <f t="shared" si="9"/>
        <v>2.2496520695809736E-19</v>
      </c>
      <c r="C636" s="226">
        <v>9.1801347738472046E-3</v>
      </c>
      <c r="D636" s="226">
        <v>1.0604264999999998E-2</v>
      </c>
      <c r="E636" s="226">
        <v>1.4809384999999998E-2</v>
      </c>
      <c r="F636" s="226">
        <v>1.7056099999999998E-2</v>
      </c>
      <c r="G636" s="226">
        <v>1.8850979999999996E-2</v>
      </c>
      <c r="H636" s="226">
        <v>2.5375399999999996E-2</v>
      </c>
      <c r="I636" s="226">
        <v>3.2538749999999991E-2</v>
      </c>
      <c r="J636" s="226">
        <v>5.2175084999999996E-2</v>
      </c>
      <c r="K636" s="226">
        <v>0.11012974999999997</v>
      </c>
    </row>
    <row r="637" spans="1:11" x14ac:dyDescent="0.25">
      <c r="A637" s="224">
        <v>8.8400000000000003E-7</v>
      </c>
      <c r="B637" s="225">
        <f t="shared" si="9"/>
        <v>2.2471072142986427E-19</v>
      </c>
      <c r="C637" s="226">
        <v>8.7319813439828593E-3</v>
      </c>
      <c r="D637" s="226">
        <v>1.0000809999999999E-2</v>
      </c>
      <c r="E637" s="226">
        <v>1.4345829999999995E-2</v>
      </c>
      <c r="F637" s="226">
        <v>1.6933239999999999E-2</v>
      </c>
      <c r="G637" s="226">
        <v>1.9338119999999997E-2</v>
      </c>
      <c r="H637" s="226">
        <v>2.4955169999999995E-2</v>
      </c>
      <c r="I637" s="226">
        <v>3.2879309999999995E-2</v>
      </c>
      <c r="J637" s="226">
        <v>5.3172679999999986E-2</v>
      </c>
      <c r="K637" s="226">
        <v>0.11060319999999998</v>
      </c>
    </row>
    <row r="638" spans="1:11" x14ac:dyDescent="0.25">
      <c r="A638" s="224">
        <v>8.85E-7</v>
      </c>
      <c r="B638" s="225">
        <f t="shared" si="9"/>
        <v>2.2445681101016948E-19</v>
      </c>
      <c r="C638" s="226">
        <v>7.9311356542583443E-3</v>
      </c>
      <c r="D638" s="226">
        <v>1.0048659999999999E-2</v>
      </c>
      <c r="E638" s="226">
        <v>1.4348194999999998E-2</v>
      </c>
      <c r="F638" s="226">
        <v>1.7084534999999998E-2</v>
      </c>
      <c r="G638" s="226">
        <v>1.9042159999999995E-2</v>
      </c>
      <c r="H638" s="226">
        <v>2.5562779999999997E-2</v>
      </c>
      <c r="I638" s="226">
        <v>3.3593144999999991E-2</v>
      </c>
      <c r="J638" s="226">
        <v>5.3252199999999986E-2</v>
      </c>
      <c r="K638" s="226">
        <v>0.10951244999999998</v>
      </c>
    </row>
    <row r="639" spans="1:11" x14ac:dyDescent="0.25">
      <c r="A639" s="224">
        <v>8.8600000000000007E-7</v>
      </c>
      <c r="B639" s="225">
        <f t="shared" si="9"/>
        <v>2.24203473751693E-19</v>
      </c>
      <c r="C639" s="226">
        <v>6.9826707273239639E-3</v>
      </c>
      <c r="D639" s="226">
        <v>1.009651E-2</v>
      </c>
      <c r="E639" s="226">
        <v>1.4350559999999998E-2</v>
      </c>
      <c r="F639" s="226">
        <v>1.7235829999999997E-2</v>
      </c>
      <c r="G639" s="226">
        <v>1.8746199999999994E-2</v>
      </c>
      <c r="H639" s="226">
        <v>2.6170389999999998E-2</v>
      </c>
      <c r="I639" s="226">
        <v>3.4306979999999994E-2</v>
      </c>
      <c r="J639" s="226">
        <v>5.3331719999999992E-2</v>
      </c>
      <c r="K639" s="226">
        <v>0.1084217</v>
      </c>
    </row>
    <row r="640" spans="1:11" x14ac:dyDescent="0.25">
      <c r="A640" s="224">
        <v>8.8700000000000004E-7</v>
      </c>
      <c r="B640" s="225">
        <f t="shared" si="9"/>
        <v>2.2395070771589625E-19</v>
      </c>
      <c r="C640" s="226">
        <v>6.9078658939547444E-3</v>
      </c>
      <c r="D640" s="226">
        <v>1.0340159999999998E-2</v>
      </c>
      <c r="E640" s="226">
        <v>1.4374409999999997E-2</v>
      </c>
      <c r="F640" s="226">
        <v>1.7266454999999997E-2</v>
      </c>
      <c r="G640" s="226">
        <v>1.8654884999999996E-2</v>
      </c>
      <c r="H640" s="226">
        <v>2.6055149999999999E-2</v>
      </c>
      <c r="I640" s="226">
        <v>3.3608134999999997E-2</v>
      </c>
      <c r="J640" s="226">
        <v>5.2728099999999993E-2</v>
      </c>
      <c r="K640" s="226">
        <v>0.10712340000000001</v>
      </c>
    </row>
    <row r="641" spans="1:11" x14ac:dyDescent="0.25">
      <c r="A641" s="224">
        <v>8.8800000000000001E-7</v>
      </c>
      <c r="B641" s="225">
        <f t="shared" si="9"/>
        <v>2.2369851097297298E-19</v>
      </c>
      <c r="C641" s="226">
        <v>7.8266420046062199E-3</v>
      </c>
      <c r="D641" s="226">
        <v>1.0583809999999997E-2</v>
      </c>
      <c r="E641" s="226">
        <v>1.4398259999999998E-2</v>
      </c>
      <c r="F641" s="226">
        <v>1.7297079999999996E-2</v>
      </c>
      <c r="G641" s="226">
        <v>1.8563569999999998E-2</v>
      </c>
      <c r="H641" s="226">
        <v>2.5939909999999997E-2</v>
      </c>
      <c r="I641" s="226">
        <v>3.2909289999999994E-2</v>
      </c>
      <c r="J641" s="226">
        <v>5.2124479999999994E-2</v>
      </c>
      <c r="K641" s="226">
        <v>0.10582510000000001</v>
      </c>
    </row>
    <row r="642" spans="1:11" x14ac:dyDescent="0.25">
      <c r="A642" s="224">
        <v>8.8899999999999998E-7</v>
      </c>
      <c r="B642" s="225">
        <f t="shared" si="9"/>
        <v>2.2344688160179977E-19</v>
      </c>
      <c r="C642" s="226">
        <v>8.5816559010101056E-3</v>
      </c>
      <c r="D642" s="226">
        <v>1.0728459999999999E-2</v>
      </c>
      <c r="E642" s="226">
        <v>1.4490754999999998E-2</v>
      </c>
      <c r="F642" s="226">
        <v>1.7279579999999996E-2</v>
      </c>
      <c r="G642" s="226">
        <v>1.876512E-2</v>
      </c>
      <c r="H642" s="226">
        <v>2.5566979999999996E-2</v>
      </c>
      <c r="I642" s="226">
        <v>3.3433560000000001E-2</v>
      </c>
      <c r="J642" s="226">
        <v>5.1873274999999996E-2</v>
      </c>
      <c r="K642" s="226">
        <v>0.10554464999999999</v>
      </c>
    </row>
    <row r="643" spans="1:11" x14ac:dyDescent="0.25">
      <c r="A643" s="224">
        <v>8.9000000000000006E-7</v>
      </c>
      <c r="B643" s="225">
        <f t="shared" ref="B643:B706" si="10">h_planck*c_light/A643</f>
        <v>2.231958176898876E-19</v>
      </c>
      <c r="C643" s="226">
        <v>8.9857652542600936E-3</v>
      </c>
      <c r="D643" s="226">
        <v>1.0873109999999998E-2</v>
      </c>
      <c r="E643" s="226">
        <v>1.4583249999999997E-2</v>
      </c>
      <c r="F643" s="226">
        <v>1.7262079999999999E-2</v>
      </c>
      <c r="G643" s="226">
        <v>1.8966670000000001E-2</v>
      </c>
      <c r="H643" s="226">
        <v>2.5194049999999999E-2</v>
      </c>
      <c r="I643" s="226">
        <v>3.3957830000000001E-2</v>
      </c>
      <c r="J643" s="226">
        <v>5.1622069999999999E-2</v>
      </c>
      <c r="K643" s="226">
        <v>0.10526419999999997</v>
      </c>
    </row>
    <row r="644" spans="1:11" x14ac:dyDescent="0.25">
      <c r="A644" s="224">
        <v>8.9100000000000002E-7</v>
      </c>
      <c r="B644" s="225">
        <f t="shared" si="10"/>
        <v>2.229453173333333E-19</v>
      </c>
      <c r="C644" s="226">
        <v>9.1616739569892469E-3</v>
      </c>
      <c r="D644" s="226">
        <v>1.0966444999999998E-2</v>
      </c>
      <c r="E644" s="226">
        <v>1.4564314999999998E-2</v>
      </c>
      <c r="F644" s="226">
        <v>1.7223434999999999E-2</v>
      </c>
      <c r="G644" s="226">
        <v>1.8778765000000003E-2</v>
      </c>
      <c r="H644" s="226">
        <v>2.5716004999999997E-2</v>
      </c>
      <c r="I644" s="226">
        <v>3.4253234999999993E-2</v>
      </c>
      <c r="J644" s="226">
        <v>5.1562429999999999E-2</v>
      </c>
      <c r="K644" s="226">
        <v>0.10443749999999997</v>
      </c>
    </row>
    <row r="645" spans="1:11" x14ac:dyDescent="0.25">
      <c r="A645" s="224">
        <v>8.9199999999999999E-7</v>
      </c>
      <c r="B645" s="225">
        <f t="shared" si="10"/>
        <v>2.2269537863677128E-19</v>
      </c>
      <c r="C645" s="226">
        <v>9.2269978484950214E-3</v>
      </c>
      <c r="D645" s="226">
        <v>1.1059779999999996E-2</v>
      </c>
      <c r="E645" s="226">
        <v>1.4545379999999998E-2</v>
      </c>
      <c r="F645" s="226">
        <v>1.7184789999999998E-2</v>
      </c>
      <c r="G645" s="226">
        <v>1.8590860000000001E-2</v>
      </c>
      <c r="H645" s="226">
        <v>2.6237959999999994E-2</v>
      </c>
      <c r="I645" s="226">
        <v>3.4548639999999992E-2</v>
      </c>
      <c r="J645" s="226">
        <v>5.150279E-2</v>
      </c>
      <c r="K645" s="226">
        <v>0.10361079999999998</v>
      </c>
    </row>
    <row r="646" spans="1:11" x14ac:dyDescent="0.25">
      <c r="A646" s="224">
        <v>8.9300000000000007E-7</v>
      </c>
      <c r="B646" s="225">
        <f t="shared" si="10"/>
        <v>2.2244599971332585E-19</v>
      </c>
      <c r="C646" s="226">
        <v>9.2513424426559354E-3</v>
      </c>
      <c r="D646" s="226">
        <v>1.1310729999999998E-2</v>
      </c>
      <c r="E646" s="226">
        <v>1.4375504999999998E-2</v>
      </c>
      <c r="F646" s="226">
        <v>1.6739295000000001E-2</v>
      </c>
      <c r="G646" s="226">
        <v>1.87493E-2</v>
      </c>
      <c r="H646" s="226">
        <v>2.5013249999999997E-2</v>
      </c>
      <c r="I646" s="226">
        <v>3.4310999999999994E-2</v>
      </c>
      <c r="J646" s="226">
        <v>5.1408814999999997E-2</v>
      </c>
      <c r="K646" s="226">
        <v>0.10415709999999997</v>
      </c>
    </row>
    <row r="647" spans="1:11" x14ac:dyDescent="0.25">
      <c r="A647" s="224">
        <v>8.9400000000000004E-7</v>
      </c>
      <c r="B647" s="225">
        <f t="shared" si="10"/>
        <v>2.2219717868456373E-19</v>
      </c>
      <c r="C647" s="226">
        <v>9.2690155889447248E-3</v>
      </c>
      <c r="D647" s="226">
        <v>1.1561679999999998E-2</v>
      </c>
      <c r="E647" s="226">
        <v>1.4205629999999999E-2</v>
      </c>
      <c r="F647" s="226">
        <v>1.6293800000000001E-2</v>
      </c>
      <c r="G647" s="226">
        <v>1.8907739999999999E-2</v>
      </c>
      <c r="H647" s="226">
        <v>2.378854E-2</v>
      </c>
      <c r="I647" s="226">
        <v>3.4073359999999997E-2</v>
      </c>
      <c r="J647" s="226">
        <v>5.1314839999999994E-2</v>
      </c>
      <c r="K647" s="226">
        <v>0.10470339999999997</v>
      </c>
    </row>
    <row r="648" spans="1:11" x14ac:dyDescent="0.25">
      <c r="A648" s="224">
        <v>8.9500000000000001E-7</v>
      </c>
      <c r="B648" s="225">
        <f t="shared" si="10"/>
        <v>2.2194891368044694E-19</v>
      </c>
      <c r="C648" s="226">
        <v>9.2424967349397577E-3</v>
      </c>
      <c r="D648" s="226">
        <v>1.1178309999999999E-2</v>
      </c>
      <c r="E648" s="226">
        <v>1.4482199999999997E-2</v>
      </c>
      <c r="F648" s="226">
        <v>1.583919E-2</v>
      </c>
      <c r="G648" s="226">
        <v>1.846735E-2</v>
      </c>
      <c r="H648" s="226">
        <v>2.5262905000000002E-2</v>
      </c>
      <c r="I648" s="226">
        <v>3.4017789999999992E-2</v>
      </c>
      <c r="J648" s="226">
        <v>5.1996169999999994E-2</v>
      </c>
      <c r="K648" s="226">
        <v>0.10545359999999998</v>
      </c>
    </row>
    <row r="649" spans="1:11" x14ac:dyDescent="0.25">
      <c r="A649" s="224">
        <v>8.9600000000000008E-7</v>
      </c>
      <c r="B649" s="225">
        <f t="shared" si="10"/>
        <v>2.217012028392857E-19</v>
      </c>
      <c r="C649" s="226">
        <v>9.1637476877853147E-3</v>
      </c>
      <c r="D649" s="226">
        <v>1.0794939999999999E-2</v>
      </c>
      <c r="E649" s="226">
        <v>1.4758769999999997E-2</v>
      </c>
      <c r="F649" s="226">
        <v>1.5384579999999998E-2</v>
      </c>
      <c r="G649" s="226">
        <v>1.8026959999999998E-2</v>
      </c>
      <c r="H649" s="226">
        <v>2.673727E-2</v>
      </c>
      <c r="I649" s="226">
        <v>3.3962219999999994E-2</v>
      </c>
      <c r="J649" s="226">
        <v>5.2677499999999988E-2</v>
      </c>
      <c r="K649" s="226">
        <v>0.10620379999999999</v>
      </c>
    </row>
    <row r="650" spans="1:11" x14ac:dyDescent="0.25">
      <c r="A650" s="224">
        <v>8.9700000000000005E-7</v>
      </c>
      <c r="B650" s="225">
        <f t="shared" si="10"/>
        <v>2.214540443076923E-19</v>
      </c>
      <c r="C650" s="226">
        <v>9.0216132238905393E-3</v>
      </c>
      <c r="D650" s="226">
        <v>1.045687E-2</v>
      </c>
      <c r="E650" s="226">
        <v>1.4677744999999999E-2</v>
      </c>
      <c r="F650" s="226">
        <v>1.5220159999999998E-2</v>
      </c>
      <c r="G650" s="226">
        <v>1.7590939999999999E-2</v>
      </c>
      <c r="H650" s="226">
        <v>2.6278324999999998E-2</v>
      </c>
      <c r="I650" s="226">
        <v>3.3652004999999999E-2</v>
      </c>
      <c r="J650" s="226">
        <v>5.2596174999999988E-2</v>
      </c>
      <c r="K650" s="226">
        <v>0.10626754999999999</v>
      </c>
    </row>
    <row r="651" spans="1:11" x14ac:dyDescent="0.25">
      <c r="A651" s="224">
        <v>8.9800000000000002E-7</v>
      </c>
      <c r="B651" s="225">
        <f t="shared" si="10"/>
        <v>2.2120743624053451E-19</v>
      </c>
      <c r="C651" s="226">
        <v>8.7872128002443872E-3</v>
      </c>
      <c r="D651" s="226">
        <v>1.0118799999999999E-2</v>
      </c>
      <c r="E651" s="226">
        <v>1.4596719999999999E-2</v>
      </c>
      <c r="F651" s="226">
        <v>1.5055739999999998E-2</v>
      </c>
      <c r="G651" s="226">
        <v>1.7154919999999997E-2</v>
      </c>
      <c r="H651" s="226">
        <v>2.5819379999999996E-2</v>
      </c>
      <c r="I651" s="226">
        <v>3.3341789999999996E-2</v>
      </c>
      <c r="J651" s="226">
        <v>5.2514849999999988E-2</v>
      </c>
      <c r="K651" s="226">
        <v>0.10633129999999999</v>
      </c>
    </row>
    <row r="652" spans="1:11" x14ac:dyDescent="0.25">
      <c r="A652" s="224">
        <v>8.9899999999999999E-7</v>
      </c>
      <c r="B652" s="225">
        <f t="shared" si="10"/>
        <v>2.2096137680088986E-19</v>
      </c>
      <c r="C652" s="226">
        <v>8.3779780476190072E-3</v>
      </c>
      <c r="D652" s="226">
        <v>9.6094070000000004E-3</v>
      </c>
      <c r="E652" s="226">
        <v>1.4327074999999998E-2</v>
      </c>
      <c r="F652" s="226">
        <v>1.5417384999999999E-2</v>
      </c>
      <c r="G652" s="226">
        <v>1.7116719999999995E-2</v>
      </c>
      <c r="H652" s="226">
        <v>2.5550364999999998E-2</v>
      </c>
      <c r="I652" s="226">
        <v>3.2620639999999992E-2</v>
      </c>
      <c r="J652" s="226">
        <v>5.1316644999999994E-2</v>
      </c>
      <c r="K652" s="226">
        <v>0.10686664999999998</v>
      </c>
    </row>
    <row r="653" spans="1:11" x14ac:dyDescent="0.25">
      <c r="A653" s="224">
        <v>9.0000000000000007E-7</v>
      </c>
      <c r="B653" s="225">
        <f t="shared" si="10"/>
        <v>2.2071586416E-19</v>
      </c>
      <c r="C653" s="226">
        <v>7.6818554569242185E-3</v>
      </c>
      <c r="D653" s="226">
        <v>9.100014E-3</v>
      </c>
      <c r="E653" s="226">
        <v>1.4057429999999999E-2</v>
      </c>
      <c r="F653" s="226">
        <v>1.5779029999999999E-2</v>
      </c>
      <c r="G653" s="226">
        <v>1.7078519999999996E-2</v>
      </c>
      <c r="H653" s="226">
        <v>2.5281349999999998E-2</v>
      </c>
      <c r="I653" s="226">
        <v>3.1899489999999996E-2</v>
      </c>
      <c r="J653" s="226">
        <v>5.0118439999999993E-2</v>
      </c>
      <c r="K653" s="226">
        <v>0.10740199999999997</v>
      </c>
    </row>
    <row r="654" spans="1:11" x14ac:dyDescent="0.25">
      <c r="A654" s="224">
        <v>9.0100000000000003E-7</v>
      </c>
      <c r="B654" s="225">
        <f t="shared" si="10"/>
        <v>2.2047089649722529E-19</v>
      </c>
      <c r="C654" s="226">
        <v>6.7983491810325227E-3</v>
      </c>
      <c r="D654" s="226">
        <v>9.2647584999999994E-3</v>
      </c>
      <c r="E654" s="226">
        <v>1.419544E-2</v>
      </c>
      <c r="F654" s="226">
        <v>1.6502144999999999E-2</v>
      </c>
      <c r="G654" s="226">
        <v>1.7745009999999999E-2</v>
      </c>
      <c r="H654" s="226">
        <v>2.5518219999999998E-2</v>
      </c>
      <c r="I654" s="226">
        <v>3.2219759999999993E-2</v>
      </c>
      <c r="J654" s="226">
        <v>5.0752784999999995E-2</v>
      </c>
      <c r="K654" s="226">
        <v>0.10963624999999999</v>
      </c>
    </row>
    <row r="655" spans="1:11" x14ac:dyDescent="0.25">
      <c r="A655" s="224">
        <v>9.02E-7</v>
      </c>
      <c r="B655" s="225">
        <f t="shared" si="10"/>
        <v>2.2022647200000001E-19</v>
      </c>
      <c r="C655" s="226">
        <v>6.5280537144754344E-3</v>
      </c>
      <c r="D655" s="226">
        <v>9.4295029999999988E-3</v>
      </c>
      <c r="E655" s="226">
        <v>1.4333450000000001E-2</v>
      </c>
      <c r="F655" s="226">
        <v>1.7225259999999999E-2</v>
      </c>
      <c r="G655" s="226">
        <v>1.8411499999999997E-2</v>
      </c>
      <c r="H655" s="226">
        <v>2.5755089999999998E-2</v>
      </c>
      <c r="I655" s="226">
        <v>3.2540029999999991E-2</v>
      </c>
      <c r="J655" s="226">
        <v>5.1387129999999996E-2</v>
      </c>
      <c r="K655" s="226">
        <v>0.1118705</v>
      </c>
    </row>
    <row r="656" spans="1:11" x14ac:dyDescent="0.25">
      <c r="A656" s="224">
        <v>9.0300000000000008E-7</v>
      </c>
      <c r="B656" s="225">
        <f t="shared" si="10"/>
        <v>2.1998258886378738E-19</v>
      </c>
      <c r="C656" s="226">
        <v>7.2092032243228736E-3</v>
      </c>
      <c r="D656" s="226">
        <v>1.0038616499999998E-2</v>
      </c>
      <c r="E656" s="226">
        <v>1.4462900000000001E-2</v>
      </c>
      <c r="F656" s="226">
        <v>1.7126279999999997E-2</v>
      </c>
      <c r="G656" s="226">
        <v>1.9267719999999995E-2</v>
      </c>
      <c r="H656" s="226">
        <v>2.5881284999999997E-2</v>
      </c>
      <c r="I656" s="226">
        <v>3.3708859999999993E-2</v>
      </c>
      <c r="J656" s="226">
        <v>5.2872679999999991E-2</v>
      </c>
      <c r="K656" s="226">
        <v>0.11382799999999998</v>
      </c>
    </row>
    <row r="657" spans="1:11" x14ac:dyDescent="0.25">
      <c r="A657" s="224">
        <v>9.0400000000000005E-7</v>
      </c>
      <c r="B657" s="225">
        <f t="shared" si="10"/>
        <v>2.1973924529203539E-19</v>
      </c>
      <c r="C657" s="226">
        <v>7.988488338266167E-3</v>
      </c>
      <c r="D657" s="226">
        <v>1.0647729999999998E-2</v>
      </c>
      <c r="E657" s="226">
        <v>1.4592349999999999E-2</v>
      </c>
      <c r="F657" s="226">
        <v>1.7027299999999995E-2</v>
      </c>
      <c r="G657" s="226">
        <v>2.0123939999999996E-2</v>
      </c>
      <c r="H657" s="226">
        <v>2.6007479999999993E-2</v>
      </c>
      <c r="I657" s="226">
        <v>3.4877689999999996E-2</v>
      </c>
      <c r="J657" s="226">
        <v>5.4358229999999987E-2</v>
      </c>
      <c r="K657" s="226">
        <v>0.11578549999999999</v>
      </c>
    </row>
    <row r="658" spans="1:11" x14ac:dyDescent="0.25">
      <c r="A658" s="224">
        <v>9.0500000000000002E-7</v>
      </c>
      <c r="B658" s="225">
        <f t="shared" si="10"/>
        <v>2.1949643949613257E-19</v>
      </c>
      <c r="C658" s="226">
        <v>8.4284105050148796E-3</v>
      </c>
      <c r="D658" s="226">
        <v>1.0392944999999997E-2</v>
      </c>
      <c r="E658" s="226">
        <v>1.4580154999999997E-2</v>
      </c>
      <c r="F658" s="226">
        <v>1.6412829999999996E-2</v>
      </c>
      <c r="G658" s="226">
        <v>1.976377E-2</v>
      </c>
      <c r="H658" s="226">
        <v>2.6018254999999997E-2</v>
      </c>
      <c r="I658" s="226">
        <v>3.4264939999999994E-2</v>
      </c>
      <c r="J658" s="226">
        <v>5.3904614999999989E-2</v>
      </c>
      <c r="K658" s="226">
        <v>0.11204714999999998</v>
      </c>
    </row>
    <row r="659" spans="1:11" x14ac:dyDescent="0.25">
      <c r="A659" s="224">
        <v>9.0599999999999999E-7</v>
      </c>
      <c r="B659" s="225">
        <f t="shared" si="10"/>
        <v>2.1925416969536424E-19</v>
      </c>
      <c r="C659" s="226">
        <v>8.5863557256110942E-3</v>
      </c>
      <c r="D659" s="226">
        <v>1.0138159999999998E-2</v>
      </c>
      <c r="E659" s="226">
        <v>1.4567959999999996E-2</v>
      </c>
      <c r="F659" s="226">
        <v>1.5798360000000001E-2</v>
      </c>
      <c r="G659" s="226">
        <v>1.94036E-2</v>
      </c>
      <c r="H659" s="226">
        <v>2.6029029999999998E-2</v>
      </c>
      <c r="I659" s="226">
        <v>3.3652189999999998E-2</v>
      </c>
      <c r="J659" s="226">
        <v>5.3450999999999999E-2</v>
      </c>
      <c r="K659" s="226">
        <v>0.10830879999999998</v>
      </c>
    </row>
    <row r="660" spans="1:11" x14ac:dyDescent="0.25">
      <c r="A660" s="224">
        <v>9.0700000000000006E-7</v>
      </c>
      <c r="B660" s="225">
        <f t="shared" si="10"/>
        <v>2.190124341168688E-19</v>
      </c>
      <c r="C660" s="226">
        <v>8.6786357760175944E-3</v>
      </c>
      <c r="D660" s="226">
        <v>1.0348014999999999E-2</v>
      </c>
      <c r="E660" s="226">
        <v>1.3995884999999996E-2</v>
      </c>
      <c r="F660" s="226">
        <v>1.6024205E-2</v>
      </c>
      <c r="G660" s="226">
        <v>1.8452064999999997E-2</v>
      </c>
      <c r="H660" s="226">
        <v>2.5123739999999999E-2</v>
      </c>
      <c r="I660" s="226">
        <v>3.2915685E-2</v>
      </c>
      <c r="J660" s="226">
        <v>5.1795565000000002E-2</v>
      </c>
      <c r="K660" s="226">
        <v>0.10924109999999998</v>
      </c>
    </row>
    <row r="661" spans="1:11" x14ac:dyDescent="0.25">
      <c r="A661" s="224">
        <v>9.0800000000000003E-7</v>
      </c>
      <c r="B661" s="225">
        <f t="shared" si="10"/>
        <v>2.1877123099559471E-19</v>
      </c>
      <c r="C661" s="226">
        <v>8.7314323545054917E-3</v>
      </c>
      <c r="D661" s="226">
        <v>1.0557869999999999E-2</v>
      </c>
      <c r="E661" s="226">
        <v>1.3423809999999998E-2</v>
      </c>
      <c r="F661" s="226">
        <v>1.6250049999999995E-2</v>
      </c>
      <c r="G661" s="226">
        <v>1.7500529999999997E-2</v>
      </c>
      <c r="H661" s="226">
        <v>2.4218449999999996E-2</v>
      </c>
      <c r="I661" s="226">
        <v>3.2179180000000002E-2</v>
      </c>
      <c r="J661" s="226">
        <v>5.0140129999999998E-2</v>
      </c>
      <c r="K661" s="226">
        <v>0.11017339999999998</v>
      </c>
    </row>
    <row r="662" spans="1:11" x14ac:dyDescent="0.25">
      <c r="A662" s="224">
        <v>9.09E-7</v>
      </c>
      <c r="B662" s="225">
        <f t="shared" si="10"/>
        <v>2.1853055857425743E-19</v>
      </c>
      <c r="C662" s="226">
        <v>8.7194113300395233E-3</v>
      </c>
      <c r="D662" s="226">
        <v>1.064828E-2</v>
      </c>
      <c r="E662" s="226">
        <v>1.3819089999999999E-2</v>
      </c>
      <c r="F662" s="226">
        <v>1.6526754999999997E-2</v>
      </c>
      <c r="G662" s="226">
        <v>1.7382294999999999E-2</v>
      </c>
      <c r="H662" s="226">
        <v>2.4660774999999996E-2</v>
      </c>
      <c r="I662" s="226">
        <v>3.2572749999999998E-2</v>
      </c>
      <c r="J662" s="226">
        <v>5.1195559999999994E-2</v>
      </c>
      <c r="K662" s="226">
        <v>0.11070514999999997</v>
      </c>
    </row>
    <row r="663" spans="1:11" x14ac:dyDescent="0.25">
      <c r="A663" s="224">
        <v>9.1000000000000008E-7</v>
      </c>
      <c r="B663" s="225">
        <f t="shared" si="10"/>
        <v>2.1829041510329666E-19</v>
      </c>
      <c r="C663" s="226">
        <v>8.722549349161092E-3</v>
      </c>
      <c r="D663" s="226">
        <v>1.0738689999999999E-2</v>
      </c>
      <c r="E663" s="226">
        <v>1.4214369999999999E-2</v>
      </c>
      <c r="F663" s="226">
        <v>1.6803459999999999E-2</v>
      </c>
      <c r="G663" s="226">
        <v>1.7264059999999998E-2</v>
      </c>
      <c r="H663" s="226">
        <v>2.51031E-2</v>
      </c>
      <c r="I663" s="226">
        <v>3.2966319999999993E-2</v>
      </c>
      <c r="J663" s="226">
        <v>5.225098999999999E-2</v>
      </c>
      <c r="K663" s="226">
        <v>0.11123689999999999</v>
      </c>
    </row>
    <row r="664" spans="1:11" x14ac:dyDescent="0.25">
      <c r="A664" s="224">
        <v>9.1100000000000004E-7</v>
      </c>
      <c r="B664" s="225">
        <f t="shared" si="10"/>
        <v>2.1805079884083424E-19</v>
      </c>
      <c r="C664" s="226">
        <v>8.733982999999999E-3</v>
      </c>
      <c r="D664" s="226">
        <v>1.0589654999999998E-2</v>
      </c>
      <c r="E664" s="226">
        <v>1.3952005E-2</v>
      </c>
      <c r="F664" s="226">
        <v>1.6548444999999998E-2</v>
      </c>
      <c r="G664" s="226">
        <v>1.7126539999999996E-2</v>
      </c>
      <c r="H664" s="226">
        <v>2.4755009999999997E-2</v>
      </c>
      <c r="I664" s="226">
        <v>3.2900694999999994E-2</v>
      </c>
      <c r="J664" s="226">
        <v>5.1730504999999989E-2</v>
      </c>
      <c r="K664" s="226">
        <v>0.11404839999999998</v>
      </c>
    </row>
    <row r="665" spans="1:11" x14ac:dyDescent="0.25">
      <c r="A665" s="224">
        <v>9.1200000000000001E-7</v>
      </c>
      <c r="B665" s="225">
        <f t="shared" si="10"/>
        <v>2.1781170805263159E-19</v>
      </c>
      <c r="C665" s="226">
        <v>8.733982999999999E-3</v>
      </c>
      <c r="D665" s="226">
        <v>1.0440619999999998E-2</v>
      </c>
      <c r="E665" s="226">
        <v>1.3689639999999999E-2</v>
      </c>
      <c r="F665" s="226">
        <v>1.6293429999999998E-2</v>
      </c>
      <c r="G665" s="226">
        <v>1.6989019999999997E-2</v>
      </c>
      <c r="H665" s="226">
        <v>2.4406919999999995E-2</v>
      </c>
      <c r="I665" s="226">
        <v>3.2835069999999994E-2</v>
      </c>
      <c r="J665" s="226">
        <v>5.1210019999999988E-2</v>
      </c>
      <c r="K665" s="226">
        <v>0.11685989999999997</v>
      </c>
    </row>
    <row r="666" spans="1:11" x14ac:dyDescent="0.25">
      <c r="A666" s="224">
        <v>9.1299999999999998E-7</v>
      </c>
      <c r="B666" s="225">
        <f t="shared" si="10"/>
        <v>2.1757314101204821E-19</v>
      </c>
      <c r="C666" s="226">
        <v>8.7276306728624516E-3</v>
      </c>
      <c r="D666" s="226">
        <v>1.0415779999999998E-2</v>
      </c>
      <c r="E666" s="226">
        <v>1.3824554999999999E-2</v>
      </c>
      <c r="F666" s="226">
        <v>1.6046439999999995E-2</v>
      </c>
      <c r="G666" s="226">
        <v>1.6285599999999997E-2</v>
      </c>
      <c r="H666" s="226">
        <v>2.4552294999999998E-2</v>
      </c>
      <c r="I666" s="226">
        <v>3.2176439999999994E-2</v>
      </c>
      <c r="J666" s="226">
        <v>4.9735309999999991E-2</v>
      </c>
      <c r="K666" s="226">
        <v>0.11704744999999998</v>
      </c>
    </row>
    <row r="667" spans="1:11" x14ac:dyDescent="0.25">
      <c r="A667" s="224">
        <v>9.1400000000000006E-7</v>
      </c>
      <c r="B667" s="225">
        <f t="shared" si="10"/>
        <v>2.1733509599999996E-19</v>
      </c>
      <c r="C667" s="226">
        <v>8.7048166655014185E-3</v>
      </c>
      <c r="D667" s="226">
        <v>1.0390939999999998E-2</v>
      </c>
      <c r="E667" s="226">
        <v>1.3959469999999998E-2</v>
      </c>
      <c r="F667" s="226">
        <v>1.5799449999999996E-2</v>
      </c>
      <c r="G667" s="226">
        <v>1.5582179999999996E-2</v>
      </c>
      <c r="H667" s="226">
        <v>2.4697670000000001E-2</v>
      </c>
      <c r="I667" s="226">
        <v>3.1517809999999993E-2</v>
      </c>
      <c r="J667" s="226">
        <v>4.8260599999999994E-2</v>
      </c>
      <c r="K667" s="226">
        <v>0.11723499999999999</v>
      </c>
    </row>
    <row r="668" spans="1:11" x14ac:dyDescent="0.25">
      <c r="A668" s="224">
        <v>9.1500000000000003E-7</v>
      </c>
      <c r="B668" s="225">
        <f t="shared" si="10"/>
        <v>2.1709757130491801E-19</v>
      </c>
      <c r="C668" s="226">
        <v>8.663299974683545E-3</v>
      </c>
      <c r="D668" s="226">
        <v>1.0160989999999998E-2</v>
      </c>
      <c r="E668" s="226">
        <v>1.3908854999999998E-2</v>
      </c>
      <c r="F668" s="226">
        <v>1.5975349999999999E-2</v>
      </c>
      <c r="G668" s="226">
        <v>1.5863584999999999E-2</v>
      </c>
      <c r="H668" s="226">
        <v>2.4399619999999997E-2</v>
      </c>
      <c r="I668" s="226">
        <v>3.0651694999999996E-2</v>
      </c>
      <c r="J668" s="226">
        <v>4.8710604999999997E-2</v>
      </c>
      <c r="K668" s="226">
        <v>0.11566169999999998</v>
      </c>
    </row>
    <row r="669" spans="1:11" x14ac:dyDescent="0.25">
      <c r="A669" s="224">
        <v>9.16E-7</v>
      </c>
      <c r="B669" s="225">
        <f t="shared" si="10"/>
        <v>2.168605652227074E-19</v>
      </c>
      <c r="C669" s="226">
        <v>8.6013121599695045E-3</v>
      </c>
      <c r="D669" s="226">
        <v>9.9310399999999986E-3</v>
      </c>
      <c r="E669" s="226">
        <v>1.3858239999999997E-2</v>
      </c>
      <c r="F669" s="226">
        <v>1.6151249999999999E-2</v>
      </c>
      <c r="G669" s="226">
        <v>1.6144990000000001E-2</v>
      </c>
      <c r="H669" s="226">
        <v>2.4101569999999996E-2</v>
      </c>
      <c r="I669" s="226">
        <v>2.9785579999999999E-2</v>
      </c>
      <c r="J669" s="226">
        <v>4.916061E-2</v>
      </c>
      <c r="K669" s="226">
        <v>0.11408839999999998</v>
      </c>
    </row>
    <row r="670" spans="1:11" x14ac:dyDescent="0.25">
      <c r="A670" s="224">
        <v>9.1700000000000007E-7</v>
      </c>
      <c r="B670" s="225">
        <f t="shared" si="10"/>
        <v>2.1662407605670662E-19</v>
      </c>
      <c r="C670" s="226">
        <v>8.5099258963116133E-3</v>
      </c>
      <c r="D670" s="226">
        <v>9.8360654999999977E-3</v>
      </c>
      <c r="E670" s="226">
        <v>1.3972034999999997E-2</v>
      </c>
      <c r="F670" s="226">
        <v>1.6449099999999998E-2</v>
      </c>
      <c r="G670" s="226">
        <v>1.6567735E-2</v>
      </c>
      <c r="H670" s="226">
        <v>2.4055544999999998E-2</v>
      </c>
      <c r="I670" s="226">
        <v>3.0448234999999997E-2</v>
      </c>
      <c r="J670" s="226">
        <v>4.9438924999999995E-2</v>
      </c>
      <c r="K670" s="226">
        <v>0.11329994999999998</v>
      </c>
    </row>
    <row r="671" spans="1:11" x14ac:dyDescent="0.25">
      <c r="A671" s="224">
        <v>9.1800000000000004E-7</v>
      </c>
      <c r="B671" s="225">
        <f t="shared" si="10"/>
        <v>2.1638810211764705E-19</v>
      </c>
      <c r="C671" s="226">
        <v>8.3834290902173834E-3</v>
      </c>
      <c r="D671" s="226">
        <v>9.7410909999999986E-3</v>
      </c>
      <c r="E671" s="226">
        <v>1.4085829999999999E-2</v>
      </c>
      <c r="F671" s="226">
        <v>1.6746949999999997E-2</v>
      </c>
      <c r="G671" s="226">
        <v>1.6990479999999999E-2</v>
      </c>
      <c r="H671" s="226">
        <v>2.4009519999999996E-2</v>
      </c>
      <c r="I671" s="226">
        <v>3.1110889999999995E-2</v>
      </c>
      <c r="J671" s="226">
        <v>4.9717239999999996E-2</v>
      </c>
      <c r="K671" s="226">
        <v>0.11251149999999997</v>
      </c>
    </row>
    <row r="672" spans="1:11" x14ac:dyDescent="0.25">
      <c r="A672" s="224">
        <v>9.1900000000000001E-7</v>
      </c>
      <c r="B672" s="225">
        <f t="shared" si="10"/>
        <v>2.1615264172361261E-19</v>
      </c>
      <c r="C672" s="226">
        <v>8.2103818719869662E-3</v>
      </c>
      <c r="D672" s="226">
        <v>9.4963489999999977E-3</v>
      </c>
      <c r="E672" s="226">
        <v>1.3743534999999998E-2</v>
      </c>
      <c r="F672" s="226">
        <v>1.6788689999999995E-2</v>
      </c>
      <c r="G672" s="226">
        <v>1.7174744999999998E-2</v>
      </c>
      <c r="H672" s="226">
        <v>2.4291500000000001E-2</v>
      </c>
      <c r="I672" s="226">
        <v>3.1682324999999997E-2</v>
      </c>
      <c r="J672" s="226">
        <v>5.0378689999999997E-2</v>
      </c>
      <c r="K672" s="226">
        <v>0.11450174999999999</v>
      </c>
    </row>
    <row r="673" spans="1:11" x14ac:dyDescent="0.25">
      <c r="A673" s="224">
        <v>9.2000000000000009E-7</v>
      </c>
      <c r="B673" s="225">
        <f t="shared" si="10"/>
        <v>2.1591769319999998E-19</v>
      </c>
      <c r="C673" s="226">
        <v>7.9115524841088924E-3</v>
      </c>
      <c r="D673" s="226">
        <v>9.2516069999999985E-3</v>
      </c>
      <c r="E673" s="226">
        <v>1.3401239999999998E-2</v>
      </c>
      <c r="F673" s="226">
        <v>1.6830429999999997E-2</v>
      </c>
      <c r="G673" s="226">
        <v>1.7359010000000001E-2</v>
      </c>
      <c r="H673" s="226">
        <v>2.4573480000000002E-2</v>
      </c>
      <c r="I673" s="226">
        <v>3.2253759999999992E-2</v>
      </c>
      <c r="J673" s="226">
        <v>5.1040139999999998E-2</v>
      </c>
      <c r="K673" s="226">
        <v>0.116492</v>
      </c>
    </row>
    <row r="674" spans="1:11" x14ac:dyDescent="0.25">
      <c r="A674" s="224">
        <v>9.2100000000000005E-7</v>
      </c>
      <c r="B674" s="225">
        <f t="shared" si="10"/>
        <v>2.1568325487947881E-19</v>
      </c>
      <c r="C674" s="226">
        <v>7.3818326306891949E-3</v>
      </c>
      <c r="D674" s="226">
        <v>8.9476889999999983E-3</v>
      </c>
      <c r="E674" s="226">
        <v>1.3041644999999998E-2</v>
      </c>
      <c r="F674" s="226">
        <v>1.6995399999999997E-2</v>
      </c>
      <c r="G674" s="226">
        <v>1.7392665000000002E-2</v>
      </c>
      <c r="H674" s="226">
        <v>2.3932999999999996E-2</v>
      </c>
      <c r="I674" s="226">
        <v>3.2196729999999993E-2</v>
      </c>
      <c r="J674" s="226">
        <v>5.1452189999999995E-2</v>
      </c>
      <c r="K674" s="226">
        <v>0.11408474999999998</v>
      </c>
    </row>
    <row r="675" spans="1:11" x14ac:dyDescent="0.25">
      <c r="A675" s="224">
        <v>9.2200000000000002E-7</v>
      </c>
      <c r="B675" s="225">
        <f t="shared" si="10"/>
        <v>2.1544932510195226E-19</v>
      </c>
      <c r="C675" s="226">
        <v>6.5971670928772581E-3</v>
      </c>
      <c r="D675" s="226">
        <v>8.6437709999999997E-3</v>
      </c>
      <c r="E675" s="226">
        <v>1.2682049999999999E-2</v>
      </c>
      <c r="F675" s="226">
        <v>1.7160369999999998E-2</v>
      </c>
      <c r="G675" s="226">
        <v>1.7426319999999999E-2</v>
      </c>
      <c r="H675" s="226">
        <v>2.3292519999999994E-2</v>
      </c>
      <c r="I675" s="226">
        <v>3.2139699999999993E-2</v>
      </c>
      <c r="J675" s="226">
        <v>5.1864239999999999E-2</v>
      </c>
      <c r="K675" s="226">
        <v>0.11167749999999999</v>
      </c>
    </row>
    <row r="676" spans="1:11" x14ac:dyDescent="0.25">
      <c r="A676" s="224">
        <v>9.2299999999999999E-7</v>
      </c>
      <c r="B676" s="225">
        <f t="shared" si="10"/>
        <v>2.1521590221451789E-19</v>
      </c>
      <c r="C676" s="226">
        <v>6.0367122993403351E-3</v>
      </c>
      <c r="D676" s="226">
        <v>8.7597495000000004E-3</v>
      </c>
      <c r="E676" s="226">
        <v>1.2752694999999998E-2</v>
      </c>
      <c r="F676" s="226">
        <v>1.7161645E-2</v>
      </c>
      <c r="G676" s="226">
        <v>1.6982109999999998E-2</v>
      </c>
      <c r="H676" s="226">
        <v>2.3281379999999997E-2</v>
      </c>
      <c r="I676" s="226">
        <v>3.2207699999999992E-2</v>
      </c>
      <c r="J676" s="226">
        <v>5.0929894999999996E-2</v>
      </c>
      <c r="K676" s="226">
        <v>0.10997859999999998</v>
      </c>
    </row>
    <row r="677" spans="1:11" x14ac:dyDescent="0.25">
      <c r="A677" s="224">
        <v>9.2400000000000007E-7</v>
      </c>
      <c r="B677" s="225">
        <f t="shared" si="10"/>
        <v>2.1498298457142854E-19</v>
      </c>
      <c r="C677" s="226">
        <v>6.3449670423509335E-3</v>
      </c>
      <c r="D677" s="226">
        <v>8.8757279999999994E-3</v>
      </c>
      <c r="E677" s="226">
        <v>1.2823339999999999E-2</v>
      </c>
      <c r="F677" s="226">
        <v>1.7162920000000002E-2</v>
      </c>
      <c r="G677" s="226">
        <v>1.6537899999999998E-2</v>
      </c>
      <c r="H677" s="226">
        <v>2.3270240000000001E-2</v>
      </c>
      <c r="I677" s="226">
        <v>3.2275699999999997E-2</v>
      </c>
      <c r="J677" s="226">
        <v>4.9995549999999993E-2</v>
      </c>
      <c r="K677" s="226">
        <v>0.10827969999999999</v>
      </c>
    </row>
    <row r="678" spans="1:11" x14ac:dyDescent="0.25">
      <c r="A678" s="224">
        <v>9.2500000000000004E-7</v>
      </c>
      <c r="B678" s="225">
        <f t="shared" si="10"/>
        <v>2.1475057053405405E-19</v>
      </c>
      <c r="C678" s="226">
        <v>7.0693543119265704E-3</v>
      </c>
      <c r="D678" s="226">
        <v>9.2150784999999978E-3</v>
      </c>
      <c r="E678" s="226">
        <v>1.2858844999999999E-2</v>
      </c>
      <c r="F678" s="226">
        <v>1.701035E-2</v>
      </c>
      <c r="G678" s="226">
        <v>1.6804569999999998E-2</v>
      </c>
      <c r="H678" s="226">
        <v>2.3342744999999998E-2</v>
      </c>
      <c r="I678" s="226">
        <v>3.1588184999999998E-2</v>
      </c>
      <c r="J678" s="226">
        <v>4.9035904999999991E-2</v>
      </c>
      <c r="K678" s="226">
        <v>0.1074821</v>
      </c>
    </row>
    <row r="679" spans="1:11" x14ac:dyDescent="0.25">
      <c r="A679" s="224">
        <v>9.2600000000000001E-7</v>
      </c>
      <c r="B679" s="225">
        <f t="shared" si="10"/>
        <v>2.1451865847084234E-19</v>
      </c>
      <c r="C679" s="226">
        <v>7.5426522943396069E-3</v>
      </c>
      <c r="D679" s="226">
        <v>9.554428999999998E-3</v>
      </c>
      <c r="E679" s="226">
        <v>1.2894349999999999E-2</v>
      </c>
      <c r="F679" s="226">
        <v>1.6857779999999999E-2</v>
      </c>
      <c r="G679" s="226">
        <v>1.7071239999999998E-2</v>
      </c>
      <c r="H679" s="226">
        <v>2.3415249999999995E-2</v>
      </c>
      <c r="I679" s="226">
        <v>3.0900669999999998E-2</v>
      </c>
      <c r="J679" s="226">
        <v>4.8076259999999996E-2</v>
      </c>
      <c r="K679" s="226">
        <v>0.10668449999999999</v>
      </c>
    </row>
    <row r="680" spans="1:11" x14ac:dyDescent="0.25">
      <c r="A680" s="224">
        <v>9.2700000000000008E-7</v>
      </c>
      <c r="B680" s="225">
        <f t="shared" si="10"/>
        <v>2.1428724675728154E-19</v>
      </c>
      <c r="C680" s="226">
        <v>7.8233860440542879E-3</v>
      </c>
      <c r="D680" s="226">
        <v>1.0016514499999999E-2</v>
      </c>
      <c r="E680" s="226">
        <v>1.3351714999999998E-2</v>
      </c>
      <c r="F680" s="226">
        <v>1.6553004999999999E-2</v>
      </c>
      <c r="G680" s="226">
        <v>1.8192854999999997E-2</v>
      </c>
      <c r="H680" s="226">
        <v>2.3094369999999996E-2</v>
      </c>
      <c r="I680" s="226">
        <v>3.0827729999999998E-2</v>
      </c>
      <c r="J680" s="226">
        <v>5.0409409999999995E-2</v>
      </c>
      <c r="K680" s="226">
        <v>0.10366724999999999</v>
      </c>
    </row>
    <row r="681" spans="1:11" x14ac:dyDescent="0.25">
      <c r="A681" s="224">
        <v>9.2800000000000005E-7</v>
      </c>
      <c r="B681" s="225">
        <f t="shared" si="10"/>
        <v>2.1405633377586204E-19</v>
      </c>
      <c r="C681" s="226">
        <v>8.051479220060203E-3</v>
      </c>
      <c r="D681" s="226">
        <v>1.0478599999999999E-2</v>
      </c>
      <c r="E681" s="226">
        <v>1.3809079999999998E-2</v>
      </c>
      <c r="F681" s="226">
        <v>1.6248229999999999E-2</v>
      </c>
      <c r="G681" s="226">
        <v>1.9314469999999997E-2</v>
      </c>
      <c r="H681" s="226">
        <v>2.2773489999999997E-2</v>
      </c>
      <c r="I681" s="226">
        <v>3.0754789999999994E-2</v>
      </c>
      <c r="J681" s="226">
        <v>5.2742559999999994E-2</v>
      </c>
      <c r="K681" s="226">
        <v>0.10064999999999998</v>
      </c>
    </row>
    <row r="682" spans="1:11" x14ac:dyDescent="0.25">
      <c r="A682" s="224">
        <v>9.2900000000000002E-7</v>
      </c>
      <c r="B682" s="225">
        <f t="shared" si="10"/>
        <v>2.1382591791603874E-19</v>
      </c>
      <c r="C682" s="226">
        <v>8.1371987687929564E-3</v>
      </c>
      <c r="D682" s="226">
        <v>1.0464905E-2</v>
      </c>
      <c r="E682" s="226">
        <v>1.4350924999999997E-2</v>
      </c>
      <c r="F682" s="226">
        <v>1.498356E-2</v>
      </c>
      <c r="G682" s="226">
        <v>1.7973114999999998E-2</v>
      </c>
      <c r="H682" s="226">
        <v>2.3397894999999998E-2</v>
      </c>
      <c r="I682" s="226">
        <v>3.0301994999999995E-2</v>
      </c>
      <c r="J682" s="226">
        <v>5.2079299999999995E-2</v>
      </c>
      <c r="K682" s="226">
        <v>9.8217229999999989E-2</v>
      </c>
    </row>
    <row r="683" spans="1:11" x14ac:dyDescent="0.25">
      <c r="A683" s="224">
        <v>9.2999999999999999E-7</v>
      </c>
      <c r="B683" s="225">
        <f t="shared" si="10"/>
        <v>2.1359599757419356E-19</v>
      </c>
      <c r="C683" s="226">
        <v>8.166075003540392E-3</v>
      </c>
      <c r="D683" s="226">
        <v>1.0451209999999999E-2</v>
      </c>
      <c r="E683" s="226">
        <v>1.4892769999999998E-2</v>
      </c>
      <c r="F683" s="226">
        <v>1.3718889999999999E-2</v>
      </c>
      <c r="G683" s="226">
        <v>1.6631759999999999E-2</v>
      </c>
      <c r="H683" s="226">
        <v>2.40223E-2</v>
      </c>
      <c r="I683" s="226">
        <v>2.9849199999999996E-2</v>
      </c>
      <c r="J683" s="226">
        <v>5.1416039999999996E-2</v>
      </c>
      <c r="K683" s="226">
        <v>9.5784459999999988E-2</v>
      </c>
    </row>
    <row r="684" spans="1:11" x14ac:dyDescent="0.25">
      <c r="A684" s="224">
        <v>9.3100000000000006E-7</v>
      </c>
      <c r="B684" s="225">
        <f t="shared" si="10"/>
        <v>2.1336657115359826E-19</v>
      </c>
      <c r="C684" s="226">
        <v>8.1700119054662363E-3</v>
      </c>
      <c r="D684" s="226">
        <v>9.9427299999999986E-3</v>
      </c>
      <c r="E684" s="226">
        <v>1.4298124999999998E-2</v>
      </c>
      <c r="F684" s="226">
        <v>1.2772664999999999E-2</v>
      </c>
      <c r="G684" s="226">
        <v>1.5384269999999999E-2</v>
      </c>
      <c r="H684" s="226">
        <v>2.4635024999999998E-2</v>
      </c>
      <c r="I684" s="226">
        <v>3.0138204999999994E-2</v>
      </c>
      <c r="J684" s="226">
        <v>5.1020254999999994E-2</v>
      </c>
      <c r="K684" s="226">
        <v>9.0206954999999991E-2</v>
      </c>
    </row>
    <row r="685" spans="1:11" x14ac:dyDescent="0.25">
      <c r="A685" s="224">
        <v>9.3200000000000003E-7</v>
      </c>
      <c r="B685" s="225">
        <f t="shared" si="10"/>
        <v>2.1313763706437766E-19</v>
      </c>
      <c r="C685" s="226">
        <v>8.1586966976445376E-3</v>
      </c>
      <c r="D685" s="226">
        <v>9.4342499999999982E-3</v>
      </c>
      <c r="E685" s="226">
        <v>1.3703479999999997E-2</v>
      </c>
      <c r="F685" s="226">
        <v>1.1826439999999999E-2</v>
      </c>
      <c r="G685" s="226">
        <v>1.4136779999999998E-2</v>
      </c>
      <c r="H685" s="226">
        <v>2.5247749999999999E-2</v>
      </c>
      <c r="I685" s="226">
        <v>3.0427209999999993E-2</v>
      </c>
      <c r="J685" s="226">
        <v>5.0624469999999991E-2</v>
      </c>
      <c r="K685" s="226">
        <v>8.4629449999999995E-2</v>
      </c>
    </row>
    <row r="686" spans="1:11" x14ac:dyDescent="0.25">
      <c r="A686" s="224">
        <v>9.33E-7</v>
      </c>
      <c r="B686" s="225">
        <f t="shared" si="10"/>
        <v>2.1290919372347266E-19</v>
      </c>
      <c r="C686" s="226">
        <v>8.141763494545453E-3</v>
      </c>
      <c r="D686" s="226">
        <v>9.6705904999999995E-3</v>
      </c>
      <c r="E686" s="226">
        <v>1.4644064999999998E-2</v>
      </c>
      <c r="F686" s="226">
        <v>1.2386224999999999E-2</v>
      </c>
      <c r="G686" s="226">
        <v>1.3524675E-2</v>
      </c>
      <c r="H686" s="226">
        <v>2.5664144999999999E-2</v>
      </c>
      <c r="I686" s="226">
        <v>3.0381509999999994E-2</v>
      </c>
      <c r="J686" s="226">
        <v>5.2375689999999989E-2</v>
      </c>
      <c r="K686" s="226">
        <v>9.0055814999999997E-2</v>
      </c>
    </row>
    <row r="687" spans="1:11" x14ac:dyDescent="0.25">
      <c r="A687" s="224">
        <v>9.3400000000000008E-7</v>
      </c>
      <c r="B687" s="225">
        <f t="shared" si="10"/>
        <v>2.1268123955460384E-19</v>
      </c>
      <c r="C687" s="226">
        <v>8.1248477426800574E-3</v>
      </c>
      <c r="D687" s="226">
        <v>9.906930999999999E-3</v>
      </c>
      <c r="E687" s="226">
        <v>1.5584649999999999E-2</v>
      </c>
      <c r="F687" s="226">
        <v>1.2946009999999999E-2</v>
      </c>
      <c r="G687" s="226">
        <v>1.291257E-2</v>
      </c>
      <c r="H687" s="226">
        <v>2.6080539999999999E-2</v>
      </c>
      <c r="I687" s="226">
        <v>3.0335809999999998E-2</v>
      </c>
      <c r="J687" s="226">
        <v>5.4126909999999993E-2</v>
      </c>
      <c r="K687" s="226">
        <v>9.548218E-2</v>
      </c>
    </row>
    <row r="688" spans="1:11" x14ac:dyDescent="0.25">
      <c r="A688" s="224">
        <v>9.3500000000000005E-7</v>
      </c>
      <c r="B688" s="225">
        <f t="shared" si="10"/>
        <v>2.1245377298823529E-19</v>
      </c>
      <c r="C688" s="226">
        <v>8.1034702186165656E-3</v>
      </c>
      <c r="D688" s="226">
        <v>9.8694889999999987E-3</v>
      </c>
      <c r="E688" s="226">
        <v>1.4616754999999999E-2</v>
      </c>
      <c r="F688" s="226">
        <v>1.4213599999999998E-2</v>
      </c>
      <c r="G688" s="226">
        <v>1.2923119999999998E-2</v>
      </c>
      <c r="H688" s="226">
        <v>2.5435854999999997E-2</v>
      </c>
      <c r="I688" s="226">
        <v>2.8661174999999997E-2</v>
      </c>
      <c r="J688" s="226">
        <v>5.0360614999999991E-2</v>
      </c>
      <c r="K688" s="226">
        <v>9.3985379999999993E-2</v>
      </c>
    </row>
    <row r="689" spans="1:11" x14ac:dyDescent="0.25">
      <c r="A689" s="224">
        <v>9.3600000000000002E-7</v>
      </c>
      <c r="B689" s="225">
        <f t="shared" si="10"/>
        <v>2.1222679246153846E-19</v>
      </c>
      <c r="C689" s="226">
        <v>8.0781517044145844E-3</v>
      </c>
      <c r="D689" s="226">
        <v>9.8320469999999965E-3</v>
      </c>
      <c r="E689" s="226">
        <v>1.3648859999999997E-2</v>
      </c>
      <c r="F689" s="226">
        <v>1.5481189999999997E-2</v>
      </c>
      <c r="G689" s="226">
        <v>1.2933669999999996E-2</v>
      </c>
      <c r="H689" s="226">
        <v>2.4791169999999994E-2</v>
      </c>
      <c r="I689" s="226">
        <v>2.6986539999999993E-2</v>
      </c>
      <c r="J689" s="226">
        <v>4.6594319999999988E-2</v>
      </c>
      <c r="K689" s="226">
        <v>9.2488579999999987E-2</v>
      </c>
    </row>
    <row r="690" spans="1:11" x14ac:dyDescent="0.25">
      <c r="A690" s="224">
        <v>9.3699999999999999E-7</v>
      </c>
      <c r="B690" s="225">
        <f t="shared" si="10"/>
        <v>2.1200029641835646E-19</v>
      </c>
      <c r="C690" s="226">
        <v>8.0528598162352173E-3</v>
      </c>
      <c r="D690" s="226">
        <v>9.8800824999999981E-3</v>
      </c>
      <c r="E690" s="226">
        <v>1.4256794999999999E-2</v>
      </c>
      <c r="F690" s="226">
        <v>1.6211954999999997E-2</v>
      </c>
      <c r="G690" s="226">
        <v>1.5142704999999996E-2</v>
      </c>
      <c r="H690" s="226">
        <v>2.4700954999999997E-2</v>
      </c>
      <c r="I690" s="226">
        <v>2.7885734999999995E-2</v>
      </c>
      <c r="J690" s="226">
        <v>4.7496134999999988E-2</v>
      </c>
      <c r="K690" s="226">
        <v>9.387247999999998E-2</v>
      </c>
    </row>
    <row r="691" spans="1:11" x14ac:dyDescent="0.25">
      <c r="A691" s="224">
        <v>9.3800000000000006E-7</v>
      </c>
      <c r="B691" s="225">
        <f t="shared" si="10"/>
        <v>2.1177428330916842E-19</v>
      </c>
      <c r="C691" s="226">
        <v>8.0155211879323184E-3</v>
      </c>
      <c r="D691" s="226">
        <v>9.9281179999999979E-3</v>
      </c>
      <c r="E691" s="226">
        <v>1.486473E-2</v>
      </c>
      <c r="F691" s="226">
        <v>1.6942719999999998E-2</v>
      </c>
      <c r="G691" s="226">
        <v>1.7351739999999997E-2</v>
      </c>
      <c r="H691" s="226">
        <v>2.4610739999999999E-2</v>
      </c>
      <c r="I691" s="226">
        <v>2.8784929999999997E-2</v>
      </c>
      <c r="J691" s="226">
        <v>4.8397949999999988E-2</v>
      </c>
      <c r="K691" s="226">
        <v>9.5256379999999988E-2</v>
      </c>
    </row>
    <row r="692" spans="1:11" x14ac:dyDescent="0.25">
      <c r="A692" s="224">
        <v>9.3900000000000003E-7</v>
      </c>
      <c r="B692" s="225">
        <f t="shared" si="10"/>
        <v>2.115487515910543E-19</v>
      </c>
      <c r="C692" s="226">
        <v>7.960375737267409E-3</v>
      </c>
      <c r="D692" s="226">
        <v>9.8532339999999989E-3</v>
      </c>
      <c r="E692" s="226">
        <v>1.4982714999999999E-2</v>
      </c>
      <c r="F692" s="226">
        <v>1.6464229999999996E-2</v>
      </c>
      <c r="G692" s="226">
        <v>1.8730379999999998E-2</v>
      </c>
      <c r="H692" s="226">
        <v>2.5047584999999997E-2</v>
      </c>
      <c r="I692" s="226">
        <v>3.0565779999999994E-2</v>
      </c>
      <c r="J692" s="226">
        <v>5.2245569999999991E-2</v>
      </c>
      <c r="K692" s="226">
        <v>0.10024754</v>
      </c>
    </row>
    <row r="693" spans="1:11" x14ac:dyDescent="0.25">
      <c r="A693" s="224">
        <v>9.4E-7</v>
      </c>
      <c r="B693" s="225">
        <f t="shared" si="10"/>
        <v>2.1132369972765957E-19</v>
      </c>
      <c r="C693" s="226">
        <v>7.900843337121613E-3</v>
      </c>
      <c r="D693" s="226">
        <v>9.7783499999999999E-3</v>
      </c>
      <c r="E693" s="226">
        <v>1.5100699999999998E-2</v>
      </c>
      <c r="F693" s="226">
        <v>1.5985739999999998E-2</v>
      </c>
      <c r="G693" s="226">
        <v>2.0109019999999998E-2</v>
      </c>
      <c r="H693" s="226">
        <v>2.5484429999999995E-2</v>
      </c>
      <c r="I693" s="226">
        <v>3.2346629999999994E-2</v>
      </c>
      <c r="J693" s="226">
        <v>5.6093189999999987E-2</v>
      </c>
      <c r="K693" s="226">
        <v>0.1052387</v>
      </c>
    </row>
    <row r="694" spans="1:11" x14ac:dyDescent="0.25">
      <c r="A694" s="224">
        <v>9.4100000000000007E-7</v>
      </c>
      <c r="B694" s="225">
        <f t="shared" si="10"/>
        <v>2.1109912618916046E-19</v>
      </c>
      <c r="C694" s="226">
        <v>7.8465012569761249E-3</v>
      </c>
      <c r="D694" s="226">
        <v>9.0393759999999983E-3</v>
      </c>
      <c r="E694" s="226">
        <v>1.4176684999999998E-2</v>
      </c>
      <c r="F694" s="226">
        <v>1.5355229999999997E-2</v>
      </c>
      <c r="G694" s="226">
        <v>1.8774214999999997E-2</v>
      </c>
      <c r="H694" s="226">
        <v>2.4393224999999998E-2</v>
      </c>
      <c r="I694" s="226">
        <v>3.0563039999999993E-2</v>
      </c>
      <c r="J694" s="226">
        <v>5.300822999999999E-2</v>
      </c>
      <c r="K694" s="226">
        <v>9.8801725000000007E-2</v>
      </c>
    </row>
    <row r="695" spans="1:11" x14ac:dyDescent="0.25">
      <c r="A695" s="224">
        <v>9.4200000000000004E-7</v>
      </c>
      <c r="B695" s="225">
        <f t="shared" si="10"/>
        <v>2.1087502945222929E-19</v>
      </c>
      <c r="C695" s="226">
        <v>7.8519061321473942E-3</v>
      </c>
      <c r="D695" s="226">
        <v>8.3004019999999984E-3</v>
      </c>
      <c r="E695" s="226">
        <v>1.3252669999999998E-2</v>
      </c>
      <c r="F695" s="226">
        <v>1.4724719999999998E-2</v>
      </c>
      <c r="G695" s="226">
        <v>1.7439409999999995E-2</v>
      </c>
      <c r="H695" s="226">
        <v>2.3302019999999996E-2</v>
      </c>
      <c r="I695" s="226">
        <v>2.8779449999999995E-2</v>
      </c>
      <c r="J695" s="226">
        <v>4.9923269999999999E-2</v>
      </c>
      <c r="K695" s="226">
        <v>9.2364749999999995E-2</v>
      </c>
    </row>
    <row r="696" spans="1:11" x14ac:dyDescent="0.25">
      <c r="A696" s="224">
        <v>9.4300000000000001E-7</v>
      </c>
      <c r="B696" s="225">
        <f t="shared" si="10"/>
        <v>2.10651408E-19</v>
      </c>
      <c r="C696" s="226">
        <v>7.8525098842695418E-3</v>
      </c>
      <c r="D696" s="226">
        <v>8.6234974999999988E-3</v>
      </c>
      <c r="E696" s="226">
        <v>1.3181839999999998E-2</v>
      </c>
      <c r="F696" s="226">
        <v>1.5009079999999998E-2</v>
      </c>
      <c r="G696" s="226">
        <v>1.6932809999999996E-2</v>
      </c>
      <c r="H696" s="226">
        <v>2.2798324999999994E-2</v>
      </c>
      <c r="I696" s="226">
        <v>2.8218249999999997E-2</v>
      </c>
      <c r="J696" s="226">
        <v>4.7355174999999999E-2</v>
      </c>
      <c r="K696" s="226">
        <v>9.0221519999999999E-2</v>
      </c>
    </row>
    <row r="697" spans="1:11" x14ac:dyDescent="0.25">
      <c r="A697" s="224">
        <v>9.4399999999999998E-7</v>
      </c>
      <c r="B697" s="225">
        <f t="shared" si="10"/>
        <v>2.1042826032203389E-19</v>
      </c>
      <c r="C697" s="226">
        <v>7.8248301021874647E-3</v>
      </c>
      <c r="D697" s="226">
        <v>8.9465929999999992E-3</v>
      </c>
      <c r="E697" s="226">
        <v>1.3111009999999999E-2</v>
      </c>
      <c r="F697" s="226">
        <v>1.5293439999999998E-2</v>
      </c>
      <c r="G697" s="226">
        <v>1.6426209999999997E-2</v>
      </c>
      <c r="H697" s="226">
        <v>2.2294629999999996E-2</v>
      </c>
      <c r="I697" s="226">
        <v>2.7657049999999999E-2</v>
      </c>
      <c r="J697" s="226">
        <v>4.4787079999999993E-2</v>
      </c>
      <c r="K697" s="226">
        <v>8.807828999999999E-2</v>
      </c>
    </row>
    <row r="698" spans="1:11" x14ac:dyDescent="0.25">
      <c r="A698" s="224">
        <v>9.4500000000000006E-7</v>
      </c>
      <c r="B698" s="225">
        <f t="shared" si="10"/>
        <v>2.1020558491428571E-19</v>
      </c>
      <c r="C698" s="226">
        <v>7.789542686622318E-3</v>
      </c>
      <c r="D698" s="226">
        <v>9.1496924999999989E-3</v>
      </c>
      <c r="E698" s="226">
        <v>1.3470239999999998E-2</v>
      </c>
      <c r="F698" s="226">
        <v>1.5563034999999999E-2</v>
      </c>
      <c r="G698" s="226">
        <v>1.6342169999999996E-2</v>
      </c>
      <c r="H698" s="226">
        <v>2.2755584999999998E-2</v>
      </c>
      <c r="I698" s="226">
        <v>2.8078589999999997E-2</v>
      </c>
      <c r="J698" s="226">
        <v>4.6574444999999992E-2</v>
      </c>
      <c r="K698" s="226">
        <v>9.5336494999999993E-2</v>
      </c>
    </row>
    <row r="699" spans="1:11" x14ac:dyDescent="0.25">
      <c r="A699" s="224">
        <v>9.4600000000000003E-7</v>
      </c>
      <c r="B699" s="225">
        <f t="shared" si="10"/>
        <v>2.0998338027906976E-19</v>
      </c>
      <c r="C699" s="226">
        <v>7.7477582313857851E-3</v>
      </c>
      <c r="D699" s="226">
        <v>9.3527919999999987E-3</v>
      </c>
      <c r="E699" s="226">
        <v>1.3829469999999996E-2</v>
      </c>
      <c r="F699" s="226">
        <v>1.583263E-2</v>
      </c>
      <c r="G699" s="226">
        <v>1.6258129999999999E-2</v>
      </c>
      <c r="H699" s="226">
        <v>2.3216540000000001E-2</v>
      </c>
      <c r="I699" s="226">
        <v>2.8500129999999995E-2</v>
      </c>
      <c r="J699" s="226">
        <v>4.8361809999999991E-2</v>
      </c>
      <c r="K699" s="226">
        <v>0.1025947</v>
      </c>
    </row>
    <row r="700" spans="1:11" x14ac:dyDescent="0.25">
      <c r="A700" s="224">
        <v>9.47E-7</v>
      </c>
      <c r="B700" s="225">
        <f t="shared" si="10"/>
        <v>2.0976164492502639E-19</v>
      </c>
      <c r="C700" s="226">
        <v>7.6981255414603333E-3</v>
      </c>
      <c r="D700" s="226">
        <v>9.311696999999999E-3</v>
      </c>
      <c r="E700" s="226">
        <v>1.3518854999999996E-2</v>
      </c>
      <c r="F700" s="226">
        <v>1.5480274999999998E-2</v>
      </c>
      <c r="G700" s="226">
        <v>1.6935539999999999E-2</v>
      </c>
      <c r="H700" s="226">
        <v>2.4056454999999997E-2</v>
      </c>
      <c r="I700" s="226">
        <v>2.8743799999999996E-2</v>
      </c>
      <c r="J700" s="226">
        <v>4.8708799999999997E-2</v>
      </c>
      <c r="K700" s="226">
        <v>0.10302624999999999</v>
      </c>
    </row>
    <row r="701" spans="1:11" x14ac:dyDescent="0.25">
      <c r="A701" s="224">
        <v>9.4800000000000007E-7</v>
      </c>
      <c r="B701" s="225">
        <f t="shared" si="10"/>
        <v>2.0954037736708859E-19</v>
      </c>
      <c r="C701" s="226">
        <v>7.6373712867368448E-3</v>
      </c>
      <c r="D701" s="226">
        <v>9.2706019999999993E-3</v>
      </c>
      <c r="E701" s="226">
        <v>1.3208239999999998E-2</v>
      </c>
      <c r="F701" s="226">
        <v>1.5127919999999998E-2</v>
      </c>
      <c r="G701" s="226">
        <v>1.7612949999999995E-2</v>
      </c>
      <c r="H701" s="226">
        <v>2.4896369999999998E-2</v>
      </c>
      <c r="I701" s="226">
        <v>2.8987469999999998E-2</v>
      </c>
      <c r="J701" s="226">
        <v>4.9055789999999995E-2</v>
      </c>
      <c r="K701" s="226">
        <v>0.10345779999999999</v>
      </c>
    </row>
    <row r="702" spans="1:11" x14ac:dyDescent="0.25">
      <c r="A702" s="224">
        <v>9.4900000000000004E-7</v>
      </c>
      <c r="B702" s="225">
        <f t="shared" si="10"/>
        <v>2.0931957612644889E-19</v>
      </c>
      <c r="C702" s="226">
        <v>7.55580179810726E-3</v>
      </c>
      <c r="D702" s="226">
        <v>8.6037719999999991E-3</v>
      </c>
      <c r="E702" s="226">
        <v>1.3429819999999999E-2</v>
      </c>
      <c r="F702" s="226">
        <v>1.4882389999999997E-2</v>
      </c>
      <c r="G702" s="226">
        <v>1.7477974999999996E-2</v>
      </c>
      <c r="H702" s="226">
        <v>2.4100469999999999E-2</v>
      </c>
      <c r="I702" s="226">
        <v>2.9241384999999998E-2</v>
      </c>
      <c r="J702" s="226">
        <v>4.8213614999999994E-2</v>
      </c>
      <c r="K702" s="226">
        <v>0.10069365499999999</v>
      </c>
    </row>
    <row r="703" spans="1:11" x14ac:dyDescent="0.25">
      <c r="A703" s="224">
        <v>9.5000000000000001E-7</v>
      </c>
      <c r="B703" s="225">
        <f t="shared" si="10"/>
        <v>2.0909923973052632E-19</v>
      </c>
      <c r="C703" s="226">
        <v>7.4387016646706577E-3</v>
      </c>
      <c r="D703" s="226">
        <v>7.9369419999999972E-3</v>
      </c>
      <c r="E703" s="226">
        <v>1.3651399999999998E-2</v>
      </c>
      <c r="F703" s="226">
        <v>1.4636859999999996E-2</v>
      </c>
      <c r="G703" s="226">
        <v>1.7342999999999997E-2</v>
      </c>
      <c r="H703" s="226">
        <v>2.330457E-2</v>
      </c>
      <c r="I703" s="226">
        <v>2.9495299999999999E-2</v>
      </c>
      <c r="J703" s="226">
        <v>4.7371439999999994E-2</v>
      </c>
      <c r="K703" s="226">
        <v>9.7929509999999984E-2</v>
      </c>
    </row>
    <row r="704" spans="1:11" x14ac:dyDescent="0.25">
      <c r="A704" s="224">
        <v>9.5100000000000009E-7</v>
      </c>
      <c r="B704" s="225">
        <f t="shared" si="10"/>
        <v>2.0887936671293372E-19</v>
      </c>
      <c r="C704" s="226">
        <v>7.2538398237145738E-3</v>
      </c>
      <c r="D704" s="226">
        <v>7.7634309999999977E-3</v>
      </c>
      <c r="E704" s="226">
        <v>1.4283919999999999E-2</v>
      </c>
      <c r="F704" s="226">
        <v>1.4569779999999997E-2</v>
      </c>
      <c r="G704" s="226">
        <v>1.7355369999999995E-2</v>
      </c>
      <c r="H704" s="226">
        <v>2.4938555000000001E-2</v>
      </c>
      <c r="I704" s="226">
        <v>2.9672979999999995E-2</v>
      </c>
      <c r="J704" s="226">
        <v>4.7649754999999995E-2</v>
      </c>
      <c r="K704" s="226">
        <v>9.9617504999999995E-2</v>
      </c>
    </row>
    <row r="705" spans="1:11" x14ac:dyDescent="0.25">
      <c r="A705" s="224">
        <v>9.5200000000000005E-7</v>
      </c>
      <c r="B705" s="225">
        <f t="shared" si="10"/>
        <v>2.0865995561344535E-19</v>
      </c>
      <c r="C705" s="226">
        <v>6.94582589987419E-3</v>
      </c>
      <c r="D705" s="226">
        <v>7.5899199999999991E-3</v>
      </c>
      <c r="E705" s="226">
        <v>1.4916439999999998E-2</v>
      </c>
      <c r="F705" s="226">
        <v>1.4502699999999999E-2</v>
      </c>
      <c r="G705" s="226">
        <v>1.7367739999999996E-2</v>
      </c>
      <c r="H705" s="226">
        <v>2.6572539999999999E-2</v>
      </c>
      <c r="I705" s="226">
        <v>2.9850659999999994E-2</v>
      </c>
      <c r="J705" s="226">
        <v>4.7928069999999996E-2</v>
      </c>
      <c r="K705" s="226">
        <v>0.10130550000000001</v>
      </c>
    </row>
    <row r="706" spans="1:11" x14ac:dyDescent="0.25">
      <c r="A706" s="224">
        <v>9.5300000000000002E-7</v>
      </c>
      <c r="B706" s="225">
        <f t="shared" si="10"/>
        <v>2.0844100497796432E-19</v>
      </c>
      <c r="C706" s="226">
        <v>6.4284182976227702E-3</v>
      </c>
      <c r="D706" s="226">
        <v>7.5771349999999987E-3</v>
      </c>
      <c r="E706" s="226">
        <v>1.3701655E-2</v>
      </c>
      <c r="F706" s="226">
        <v>1.4611704999999999E-2</v>
      </c>
      <c r="G706" s="226">
        <v>1.7125084999999998E-2</v>
      </c>
      <c r="H706" s="226">
        <v>2.5261260000000001E-2</v>
      </c>
      <c r="I706" s="226">
        <v>2.9751399999999994E-2</v>
      </c>
      <c r="J706" s="226">
        <v>4.9485909999999994E-2</v>
      </c>
      <c r="K706" s="226">
        <v>0.10029307</v>
      </c>
    </row>
    <row r="707" spans="1:11" x14ac:dyDescent="0.25">
      <c r="A707" s="224">
        <v>9.540000000000001E-7</v>
      </c>
      <c r="B707" s="225">
        <f t="shared" ref="B707:B770" si="11">h_planck*c_light/A707</f>
        <v>2.0822251335849054E-19</v>
      </c>
      <c r="C707" s="226">
        <v>5.7528899307241286E-3</v>
      </c>
      <c r="D707" s="226">
        <v>7.5643499999999983E-3</v>
      </c>
      <c r="E707" s="226">
        <v>1.2486870000000001E-2</v>
      </c>
      <c r="F707" s="226">
        <v>1.4720709999999998E-2</v>
      </c>
      <c r="G707" s="226">
        <v>1.6882429999999997E-2</v>
      </c>
      <c r="H707" s="226">
        <v>2.3949979999999999E-2</v>
      </c>
      <c r="I707" s="226">
        <v>2.9652139999999994E-2</v>
      </c>
      <c r="J707" s="226">
        <v>5.1043749999999999E-2</v>
      </c>
      <c r="K707" s="226">
        <v>9.9280639999999989E-2</v>
      </c>
    </row>
    <row r="708" spans="1:11" x14ac:dyDescent="0.25">
      <c r="A708" s="224">
        <v>9.5499999999999996E-7</v>
      </c>
      <c r="B708" s="225">
        <f t="shared" si="11"/>
        <v>2.0800447931308901E-19</v>
      </c>
      <c r="C708" s="226">
        <v>5.4739007801003301E-3</v>
      </c>
      <c r="D708" s="226">
        <v>7.979314999999999E-3</v>
      </c>
      <c r="E708" s="226">
        <v>1.2545134999999999E-2</v>
      </c>
      <c r="F708" s="226">
        <v>1.4876739999999999E-2</v>
      </c>
      <c r="G708" s="226">
        <v>1.7142729999999995E-2</v>
      </c>
      <c r="H708" s="226">
        <v>2.4785874999999999E-2</v>
      </c>
      <c r="I708" s="226">
        <v>2.9834389999999995E-2</v>
      </c>
      <c r="J708" s="226">
        <v>5.0340734999999998E-2</v>
      </c>
      <c r="K708" s="226">
        <v>9.8512204999999992E-2</v>
      </c>
    </row>
    <row r="709" spans="1:11" x14ac:dyDescent="0.25">
      <c r="A709" s="224">
        <v>9.5600000000000004E-7</v>
      </c>
      <c r="B709" s="225">
        <f t="shared" si="11"/>
        <v>2.0778690140585772E-19</v>
      </c>
      <c r="C709" s="226">
        <v>5.9107655887020993E-3</v>
      </c>
      <c r="D709" s="226">
        <v>8.3942799999999988E-3</v>
      </c>
      <c r="E709" s="226">
        <v>1.2603399999999999E-2</v>
      </c>
      <c r="F709" s="226">
        <v>1.5032769999999999E-2</v>
      </c>
      <c r="G709" s="226">
        <v>1.7403029999999996E-2</v>
      </c>
      <c r="H709" s="226">
        <v>2.5621769999999995E-2</v>
      </c>
      <c r="I709" s="226">
        <v>3.0016639999999997E-2</v>
      </c>
      <c r="J709" s="226">
        <v>4.9637719999999996E-2</v>
      </c>
      <c r="K709" s="226">
        <v>9.774376999999998E-2</v>
      </c>
    </row>
    <row r="710" spans="1:11" x14ac:dyDescent="0.25">
      <c r="A710" s="224">
        <v>9.5700000000000011E-7</v>
      </c>
      <c r="B710" s="225">
        <f t="shared" si="11"/>
        <v>2.0756977820689652E-19</v>
      </c>
      <c r="C710" s="226">
        <v>6.515083754876398E-3</v>
      </c>
      <c r="D710" s="226">
        <v>8.6284289999999982E-3</v>
      </c>
      <c r="E710" s="226">
        <v>1.2948425E-2</v>
      </c>
      <c r="F710" s="226">
        <v>1.4917389999999999E-2</v>
      </c>
      <c r="G710" s="226">
        <v>1.6826214999999999E-2</v>
      </c>
      <c r="H710" s="226">
        <v>2.4517044999999998E-2</v>
      </c>
      <c r="I710" s="226">
        <v>3.0105849999999997E-2</v>
      </c>
      <c r="J710" s="226">
        <v>4.8616629999999994E-2</v>
      </c>
      <c r="K710" s="226">
        <v>9.7689144999999977E-2</v>
      </c>
    </row>
    <row r="711" spans="1:11" x14ac:dyDescent="0.25">
      <c r="A711" s="224">
        <v>9.5799999999999998E-7</v>
      </c>
      <c r="B711" s="225">
        <f t="shared" si="11"/>
        <v>2.0735310829227557E-19</v>
      </c>
      <c r="C711" s="226">
        <v>6.9077543332986147E-3</v>
      </c>
      <c r="D711" s="226">
        <v>8.8625779999999977E-3</v>
      </c>
      <c r="E711" s="226">
        <v>1.3293449999999998E-2</v>
      </c>
      <c r="F711" s="226">
        <v>1.4802009999999997E-2</v>
      </c>
      <c r="G711" s="226">
        <v>1.6249399999999997E-2</v>
      </c>
      <c r="H711" s="226">
        <v>2.341232E-2</v>
      </c>
      <c r="I711" s="226">
        <v>3.0195059999999996E-2</v>
      </c>
      <c r="J711" s="226">
        <v>4.7595539999999992E-2</v>
      </c>
      <c r="K711" s="226">
        <v>9.7634519999999975E-2</v>
      </c>
    </row>
    <row r="712" spans="1:11" x14ac:dyDescent="0.25">
      <c r="A712" s="224">
        <v>9.5900000000000005E-7</v>
      </c>
      <c r="B712" s="225">
        <f t="shared" si="11"/>
        <v>2.0713689024400415E-19</v>
      </c>
      <c r="C712" s="226">
        <v>7.1115519294264731E-3</v>
      </c>
      <c r="D712" s="226">
        <v>8.7792924999999973E-3</v>
      </c>
      <c r="E712" s="226">
        <v>1.3098634999999997E-2</v>
      </c>
      <c r="F712" s="226">
        <v>1.4633579999999998E-2</v>
      </c>
      <c r="G712" s="226">
        <v>1.5779179999999997E-2</v>
      </c>
      <c r="H712" s="226">
        <v>2.3417799999999999E-2</v>
      </c>
      <c r="I712" s="226">
        <v>2.9618139999999994E-2</v>
      </c>
      <c r="J712" s="226">
        <v>4.7539514999999991E-2</v>
      </c>
      <c r="K712" s="226">
        <v>9.7330424999999984E-2</v>
      </c>
    </row>
    <row r="713" spans="1:11" x14ac:dyDescent="0.25">
      <c r="A713" s="224">
        <v>9.6000000000000013E-7</v>
      </c>
      <c r="B713" s="225">
        <f t="shared" si="11"/>
        <v>2.0692112264999997E-19</v>
      </c>
      <c r="C713" s="226">
        <v>7.2013617300051951E-3</v>
      </c>
      <c r="D713" s="226">
        <v>8.6960069999999987E-3</v>
      </c>
      <c r="E713" s="226">
        <v>1.2903819999999998E-2</v>
      </c>
      <c r="F713" s="226">
        <v>1.446515E-2</v>
      </c>
      <c r="G713" s="226">
        <v>1.5308959999999996E-2</v>
      </c>
      <c r="H713" s="226">
        <v>2.3423279999999998E-2</v>
      </c>
      <c r="I713" s="226">
        <v>2.9041219999999993E-2</v>
      </c>
      <c r="J713" s="226">
        <v>4.7483489999999996E-2</v>
      </c>
      <c r="K713" s="226">
        <v>9.7026329999999994E-2</v>
      </c>
    </row>
    <row r="714" spans="1:11" x14ac:dyDescent="0.25">
      <c r="A714" s="224">
        <v>9.6099999999999999E-7</v>
      </c>
      <c r="B714" s="225">
        <f t="shared" si="11"/>
        <v>2.0670580410405827E-19</v>
      </c>
      <c r="C714" s="226">
        <v>7.2384249293506462E-3</v>
      </c>
      <c r="D714" s="226">
        <v>8.589343499999999E-3</v>
      </c>
      <c r="E714" s="226">
        <v>1.2651649999999997E-2</v>
      </c>
      <c r="F714" s="226">
        <v>1.4227089999999998E-2</v>
      </c>
      <c r="G714" s="226">
        <v>1.5152159999999998E-2</v>
      </c>
      <c r="H714" s="226">
        <v>2.2769469999999997E-2</v>
      </c>
      <c r="I714" s="226">
        <v>2.9444844999999994E-2</v>
      </c>
      <c r="J714" s="226">
        <v>4.8168434999999996E-2</v>
      </c>
      <c r="K714" s="226">
        <v>9.8291875000000001E-2</v>
      </c>
    </row>
    <row r="715" spans="1:11" x14ac:dyDescent="0.25">
      <c r="A715" s="224">
        <v>9.6200000000000006E-7</v>
      </c>
      <c r="B715" s="225">
        <f t="shared" si="11"/>
        <v>2.0649093320582118E-19</v>
      </c>
      <c r="C715" s="226">
        <v>7.2403449999999996E-3</v>
      </c>
      <c r="D715" s="226">
        <v>8.4826799999999994E-3</v>
      </c>
      <c r="E715" s="226">
        <v>1.2399479999999997E-2</v>
      </c>
      <c r="F715" s="226">
        <v>1.3989029999999996E-2</v>
      </c>
      <c r="G715" s="226">
        <v>1.4995359999999998E-2</v>
      </c>
      <c r="H715" s="226">
        <v>2.2115659999999995E-2</v>
      </c>
      <c r="I715" s="226">
        <v>2.9848469999999995E-2</v>
      </c>
      <c r="J715" s="226">
        <v>4.8853379999999995E-2</v>
      </c>
      <c r="K715" s="226">
        <v>9.9557419999999994E-2</v>
      </c>
    </row>
    <row r="716" spans="1:11" x14ac:dyDescent="0.25">
      <c r="A716" s="224">
        <v>9.6300000000000014E-7</v>
      </c>
      <c r="B716" s="225">
        <f t="shared" si="11"/>
        <v>2.0627650856074763E-19</v>
      </c>
      <c r="C716" s="226">
        <v>7.235767616364578E-3</v>
      </c>
      <c r="D716" s="226">
        <v>8.4302609999999979E-3</v>
      </c>
      <c r="E716" s="226">
        <v>1.2314269999999999E-2</v>
      </c>
      <c r="F716" s="226">
        <v>1.4007074999999997E-2</v>
      </c>
      <c r="G716" s="226">
        <v>1.5159799999999998E-2</v>
      </c>
      <c r="H716" s="226">
        <v>2.1980329999999996E-2</v>
      </c>
      <c r="I716" s="226">
        <v>2.9990139999999995E-2</v>
      </c>
      <c r="J716" s="226">
        <v>4.7514209999999994E-2</v>
      </c>
      <c r="K716" s="226">
        <v>9.7652729999999993E-2</v>
      </c>
    </row>
    <row r="717" spans="1:11" x14ac:dyDescent="0.25">
      <c r="A717" s="224">
        <v>9.64E-7</v>
      </c>
      <c r="B717" s="225">
        <f t="shared" si="11"/>
        <v>2.0606252878008298E-19</v>
      </c>
      <c r="C717" s="226">
        <v>7.2470300800910586E-3</v>
      </c>
      <c r="D717" s="226">
        <v>8.3778419999999982E-3</v>
      </c>
      <c r="E717" s="226">
        <v>1.222906E-2</v>
      </c>
      <c r="F717" s="226">
        <v>1.4025119999999997E-2</v>
      </c>
      <c r="G717" s="226">
        <v>1.5324239999999996E-2</v>
      </c>
      <c r="H717" s="226">
        <v>2.1844999999999996E-2</v>
      </c>
      <c r="I717" s="226">
        <v>3.0131809999999995E-2</v>
      </c>
      <c r="J717" s="226">
        <v>4.6175039999999994E-2</v>
      </c>
      <c r="K717" s="226">
        <v>9.5748039999999993E-2</v>
      </c>
    </row>
    <row r="718" spans="1:11" x14ac:dyDescent="0.25">
      <c r="A718" s="224">
        <v>9.6500000000000008E-7</v>
      </c>
      <c r="B718" s="225">
        <f t="shared" si="11"/>
        <v>2.05848992480829E-19</v>
      </c>
      <c r="C718" s="226">
        <v>7.2354808191874296E-3</v>
      </c>
      <c r="D718" s="226">
        <v>8.7164624999999992E-3</v>
      </c>
      <c r="E718" s="226">
        <v>1.2368889999999999E-2</v>
      </c>
      <c r="F718" s="226">
        <v>1.4633759999999997E-2</v>
      </c>
      <c r="G718" s="226">
        <v>1.5564534999999997E-2</v>
      </c>
      <c r="H718" s="226">
        <v>2.2162044999999998E-2</v>
      </c>
      <c r="I718" s="226">
        <v>3.0266899999999996E-2</v>
      </c>
      <c r="J718" s="226">
        <v>4.6053954999999994E-2</v>
      </c>
      <c r="K718" s="226">
        <v>9.7812969999999999E-2</v>
      </c>
    </row>
    <row r="719" spans="1:11" x14ac:dyDescent="0.25">
      <c r="A719" s="224">
        <v>9.6599999999999994E-7</v>
      </c>
      <c r="B719" s="225">
        <f t="shared" si="11"/>
        <v>2.0563589828571428E-19</v>
      </c>
      <c r="C719" s="226">
        <v>7.1995297521173299E-3</v>
      </c>
      <c r="D719" s="226">
        <v>9.0550830000000002E-3</v>
      </c>
      <c r="E719" s="226">
        <v>1.2508719999999997E-2</v>
      </c>
      <c r="F719" s="226">
        <v>1.5242399999999998E-2</v>
      </c>
      <c r="G719" s="226">
        <v>1.5804829999999999E-2</v>
      </c>
      <c r="H719" s="226">
        <v>2.2479089999999997E-2</v>
      </c>
      <c r="I719" s="226">
        <v>3.0401989999999997E-2</v>
      </c>
      <c r="J719" s="226">
        <v>4.5932869999999994E-2</v>
      </c>
      <c r="K719" s="226">
        <v>9.9877899999999992E-2</v>
      </c>
    </row>
    <row r="720" spans="1:11" x14ac:dyDescent="0.25">
      <c r="A720" s="224">
        <v>9.6700000000000002E-7</v>
      </c>
      <c r="B720" s="225">
        <f t="shared" si="11"/>
        <v>2.0542324482316441E-19</v>
      </c>
      <c r="C720" s="226">
        <v>7.1962810913030004E-3</v>
      </c>
      <c r="D720" s="226">
        <v>9.2068600000000007E-3</v>
      </c>
      <c r="E720" s="226">
        <v>1.2025864999999997E-2</v>
      </c>
      <c r="F720" s="226">
        <v>1.5505064999999998E-2</v>
      </c>
      <c r="G720" s="226">
        <v>1.6024934999999997E-2</v>
      </c>
      <c r="H720" s="226">
        <v>2.2853115E-2</v>
      </c>
      <c r="I720" s="226">
        <v>2.9934385000000001E-2</v>
      </c>
      <c r="J720" s="226">
        <v>4.6216609999999991E-2</v>
      </c>
      <c r="K720" s="226">
        <v>0.10055529999999999</v>
      </c>
    </row>
    <row r="721" spans="1:11" x14ac:dyDescent="0.25">
      <c r="A721" s="224">
        <v>9.6800000000000009E-7</v>
      </c>
      <c r="B721" s="225">
        <f t="shared" si="11"/>
        <v>2.052110307272727E-19</v>
      </c>
      <c r="C721" s="226">
        <v>7.1943038502524977E-3</v>
      </c>
      <c r="D721" s="226">
        <v>9.3586369999999995E-3</v>
      </c>
      <c r="E721" s="226">
        <v>1.1543009999999998E-2</v>
      </c>
      <c r="F721" s="226">
        <v>1.5767729999999997E-2</v>
      </c>
      <c r="G721" s="226">
        <v>1.6245039999999995E-2</v>
      </c>
      <c r="H721" s="226">
        <v>2.322714E-2</v>
      </c>
      <c r="I721" s="226">
        <v>2.9466780000000001E-2</v>
      </c>
      <c r="J721" s="226">
        <v>4.6500349999999989E-2</v>
      </c>
      <c r="K721" s="226">
        <v>0.10123269999999998</v>
      </c>
    </row>
    <row r="722" spans="1:11" x14ac:dyDescent="0.25">
      <c r="A722" s="224">
        <v>9.6899999999999996E-7</v>
      </c>
      <c r="B722" s="225">
        <f t="shared" si="11"/>
        <v>2.0499925463777089E-19</v>
      </c>
      <c r="C722" s="226">
        <v>7.1752176219110377E-3</v>
      </c>
      <c r="D722" s="226">
        <v>9.0295134999999992E-3</v>
      </c>
      <c r="E722" s="226">
        <v>1.1851259999999999E-2</v>
      </c>
      <c r="F722" s="226">
        <v>1.5436524999999998E-2</v>
      </c>
      <c r="G722" s="226">
        <v>1.6152994999999996E-2</v>
      </c>
      <c r="H722" s="226">
        <v>2.2442564999999998E-2</v>
      </c>
      <c r="I722" s="226">
        <v>2.9963264999999996E-2</v>
      </c>
      <c r="J722" s="226">
        <v>4.6451549999999994E-2</v>
      </c>
      <c r="K722" s="226">
        <v>0.10132919999999998</v>
      </c>
    </row>
    <row r="723" spans="1:11" x14ac:dyDescent="0.25">
      <c r="A723" s="224">
        <v>9.7000000000000003E-7</v>
      </c>
      <c r="B723" s="225">
        <f t="shared" si="11"/>
        <v>2.0478791519999999E-19</v>
      </c>
      <c r="C723" s="226">
        <v>7.1552409829235674E-3</v>
      </c>
      <c r="D723" s="226">
        <v>8.7003899999999988E-3</v>
      </c>
      <c r="E723" s="226">
        <v>1.2159509999999998E-2</v>
      </c>
      <c r="F723" s="226">
        <v>1.5105319999999998E-2</v>
      </c>
      <c r="G723" s="226">
        <v>1.6060949999999997E-2</v>
      </c>
      <c r="H723" s="226">
        <v>2.1657989999999995E-2</v>
      </c>
      <c r="I723" s="226">
        <v>3.0459749999999994E-2</v>
      </c>
      <c r="J723" s="226">
        <v>4.6402749999999993E-2</v>
      </c>
      <c r="K723" s="226">
        <v>0.10142569999999998</v>
      </c>
    </row>
    <row r="724" spans="1:11" x14ac:dyDescent="0.25">
      <c r="A724" s="224">
        <v>9.7100000000000011E-7</v>
      </c>
      <c r="B724" s="225">
        <f t="shared" si="11"/>
        <v>2.0457701106488155E-19</v>
      </c>
      <c r="C724" s="226">
        <v>7.1354578233843611E-3</v>
      </c>
      <c r="D724" s="226">
        <v>8.6656879999999978E-3</v>
      </c>
      <c r="E724" s="226">
        <v>1.2297699999999998E-2</v>
      </c>
      <c r="F724" s="226">
        <v>1.4800364999999999E-2</v>
      </c>
      <c r="G724" s="226">
        <v>1.6057314999999996E-2</v>
      </c>
      <c r="H724" s="226">
        <v>2.1419294999999998E-2</v>
      </c>
      <c r="I724" s="226">
        <v>3.0561934999999998E-2</v>
      </c>
      <c r="J724" s="226">
        <v>4.6207569999999989E-2</v>
      </c>
      <c r="K724" s="226">
        <v>0.100657265</v>
      </c>
    </row>
    <row r="725" spans="1:11" x14ac:dyDescent="0.25">
      <c r="A725" s="224">
        <v>9.7199999999999997E-7</v>
      </c>
      <c r="B725" s="225">
        <f t="shared" si="11"/>
        <v>2.043665408888889E-19</v>
      </c>
      <c r="C725" s="226">
        <v>7.1119961572895267E-3</v>
      </c>
      <c r="D725" s="226">
        <v>8.6309859999999985E-3</v>
      </c>
      <c r="E725" s="226">
        <v>1.2435889999999998E-2</v>
      </c>
      <c r="F725" s="226">
        <v>1.4495409999999999E-2</v>
      </c>
      <c r="G725" s="226">
        <v>1.6053679999999997E-2</v>
      </c>
      <c r="H725" s="226">
        <v>2.1180599999999997E-2</v>
      </c>
      <c r="I725" s="226">
        <v>3.066412E-2</v>
      </c>
      <c r="J725" s="226">
        <v>4.6012389999999993E-2</v>
      </c>
      <c r="K725" s="226">
        <v>9.9888829999999998E-2</v>
      </c>
    </row>
    <row r="726" spans="1:11" x14ac:dyDescent="0.25">
      <c r="A726" s="224">
        <v>9.7300000000000004E-7</v>
      </c>
      <c r="B726" s="225">
        <f t="shared" si="11"/>
        <v>2.0415650333401849E-19</v>
      </c>
      <c r="C726" s="226">
        <v>7.0863140354799001E-3</v>
      </c>
      <c r="D726" s="226">
        <v>8.7995659999999983E-3</v>
      </c>
      <c r="E726" s="226">
        <v>1.2260009999999998E-2</v>
      </c>
      <c r="F726" s="226">
        <v>1.4401714999999999E-2</v>
      </c>
      <c r="G726" s="226">
        <v>1.5474314999999995E-2</v>
      </c>
      <c r="H726" s="226">
        <v>2.1458739999999997E-2</v>
      </c>
      <c r="I726" s="226">
        <v>2.993767E-2</v>
      </c>
      <c r="J726" s="226">
        <v>4.6431669999999994E-2</v>
      </c>
      <c r="K726" s="226">
        <v>0.101008715</v>
      </c>
    </row>
    <row r="727" spans="1:11" x14ac:dyDescent="0.25">
      <c r="A727" s="224">
        <v>9.7400000000000012E-7</v>
      </c>
      <c r="B727" s="225">
        <f t="shared" si="11"/>
        <v>2.0394689706776179E-19</v>
      </c>
      <c r="C727" s="226">
        <v>7.0603805401085948E-3</v>
      </c>
      <c r="D727" s="226">
        <v>8.9681459999999998E-3</v>
      </c>
      <c r="E727" s="226">
        <v>1.2084129999999998E-2</v>
      </c>
      <c r="F727" s="226">
        <v>1.4308019999999999E-2</v>
      </c>
      <c r="G727" s="226">
        <v>1.4894949999999995E-2</v>
      </c>
      <c r="H727" s="226">
        <v>2.1736879999999997E-2</v>
      </c>
      <c r="I727" s="226">
        <v>2.921122E-2</v>
      </c>
      <c r="J727" s="226">
        <v>4.6850949999999995E-2</v>
      </c>
      <c r="K727" s="226">
        <v>0.10212859999999999</v>
      </c>
    </row>
    <row r="728" spans="1:11" x14ac:dyDescent="0.25">
      <c r="A728" s="224">
        <v>9.7499999999999998E-7</v>
      </c>
      <c r="B728" s="225">
        <f t="shared" si="11"/>
        <v>2.0373772076307693E-19</v>
      </c>
      <c r="C728" s="226">
        <v>7.0369602476970314E-3</v>
      </c>
      <c r="D728" s="226">
        <v>8.7608454999999995E-3</v>
      </c>
      <c r="E728" s="226">
        <v>1.2012939999999998E-2</v>
      </c>
      <c r="F728" s="226">
        <v>1.4290339999999999E-2</v>
      </c>
      <c r="G728" s="226">
        <v>1.4523139999999997E-2</v>
      </c>
      <c r="H728" s="226">
        <v>2.1873125E-2</v>
      </c>
      <c r="I728" s="226">
        <v>2.8929160000000002E-2</v>
      </c>
      <c r="J728" s="226">
        <v>4.6119019999999997E-2</v>
      </c>
      <c r="K728" s="226">
        <v>0.100560765</v>
      </c>
    </row>
    <row r="729" spans="1:11" x14ac:dyDescent="0.25">
      <c r="A729" s="224">
        <v>9.7600000000000006E-7</v>
      </c>
      <c r="B729" s="225">
        <f t="shared" si="11"/>
        <v>2.0352897309836064E-19</v>
      </c>
      <c r="C729" s="226">
        <v>7.0147932408751636E-3</v>
      </c>
      <c r="D729" s="226">
        <v>8.5535449999999992E-3</v>
      </c>
      <c r="E729" s="226">
        <v>1.1941749999999998E-2</v>
      </c>
      <c r="F729" s="226">
        <v>1.4272659999999998E-2</v>
      </c>
      <c r="G729" s="226">
        <v>1.4151329999999998E-2</v>
      </c>
      <c r="H729" s="226">
        <v>2.200937E-2</v>
      </c>
      <c r="I729" s="226">
        <v>2.8647100000000002E-2</v>
      </c>
      <c r="J729" s="226">
        <v>4.5387089999999991E-2</v>
      </c>
      <c r="K729" s="226">
        <v>9.8992929999999993E-2</v>
      </c>
    </row>
    <row r="730" spans="1:11" x14ac:dyDescent="0.25">
      <c r="A730" s="224">
        <v>9.7700000000000013E-7</v>
      </c>
      <c r="B730" s="225">
        <f t="shared" si="11"/>
        <v>2.0332065275742064E-19</v>
      </c>
      <c r="C730" s="226">
        <v>6.9911610704800793E-3</v>
      </c>
      <c r="D730" s="226">
        <v>8.5571979999999985E-3</v>
      </c>
      <c r="E730" s="226">
        <v>1.2164604999999998E-2</v>
      </c>
      <c r="F730" s="226">
        <v>1.423201E-2</v>
      </c>
      <c r="G730" s="226">
        <v>1.4128594999999997E-2</v>
      </c>
      <c r="H730" s="226">
        <v>2.1737979999999997E-2</v>
      </c>
      <c r="I730" s="226">
        <v>2.9351614999999998E-2</v>
      </c>
      <c r="J730" s="226">
        <v>4.5734074999999992E-2</v>
      </c>
      <c r="K730" s="226">
        <v>9.6532855000000001E-2</v>
      </c>
    </row>
    <row r="731" spans="1:11" x14ac:dyDescent="0.25">
      <c r="A731" s="224">
        <v>9.78E-7</v>
      </c>
      <c r="B731" s="225">
        <f t="shared" si="11"/>
        <v>2.0311275842944784E-19</v>
      </c>
      <c r="C731" s="226">
        <v>6.9661210102040794E-3</v>
      </c>
      <c r="D731" s="226">
        <v>8.5608509999999995E-3</v>
      </c>
      <c r="E731" s="226">
        <v>1.2387459999999998E-2</v>
      </c>
      <c r="F731" s="226">
        <v>1.419136E-2</v>
      </c>
      <c r="G731" s="226">
        <v>1.4105859999999998E-2</v>
      </c>
      <c r="H731" s="226">
        <v>2.1466589999999994E-2</v>
      </c>
      <c r="I731" s="226">
        <v>3.0056129999999997E-2</v>
      </c>
      <c r="J731" s="226">
        <v>4.6081059999999993E-2</v>
      </c>
      <c r="K731" s="226">
        <v>9.4072779999999995E-2</v>
      </c>
    </row>
    <row r="732" spans="1:11" x14ac:dyDescent="0.25">
      <c r="A732" s="224">
        <v>9.7900000000000007E-7</v>
      </c>
      <c r="B732" s="225">
        <f t="shared" si="11"/>
        <v>2.0290528880898873E-19</v>
      </c>
      <c r="C732" s="226">
        <v>6.9414716007542548E-3</v>
      </c>
      <c r="D732" s="226">
        <v>8.4830449999999981E-3</v>
      </c>
      <c r="E732" s="226">
        <v>1.2259279999999997E-2</v>
      </c>
      <c r="F732" s="226">
        <v>1.4036054999999999E-2</v>
      </c>
      <c r="G732" s="226">
        <v>1.4564619999999997E-2</v>
      </c>
      <c r="H732" s="226">
        <v>2.1677344999999994E-2</v>
      </c>
      <c r="I732" s="226">
        <v>2.9495844999999996E-2</v>
      </c>
      <c r="J732" s="226">
        <v>4.5940094999999993E-2</v>
      </c>
      <c r="K732" s="226">
        <v>9.7692789999999988E-2</v>
      </c>
    </row>
    <row r="733" spans="1:11" x14ac:dyDescent="0.25">
      <c r="A733" s="224">
        <v>9.7999999999999993E-7</v>
      </c>
      <c r="B733" s="225">
        <f t="shared" si="11"/>
        <v>2.0269824259591838E-19</v>
      </c>
      <c r="C733" s="226">
        <v>6.9169112630614099E-3</v>
      </c>
      <c r="D733" s="226">
        <v>8.4052389999999984E-3</v>
      </c>
      <c r="E733" s="226">
        <v>1.2131099999999999E-2</v>
      </c>
      <c r="F733" s="226">
        <v>1.3880749999999999E-2</v>
      </c>
      <c r="G733" s="226">
        <v>1.5023379999999996E-2</v>
      </c>
      <c r="H733" s="226">
        <v>2.1888099999999997E-2</v>
      </c>
      <c r="I733" s="226">
        <v>2.8935559999999996E-2</v>
      </c>
      <c r="J733" s="226">
        <v>4.5799129999999993E-2</v>
      </c>
      <c r="K733" s="226">
        <v>0.10131279999999998</v>
      </c>
    </row>
    <row r="734" spans="1:11" x14ac:dyDescent="0.25">
      <c r="A734" s="224">
        <v>9.8100000000000001E-7</v>
      </c>
      <c r="B734" s="225">
        <f t="shared" si="11"/>
        <v>2.0249161849541284E-19</v>
      </c>
      <c r="C734" s="226">
        <v>6.8911627664292961E-3</v>
      </c>
      <c r="D734" s="226">
        <v>8.5939094999999983E-3</v>
      </c>
      <c r="E734" s="226">
        <v>1.2214669999999997E-2</v>
      </c>
      <c r="F734" s="226">
        <v>1.3829709999999999E-2</v>
      </c>
      <c r="G734" s="226">
        <v>1.4695769999999997E-2</v>
      </c>
      <c r="H734" s="226">
        <v>2.1429334999999997E-2</v>
      </c>
      <c r="I734" s="226">
        <v>2.9414134999999994E-2</v>
      </c>
      <c r="J734" s="226">
        <v>4.6323229999999993E-2</v>
      </c>
      <c r="K734" s="226">
        <v>0.10312824999999998</v>
      </c>
    </row>
    <row r="735" spans="1:11" x14ac:dyDescent="0.25">
      <c r="A735" s="224">
        <v>9.8200000000000008E-7</v>
      </c>
      <c r="B735" s="225">
        <f t="shared" si="11"/>
        <v>2.0228541521792258E-19</v>
      </c>
      <c r="C735" s="226">
        <v>6.8638048741742029E-3</v>
      </c>
      <c r="D735" s="226">
        <v>8.7825799999999982E-3</v>
      </c>
      <c r="E735" s="226">
        <v>1.2298239999999997E-2</v>
      </c>
      <c r="F735" s="226">
        <v>1.377867E-2</v>
      </c>
      <c r="G735" s="226">
        <v>1.4368159999999998E-2</v>
      </c>
      <c r="H735" s="226">
        <v>2.0970569999999997E-2</v>
      </c>
      <c r="I735" s="226">
        <v>2.9892709999999996E-2</v>
      </c>
      <c r="J735" s="226">
        <v>4.6847329999999993E-2</v>
      </c>
      <c r="K735" s="226">
        <v>0.10494369999999997</v>
      </c>
    </row>
    <row r="736" spans="1:11" x14ac:dyDescent="0.25">
      <c r="A736" s="224">
        <v>9.8299999999999995E-7</v>
      </c>
      <c r="B736" s="225">
        <f t="shared" si="11"/>
        <v>2.0207963147914548E-19</v>
      </c>
      <c r="C736" s="226">
        <v>6.8381895250761403E-3</v>
      </c>
      <c r="D736" s="226">
        <v>8.6331774999999986E-3</v>
      </c>
      <c r="E736" s="226">
        <v>1.1921169999999998E-2</v>
      </c>
      <c r="F736" s="226">
        <v>1.3756434999999999E-2</v>
      </c>
      <c r="G736" s="226">
        <v>1.4663024999999998E-2</v>
      </c>
      <c r="H736" s="226">
        <v>2.1157219999999997E-2</v>
      </c>
      <c r="I736" s="226">
        <v>2.9382874999999996E-2</v>
      </c>
      <c r="J736" s="226">
        <v>4.6467809999999991E-2</v>
      </c>
      <c r="K736" s="226">
        <v>0.10502019999999998</v>
      </c>
    </row>
    <row r="737" spans="1:11" x14ac:dyDescent="0.25">
      <c r="A737" s="224">
        <v>9.8400000000000002E-7</v>
      </c>
      <c r="B737" s="225">
        <f t="shared" si="11"/>
        <v>2.0187426599999999E-19</v>
      </c>
      <c r="C737" s="226">
        <v>6.8140490866213602E-3</v>
      </c>
      <c r="D737" s="226">
        <v>8.483774999999999E-3</v>
      </c>
      <c r="E737" s="226">
        <v>1.1544099999999998E-2</v>
      </c>
      <c r="F737" s="226">
        <v>1.3734199999999998E-2</v>
      </c>
      <c r="G737" s="226">
        <v>1.4957889999999998E-2</v>
      </c>
      <c r="H737" s="226">
        <v>2.1343869999999994E-2</v>
      </c>
      <c r="I737" s="226">
        <v>2.8873039999999999E-2</v>
      </c>
      <c r="J737" s="226">
        <v>4.608828999999999E-2</v>
      </c>
      <c r="K737" s="226">
        <v>0.10509669999999999</v>
      </c>
    </row>
    <row r="738" spans="1:11" x14ac:dyDescent="0.25">
      <c r="A738" s="224">
        <v>9.850000000000001E-7</v>
      </c>
      <c r="B738" s="225">
        <f t="shared" si="11"/>
        <v>2.0166931750659896E-19</v>
      </c>
      <c r="C738" s="226">
        <v>6.7847783964940728E-3</v>
      </c>
      <c r="D738" s="226">
        <v>8.4901679999999993E-3</v>
      </c>
      <c r="E738" s="226">
        <v>1.162239E-2</v>
      </c>
      <c r="F738" s="226">
        <v>1.3649619999999998E-2</v>
      </c>
      <c r="G738" s="226">
        <v>1.4689584999999998E-2</v>
      </c>
      <c r="H738" s="226">
        <v>2.0924184999999998E-2</v>
      </c>
      <c r="I738" s="226">
        <v>2.9451424999999996E-2</v>
      </c>
      <c r="J738" s="226">
        <v>4.5828049999999995E-2</v>
      </c>
      <c r="K738" s="226">
        <v>0.10321564999999999</v>
      </c>
    </row>
    <row r="739" spans="1:11" x14ac:dyDescent="0.25">
      <c r="A739" s="224">
        <v>9.8599999999999996E-7</v>
      </c>
      <c r="B739" s="225">
        <f t="shared" si="11"/>
        <v>2.0146478473022313E-19</v>
      </c>
      <c r="C739" s="226">
        <v>6.7559889568782252E-3</v>
      </c>
      <c r="D739" s="226">
        <v>8.4965609999999997E-3</v>
      </c>
      <c r="E739" s="226">
        <v>1.1700680000000001E-2</v>
      </c>
      <c r="F739" s="226">
        <v>1.3565039999999997E-2</v>
      </c>
      <c r="G739" s="226">
        <v>1.4421279999999998E-2</v>
      </c>
      <c r="H739" s="226">
        <v>2.0504499999999998E-2</v>
      </c>
      <c r="I739" s="226">
        <v>3.0029809999999994E-2</v>
      </c>
      <c r="J739" s="226">
        <v>4.5567809999999993E-2</v>
      </c>
      <c r="K739" s="226">
        <v>0.10133459999999998</v>
      </c>
    </row>
    <row r="740" spans="1:11" x14ac:dyDescent="0.25">
      <c r="A740" s="224">
        <v>9.8700000000000004E-7</v>
      </c>
      <c r="B740" s="225">
        <f t="shared" si="11"/>
        <v>2.0126066640729483E-19</v>
      </c>
      <c r="C740" s="226">
        <v>6.7349792706037004E-3</v>
      </c>
      <c r="D740" s="226">
        <v>8.2951055000000003E-3</v>
      </c>
      <c r="E740" s="226">
        <v>1.1761495E-2</v>
      </c>
      <c r="F740" s="226">
        <v>1.3588554999999999E-2</v>
      </c>
      <c r="G740" s="226">
        <v>1.4736514999999999E-2</v>
      </c>
      <c r="H740" s="226">
        <v>2.0553994999999999E-2</v>
      </c>
      <c r="I740" s="226">
        <v>2.9341014999999995E-2</v>
      </c>
      <c r="J740" s="226">
        <v>4.5636484999999991E-2</v>
      </c>
      <c r="K740" s="226">
        <v>9.9866954999999993E-2</v>
      </c>
    </row>
    <row r="741" spans="1:11" x14ac:dyDescent="0.25">
      <c r="A741" s="224">
        <v>9.8800000000000011E-7</v>
      </c>
      <c r="B741" s="225">
        <f t="shared" si="11"/>
        <v>2.0105696127935219E-19</v>
      </c>
      <c r="C741" s="226">
        <v>6.7080162561123455E-3</v>
      </c>
      <c r="D741" s="226">
        <v>8.0936499999999991E-3</v>
      </c>
      <c r="E741" s="226">
        <v>1.1822310000000001E-2</v>
      </c>
      <c r="F741" s="226">
        <v>1.3612069999999999E-2</v>
      </c>
      <c r="G741" s="226">
        <v>1.5051749999999997E-2</v>
      </c>
      <c r="H741" s="226">
        <v>2.0603489999999995E-2</v>
      </c>
      <c r="I741" s="226">
        <v>2.8652219999999996E-2</v>
      </c>
      <c r="J741" s="226">
        <v>4.5705159999999988E-2</v>
      </c>
      <c r="K741" s="226">
        <v>9.8399310000000004E-2</v>
      </c>
    </row>
    <row r="742" spans="1:11" x14ac:dyDescent="0.25">
      <c r="A742" s="224">
        <v>9.8899999999999998E-7</v>
      </c>
      <c r="B742" s="225">
        <f t="shared" si="11"/>
        <v>2.0085366809302326E-19</v>
      </c>
      <c r="C742" s="226">
        <v>6.6711353228378215E-3</v>
      </c>
      <c r="D742" s="226">
        <v>8.0454319999999999E-3</v>
      </c>
      <c r="E742" s="226">
        <v>1.178735E-2</v>
      </c>
      <c r="F742" s="226">
        <v>1.3595665E-2</v>
      </c>
      <c r="G742" s="226">
        <v>1.4931694999999998E-2</v>
      </c>
      <c r="H742" s="226">
        <v>2.0748494999999995E-2</v>
      </c>
      <c r="I742" s="226">
        <v>2.9281969999999997E-2</v>
      </c>
      <c r="J742" s="226">
        <v>4.5497329999999989E-2</v>
      </c>
      <c r="K742" s="226">
        <v>9.4668224999999995E-2</v>
      </c>
    </row>
    <row r="743" spans="1:11" x14ac:dyDescent="0.25">
      <c r="A743" s="224">
        <v>9.9000000000000005E-7</v>
      </c>
      <c r="B743" s="225">
        <f t="shared" si="11"/>
        <v>2.0065078559999998E-19</v>
      </c>
      <c r="C743" s="226">
        <v>6.6489435989515056E-3</v>
      </c>
      <c r="D743" s="226">
        <v>7.9972140000000008E-3</v>
      </c>
      <c r="E743" s="226">
        <v>1.175239E-2</v>
      </c>
      <c r="F743" s="226">
        <v>1.3579259999999999E-2</v>
      </c>
      <c r="G743" s="226">
        <v>1.4811639999999997E-2</v>
      </c>
      <c r="H743" s="226">
        <v>2.0893499999999995E-2</v>
      </c>
      <c r="I743" s="226">
        <v>2.9911719999999996E-2</v>
      </c>
      <c r="J743" s="226">
        <v>4.5289499999999996E-2</v>
      </c>
      <c r="K743" s="226">
        <v>9.0937139999999986E-2</v>
      </c>
    </row>
    <row r="744" spans="1:11" x14ac:dyDescent="0.25">
      <c r="A744" s="224">
        <v>9.9100000000000013E-7</v>
      </c>
      <c r="B744" s="225">
        <f t="shared" si="11"/>
        <v>2.0044831255701308E-19</v>
      </c>
      <c r="C744" s="226">
        <v>6.6343616969483307E-3</v>
      </c>
      <c r="D744" s="226">
        <v>8.252367E-3</v>
      </c>
      <c r="E744" s="226">
        <v>1.1678289999999999E-2</v>
      </c>
      <c r="F744" s="226">
        <v>1.3501424999999997E-2</v>
      </c>
      <c r="G744" s="226">
        <v>1.4753614999999998E-2</v>
      </c>
      <c r="H744" s="226">
        <v>2.1189359999999997E-2</v>
      </c>
      <c r="I744" s="226">
        <v>2.9851574999999995E-2</v>
      </c>
      <c r="J744" s="226">
        <v>4.526239E-2</v>
      </c>
      <c r="K744" s="226">
        <v>8.9187229999999978E-2</v>
      </c>
    </row>
    <row r="745" spans="1:11" x14ac:dyDescent="0.25">
      <c r="A745" s="224">
        <v>9.9199999999999999E-7</v>
      </c>
      <c r="B745" s="225">
        <f t="shared" si="11"/>
        <v>2.0024624772580646E-19</v>
      </c>
      <c r="C745" s="226">
        <v>6.6097315727510538E-3</v>
      </c>
      <c r="D745" s="226">
        <v>8.5075199999999993E-3</v>
      </c>
      <c r="E745" s="226">
        <v>1.1604189999999999E-2</v>
      </c>
      <c r="F745" s="226">
        <v>1.3423589999999997E-2</v>
      </c>
      <c r="G745" s="226">
        <v>1.4695589999999996E-2</v>
      </c>
      <c r="H745" s="226">
        <v>2.1485219999999996E-2</v>
      </c>
      <c r="I745" s="226">
        <v>2.9791429999999994E-2</v>
      </c>
      <c r="J745" s="226">
        <v>4.5235279999999996E-2</v>
      </c>
      <c r="K745" s="226">
        <v>8.7437319999999971E-2</v>
      </c>
    </row>
    <row r="746" spans="1:11" x14ac:dyDescent="0.25">
      <c r="A746" s="224">
        <v>9.9300000000000006E-7</v>
      </c>
      <c r="B746" s="225">
        <f t="shared" si="11"/>
        <v>2.0004458987311177E-19</v>
      </c>
      <c r="C746" s="226">
        <v>6.5778069809045211E-3</v>
      </c>
      <c r="D746" s="226">
        <v>8.346975999999999E-3</v>
      </c>
      <c r="E746" s="226">
        <v>1.1625669999999998E-2</v>
      </c>
      <c r="F746" s="226">
        <v>1.3502884999999999E-2</v>
      </c>
      <c r="G746" s="226">
        <v>1.4548974999999997E-2</v>
      </c>
      <c r="H746" s="226">
        <v>2.0931489999999997E-2</v>
      </c>
      <c r="I746" s="226">
        <v>2.9934564999999996E-2</v>
      </c>
      <c r="J746" s="226">
        <v>4.5307569999999998E-2</v>
      </c>
      <c r="K746" s="226">
        <v>8.9726224999999979E-2</v>
      </c>
    </row>
    <row r="747" spans="1:11" x14ac:dyDescent="0.25">
      <c r="A747" s="224">
        <v>9.9400000000000014E-7</v>
      </c>
      <c r="B747" s="225">
        <f t="shared" si="11"/>
        <v>1.9984333777062372E-19</v>
      </c>
      <c r="C747" s="226">
        <v>6.5494508057842944E-3</v>
      </c>
      <c r="D747" s="226">
        <v>8.1864319999999987E-3</v>
      </c>
      <c r="E747" s="226">
        <v>1.1647149999999998E-2</v>
      </c>
      <c r="F747" s="226">
        <v>1.3582179999999999E-2</v>
      </c>
      <c r="G747" s="226">
        <v>1.4402359999999998E-2</v>
      </c>
      <c r="H747" s="226">
        <v>2.0377759999999998E-2</v>
      </c>
      <c r="I747" s="226">
        <v>3.0077699999999995E-2</v>
      </c>
      <c r="J747" s="226">
        <v>4.5379860000000001E-2</v>
      </c>
      <c r="K747" s="226">
        <v>9.2015129999999987E-2</v>
      </c>
    </row>
    <row r="748" spans="1:11" x14ac:dyDescent="0.25">
      <c r="A748" s="224">
        <v>9.95E-7</v>
      </c>
      <c r="B748" s="225">
        <f t="shared" si="11"/>
        <v>1.9964249019497487E-19</v>
      </c>
      <c r="C748" s="226">
        <v>6.5235377345239289E-3</v>
      </c>
      <c r="D748" s="226">
        <v>7.9771229999999992E-3</v>
      </c>
      <c r="E748" s="226">
        <v>1.1601634999999997E-2</v>
      </c>
      <c r="F748" s="226">
        <v>1.3676779999999999E-2</v>
      </c>
      <c r="G748" s="226">
        <v>1.4468024999999999E-2</v>
      </c>
      <c r="H748" s="226">
        <v>2.0392549999999995E-2</v>
      </c>
      <c r="I748" s="226">
        <v>3.0146799999999994E-2</v>
      </c>
      <c r="J748" s="226">
        <v>4.5430459999999992E-2</v>
      </c>
      <c r="K748" s="226">
        <v>9.2530454999999984E-2</v>
      </c>
    </row>
    <row r="749" spans="1:11" x14ac:dyDescent="0.25">
      <c r="A749" s="224">
        <v>9.9600000000000008E-7</v>
      </c>
      <c r="B749" s="225">
        <f t="shared" si="11"/>
        <v>1.9944204592771083E-19</v>
      </c>
      <c r="C749" s="226">
        <v>6.4928043917835635E-3</v>
      </c>
      <c r="D749" s="226">
        <v>7.7678139999999996E-3</v>
      </c>
      <c r="E749" s="226">
        <v>1.1556119999999996E-2</v>
      </c>
      <c r="F749" s="226">
        <v>1.377138E-2</v>
      </c>
      <c r="G749" s="226">
        <v>1.4533689999999998E-2</v>
      </c>
      <c r="H749" s="226">
        <v>2.0407339999999996E-2</v>
      </c>
      <c r="I749" s="226">
        <v>3.0215899999999997E-2</v>
      </c>
      <c r="J749" s="226">
        <v>4.548105999999999E-2</v>
      </c>
      <c r="K749" s="226">
        <v>9.3045779999999995E-2</v>
      </c>
    </row>
    <row r="750" spans="1:11" x14ac:dyDescent="0.25">
      <c r="A750" s="224">
        <v>9.9699999999999994E-7</v>
      </c>
      <c r="B750" s="225">
        <f t="shared" si="11"/>
        <v>1.9924200375526581E-19</v>
      </c>
      <c r="C750" s="226">
        <v>6.4544466246495777E-3</v>
      </c>
      <c r="D750" s="226">
        <v>7.9367589999999981E-3</v>
      </c>
      <c r="E750" s="226">
        <v>1.1681749999999998E-2</v>
      </c>
      <c r="F750" s="226">
        <v>1.3721799999999998E-2</v>
      </c>
      <c r="G750" s="226">
        <v>1.4454744999999998E-2</v>
      </c>
      <c r="H750" s="226">
        <v>2.0650419999999996E-2</v>
      </c>
      <c r="I750" s="226">
        <v>3.0608554999999996E-2</v>
      </c>
      <c r="J750" s="226">
        <v>4.5311179999999993E-2</v>
      </c>
      <c r="K750" s="226">
        <v>9.2428484999999991E-2</v>
      </c>
    </row>
    <row r="751" spans="1:11" x14ac:dyDescent="0.25">
      <c r="A751" s="224">
        <v>9.9800000000000002E-7</v>
      </c>
      <c r="B751" s="225">
        <f t="shared" si="11"/>
        <v>1.9904236246893788E-19</v>
      </c>
      <c r="C751" s="226">
        <v>6.4061687060706076E-3</v>
      </c>
      <c r="D751" s="226">
        <v>8.1057039999999983E-3</v>
      </c>
      <c r="E751" s="226">
        <v>1.1807379999999999E-2</v>
      </c>
      <c r="F751" s="226">
        <v>1.3672219999999995E-2</v>
      </c>
      <c r="G751" s="226">
        <v>1.4375799999999998E-2</v>
      </c>
      <c r="H751" s="226">
        <v>2.0893499999999995E-2</v>
      </c>
      <c r="I751" s="226">
        <v>3.1001209999999994E-2</v>
      </c>
      <c r="J751" s="226">
        <v>4.5141300000000002E-2</v>
      </c>
      <c r="K751" s="226">
        <v>9.1811189999999987E-2</v>
      </c>
    </row>
    <row r="752" spans="1:11" x14ac:dyDescent="0.25">
      <c r="A752" s="224">
        <v>9.9900000000000009E-7</v>
      </c>
      <c r="B752" s="225">
        <f t="shared" si="11"/>
        <v>1.9884312086486484E-19</v>
      </c>
      <c r="C752" s="226">
        <v>6.3412765339728215E-3</v>
      </c>
      <c r="D752" s="226">
        <v>8.1557484999999971E-3</v>
      </c>
      <c r="E752" s="226">
        <v>1.1778249999999999E-2</v>
      </c>
      <c r="F752" s="226">
        <v>1.3628474999999998E-2</v>
      </c>
      <c r="G752" s="226">
        <v>1.4275569999999998E-2</v>
      </c>
      <c r="H752" s="226">
        <v>2.0901534999999995E-2</v>
      </c>
      <c r="I752" s="226">
        <v>3.0655169999999995E-2</v>
      </c>
      <c r="J752" s="226">
        <v>4.5119614999999995E-2</v>
      </c>
      <c r="K752" s="226">
        <v>9.2594184999999996E-2</v>
      </c>
    </row>
    <row r="753" spans="1:11" x14ac:dyDescent="0.25">
      <c r="A753" s="224">
        <v>9.9999999999999995E-7</v>
      </c>
      <c r="B753" s="225">
        <f t="shared" si="11"/>
        <v>1.98644277744E-19</v>
      </c>
      <c r="C753" s="226">
        <v>6.252670149700601E-3</v>
      </c>
      <c r="D753" s="226">
        <v>8.2057929999999977E-3</v>
      </c>
      <c r="E753" s="226">
        <v>1.1749119999999998E-2</v>
      </c>
      <c r="F753" s="226">
        <v>1.3584729999999998E-2</v>
      </c>
      <c r="G753" s="226">
        <v>1.4175339999999998E-2</v>
      </c>
      <c r="H753" s="226">
        <v>2.0909569999999995E-2</v>
      </c>
      <c r="I753" s="226">
        <v>3.0309129999999997E-2</v>
      </c>
      <c r="J753" s="226">
        <v>4.5097929999999987E-2</v>
      </c>
      <c r="K753" s="226">
        <v>9.337717999999999E-2</v>
      </c>
    </row>
    <row r="754" spans="1:11" x14ac:dyDescent="0.25">
      <c r="A754" s="224">
        <v>1.001E-6</v>
      </c>
      <c r="B754" s="225">
        <f t="shared" si="11"/>
        <v>1.9844583191208791E-19</v>
      </c>
      <c r="C754" s="226">
        <v>6.1255508624127562E-3</v>
      </c>
      <c r="D754" s="226">
        <v>7.5073654999999982E-3</v>
      </c>
      <c r="E754" s="226">
        <v>1.1720169999999999E-2</v>
      </c>
      <c r="F754" s="226">
        <v>1.3541344999999998E-2</v>
      </c>
      <c r="G754" s="226">
        <v>1.4410179999999998E-2</v>
      </c>
      <c r="H754" s="226">
        <v>2.1243784999999998E-2</v>
      </c>
      <c r="I754" s="226">
        <v>3.0509844999999997E-2</v>
      </c>
      <c r="J754" s="226">
        <v>4.5560579999999989E-2</v>
      </c>
      <c r="K754" s="226">
        <v>9.5043329999999981E-2</v>
      </c>
    </row>
    <row r="755" spans="1:11" x14ac:dyDescent="0.25">
      <c r="A755" s="224">
        <v>1.0020000000000001E-6</v>
      </c>
      <c r="B755" s="225">
        <f t="shared" si="11"/>
        <v>1.9824778217964069E-19</v>
      </c>
      <c r="C755" s="226">
        <v>5.9198484990039772E-3</v>
      </c>
      <c r="D755" s="226">
        <v>6.8089379999999996E-3</v>
      </c>
      <c r="E755" s="226">
        <v>1.1691219999999997E-2</v>
      </c>
      <c r="F755" s="226">
        <v>1.3497959999999998E-2</v>
      </c>
      <c r="G755" s="226">
        <v>1.464502E-2</v>
      </c>
      <c r="H755" s="226">
        <v>2.1578E-2</v>
      </c>
      <c r="I755" s="226">
        <v>3.0710559999999998E-2</v>
      </c>
      <c r="J755" s="226">
        <v>4.6023229999999998E-2</v>
      </c>
      <c r="K755" s="226">
        <v>9.6709479999999987E-2</v>
      </c>
    </row>
    <row r="756" spans="1:11" x14ac:dyDescent="0.25">
      <c r="A756" s="224">
        <v>1.003E-6</v>
      </c>
      <c r="B756" s="225">
        <f t="shared" si="11"/>
        <v>1.9805012736191425E-19</v>
      </c>
      <c r="C756" s="226">
        <v>5.5724887410358347E-3</v>
      </c>
      <c r="D756" s="226">
        <v>6.9292994999999996E-3</v>
      </c>
      <c r="E756" s="226">
        <v>1.1006259999999997E-2</v>
      </c>
      <c r="F756" s="226">
        <v>1.3410829999999999E-2</v>
      </c>
      <c r="G756" s="226">
        <v>1.4189714999999999E-2</v>
      </c>
      <c r="H756" s="226">
        <v>2.1061705E-2</v>
      </c>
      <c r="I756" s="226">
        <v>3.0831569999999996E-2</v>
      </c>
      <c r="J756" s="226">
        <v>4.5542504999999997E-2</v>
      </c>
      <c r="K756" s="226">
        <v>9.4697359999999994E-2</v>
      </c>
    </row>
    <row r="757" spans="1:11" x14ac:dyDescent="0.25">
      <c r="A757" s="224">
        <v>1.004E-6</v>
      </c>
      <c r="B757" s="225">
        <f t="shared" si="11"/>
        <v>1.9785286627888446E-19</v>
      </c>
      <c r="C757" s="226">
        <v>5.0675875019880676E-3</v>
      </c>
      <c r="D757" s="226">
        <v>7.0496609999999996E-3</v>
      </c>
      <c r="E757" s="226">
        <v>1.0321299999999999E-2</v>
      </c>
      <c r="F757" s="226">
        <v>1.3323699999999999E-2</v>
      </c>
      <c r="G757" s="226">
        <v>1.3734409999999999E-2</v>
      </c>
      <c r="H757" s="226">
        <v>2.054541E-2</v>
      </c>
      <c r="I757" s="226">
        <v>3.0952579999999997E-2</v>
      </c>
      <c r="J757" s="226">
        <v>4.5061779999999989E-2</v>
      </c>
      <c r="K757" s="226">
        <v>9.2685240000000002E-2</v>
      </c>
    </row>
    <row r="758" spans="1:11" x14ac:dyDescent="0.25">
      <c r="A758" s="224">
        <v>1.0050000000000001E-6</v>
      </c>
      <c r="B758" s="225">
        <f t="shared" si="11"/>
        <v>1.9765599775522385E-19</v>
      </c>
      <c r="C758" s="226">
        <v>4.7051563227408196E-3</v>
      </c>
      <c r="D758" s="226">
        <v>7.2206154999999994E-3</v>
      </c>
      <c r="E758" s="226">
        <v>1.0446934999999999E-2</v>
      </c>
      <c r="F758" s="226">
        <v>1.3324244999999998E-2</v>
      </c>
      <c r="G758" s="226">
        <v>1.3505574999999999E-2</v>
      </c>
      <c r="H758" s="226">
        <v>2.0384514999999999E-2</v>
      </c>
      <c r="I758" s="226">
        <v>3.0648949999999998E-2</v>
      </c>
      <c r="J758" s="226">
        <v>4.5426844999999993E-2</v>
      </c>
      <c r="K758" s="226">
        <v>9.367764499999999E-2</v>
      </c>
    </row>
    <row r="759" spans="1:11" x14ac:dyDescent="0.25">
      <c r="A759" s="224">
        <v>1.006E-6</v>
      </c>
      <c r="B759" s="225">
        <f t="shared" si="11"/>
        <v>1.9745952062027834E-19</v>
      </c>
      <c r="C759" s="226">
        <v>4.8563876666666613E-3</v>
      </c>
      <c r="D759" s="226">
        <v>7.3915699999999992E-3</v>
      </c>
      <c r="E759" s="226">
        <v>1.057257E-2</v>
      </c>
      <c r="F759" s="226">
        <v>1.332479E-2</v>
      </c>
      <c r="G759" s="226">
        <v>1.327674E-2</v>
      </c>
      <c r="H759" s="226">
        <v>2.0223619999999998E-2</v>
      </c>
      <c r="I759" s="226">
        <v>3.0345319999999999E-2</v>
      </c>
      <c r="J759" s="226">
        <v>4.5791909999999991E-2</v>
      </c>
      <c r="K759" s="226">
        <v>9.4670049999999978E-2</v>
      </c>
    </row>
    <row r="760" spans="1:11" x14ac:dyDescent="0.25">
      <c r="A760" s="224">
        <v>1.0070000000000001E-6</v>
      </c>
      <c r="B760" s="225">
        <f t="shared" si="11"/>
        <v>1.9726343370804367E-19</v>
      </c>
      <c r="C760" s="226">
        <v>5.3106535847373551E-3</v>
      </c>
      <c r="D760" s="226">
        <v>7.7289114999999995E-3</v>
      </c>
      <c r="E760" s="226">
        <v>1.0851864999999999E-2</v>
      </c>
      <c r="F760" s="226">
        <v>1.3352679999999999E-2</v>
      </c>
      <c r="G760" s="226">
        <v>1.3386245E-2</v>
      </c>
      <c r="H760" s="226">
        <v>2.0636359999999999E-2</v>
      </c>
      <c r="I760" s="226">
        <v>3.0070935E-2</v>
      </c>
      <c r="J760" s="226">
        <v>4.4817804999999995E-2</v>
      </c>
      <c r="K760" s="226">
        <v>9.7009939999999989E-2</v>
      </c>
    </row>
    <row r="761" spans="1:11" x14ac:dyDescent="0.25">
      <c r="A761" s="224">
        <v>1.0080000000000001E-6</v>
      </c>
      <c r="B761" s="225">
        <f t="shared" si="11"/>
        <v>1.9706773585714282E-19</v>
      </c>
      <c r="C761" s="226">
        <v>5.6813892821782046E-3</v>
      </c>
      <c r="D761" s="226">
        <v>8.0662529999999989E-3</v>
      </c>
      <c r="E761" s="226">
        <v>1.1131159999999998E-2</v>
      </c>
      <c r="F761" s="226">
        <v>1.3380569999999996E-2</v>
      </c>
      <c r="G761" s="226">
        <v>1.3495749999999999E-2</v>
      </c>
      <c r="H761" s="226">
        <v>2.1049099999999998E-2</v>
      </c>
      <c r="I761" s="226">
        <v>2.9796549999999998E-2</v>
      </c>
      <c r="J761" s="226">
        <v>4.3843699999999999E-2</v>
      </c>
      <c r="K761" s="226">
        <v>9.9349829999999986E-2</v>
      </c>
    </row>
    <row r="762" spans="1:11" x14ac:dyDescent="0.25">
      <c r="A762" s="224">
        <v>1.009E-6</v>
      </c>
      <c r="B762" s="225">
        <f t="shared" si="11"/>
        <v>1.9687242591080278E-19</v>
      </c>
      <c r="C762" s="226">
        <v>5.8857703432245324E-3</v>
      </c>
      <c r="D762" s="226">
        <v>7.9323759999999997E-3</v>
      </c>
      <c r="E762" s="226">
        <v>1.1184689999999997E-2</v>
      </c>
      <c r="F762" s="226">
        <v>1.3283959999999997E-2</v>
      </c>
      <c r="G762" s="226">
        <v>1.3619989999999998E-2</v>
      </c>
      <c r="H762" s="226">
        <v>2.1039784999999998E-2</v>
      </c>
      <c r="I762" s="226">
        <v>2.9792344999999998E-2</v>
      </c>
      <c r="J762" s="226">
        <v>4.402623E-2</v>
      </c>
      <c r="K762" s="226">
        <v>9.9477294999999993E-2</v>
      </c>
    </row>
    <row r="763" spans="1:11" x14ac:dyDescent="0.25">
      <c r="A763" s="224">
        <v>1.0100000000000001E-6</v>
      </c>
      <c r="B763" s="225">
        <f t="shared" si="11"/>
        <v>1.9667750271683167E-19</v>
      </c>
      <c r="C763" s="226">
        <v>5.9915943162055342E-3</v>
      </c>
      <c r="D763" s="226">
        <v>7.7984989999999995E-3</v>
      </c>
      <c r="E763" s="226">
        <v>1.1238219999999998E-2</v>
      </c>
      <c r="F763" s="226">
        <v>1.3187349999999997E-2</v>
      </c>
      <c r="G763" s="226">
        <v>1.374423E-2</v>
      </c>
      <c r="H763" s="226">
        <v>2.1030469999999996E-2</v>
      </c>
      <c r="I763" s="226">
        <v>2.9788139999999994E-2</v>
      </c>
      <c r="J763" s="226">
        <v>4.4208759999999993E-2</v>
      </c>
      <c r="K763" s="226">
        <v>9.9604760000000001E-2</v>
      </c>
    </row>
    <row r="764" spans="1:11" x14ac:dyDescent="0.25">
      <c r="A764" s="224">
        <v>1.0109999999999999E-6</v>
      </c>
      <c r="B764" s="225">
        <f t="shared" si="11"/>
        <v>1.9648296512759645E-19</v>
      </c>
      <c r="C764" s="226">
        <v>6.0415377739387963E-3</v>
      </c>
      <c r="D764" s="226">
        <v>7.8131099999999998E-3</v>
      </c>
      <c r="E764" s="226">
        <v>1.1188694999999999E-2</v>
      </c>
      <c r="F764" s="226">
        <v>1.3042799999999997E-2</v>
      </c>
      <c r="G764" s="226">
        <v>1.3679654999999999E-2</v>
      </c>
      <c r="H764" s="226">
        <v>2.0263429999999995E-2</v>
      </c>
      <c r="I764" s="226">
        <v>2.9522714999999998E-2</v>
      </c>
      <c r="J764" s="226">
        <v>4.4624424999999995E-2</v>
      </c>
      <c r="K764" s="226">
        <v>9.6822379999999986E-2</v>
      </c>
    </row>
    <row r="765" spans="1:11" x14ac:dyDescent="0.25">
      <c r="A765" s="224">
        <v>1.012E-6</v>
      </c>
      <c r="B765" s="225">
        <f t="shared" si="11"/>
        <v>1.96288812E-19</v>
      </c>
      <c r="C765" s="226">
        <v>6.060925845167652E-3</v>
      </c>
      <c r="D765" s="226">
        <v>7.8277209999999993E-3</v>
      </c>
      <c r="E765" s="226">
        <v>1.113917E-2</v>
      </c>
      <c r="F765" s="226">
        <v>1.2898249999999998E-2</v>
      </c>
      <c r="G765" s="226">
        <v>1.3615079999999996E-2</v>
      </c>
      <c r="H765" s="226">
        <v>1.9496389999999995E-2</v>
      </c>
      <c r="I765" s="226">
        <v>2.9257290000000002E-2</v>
      </c>
      <c r="J765" s="226">
        <v>4.5040089999999991E-2</v>
      </c>
      <c r="K765" s="226">
        <v>9.4039999999999985E-2</v>
      </c>
    </row>
    <row r="766" spans="1:11" x14ac:dyDescent="0.25">
      <c r="A766" s="224">
        <v>1.0130000000000001E-6</v>
      </c>
      <c r="B766" s="225">
        <f t="shared" si="11"/>
        <v>1.96095042195459E-19</v>
      </c>
      <c r="C766" s="226">
        <v>6.0772438482758605E-3</v>
      </c>
      <c r="D766" s="226">
        <v>7.6909214999999987E-3</v>
      </c>
      <c r="E766" s="226">
        <v>1.107472E-2</v>
      </c>
      <c r="F766" s="226">
        <v>1.2905179999999999E-2</v>
      </c>
      <c r="G766" s="226">
        <v>1.3405709999999998E-2</v>
      </c>
      <c r="H766" s="226">
        <v>1.9754809999999998E-2</v>
      </c>
      <c r="I766" s="226">
        <v>2.9595469999999999E-2</v>
      </c>
      <c r="J766" s="226">
        <v>4.4870209999999994E-2</v>
      </c>
      <c r="K766" s="226">
        <v>9.330798999999998E-2</v>
      </c>
    </row>
    <row r="767" spans="1:11" x14ac:dyDescent="0.25">
      <c r="A767" s="224">
        <v>1.0139999999999999E-6</v>
      </c>
      <c r="B767" s="225">
        <f t="shared" si="11"/>
        <v>1.9590165457988167E-19</v>
      </c>
      <c r="C767" s="226">
        <v>6.0905621259842507E-3</v>
      </c>
      <c r="D767" s="226">
        <v>7.5541219999999982E-3</v>
      </c>
      <c r="E767" s="226">
        <v>1.1010269999999999E-2</v>
      </c>
      <c r="F767" s="226">
        <v>1.2912109999999997E-2</v>
      </c>
      <c r="G767" s="226">
        <v>1.3196339999999997E-2</v>
      </c>
      <c r="H767" s="226">
        <v>2.001323E-2</v>
      </c>
      <c r="I767" s="226">
        <v>2.9933649999999996E-2</v>
      </c>
      <c r="J767" s="226">
        <v>4.4700329999999996E-2</v>
      </c>
      <c r="K767" s="226">
        <v>9.2575979999999988E-2</v>
      </c>
    </row>
    <row r="768" spans="1:11" x14ac:dyDescent="0.25">
      <c r="A768" s="224">
        <v>1.015E-6</v>
      </c>
      <c r="B768" s="225">
        <f t="shared" si="11"/>
        <v>1.9570864802364532E-19</v>
      </c>
      <c r="C768" s="226">
        <v>6.0892676676499499E-3</v>
      </c>
      <c r="D768" s="226">
        <v>7.7860789999999978E-3</v>
      </c>
      <c r="E768" s="226">
        <v>1.1137354999999998E-2</v>
      </c>
      <c r="F768" s="226">
        <v>1.2870914999999997E-2</v>
      </c>
      <c r="G768" s="226">
        <v>1.3282564999999998E-2</v>
      </c>
      <c r="H768" s="226">
        <v>1.9925564999999999E-2</v>
      </c>
      <c r="I768" s="226">
        <v>2.8821674999999998E-2</v>
      </c>
      <c r="J768" s="226">
        <v>4.4102134999999994E-2</v>
      </c>
      <c r="K768" s="226">
        <v>9.4482489999999975E-2</v>
      </c>
    </row>
    <row r="769" spans="1:11" x14ac:dyDescent="0.25">
      <c r="A769" s="224">
        <v>1.0160000000000001E-6</v>
      </c>
      <c r="B769" s="225">
        <f t="shared" si="11"/>
        <v>1.9551602140157478E-19</v>
      </c>
      <c r="C769" s="226">
        <v>6.0780297838899803E-3</v>
      </c>
      <c r="D769" s="226">
        <v>8.0180359999999975E-3</v>
      </c>
      <c r="E769" s="226">
        <v>1.1264439999999999E-2</v>
      </c>
      <c r="F769" s="226">
        <v>1.2829719999999998E-2</v>
      </c>
      <c r="G769" s="226">
        <v>1.3368789999999998E-2</v>
      </c>
      <c r="H769" s="226">
        <v>1.9837899999999995E-2</v>
      </c>
      <c r="I769" s="226">
        <v>2.7709699999999997E-2</v>
      </c>
      <c r="J769" s="226">
        <v>4.3503939999999991E-2</v>
      </c>
      <c r="K769" s="226">
        <v>9.6388999999999975E-2</v>
      </c>
    </row>
    <row r="770" spans="1:11" x14ac:dyDescent="0.25">
      <c r="A770" s="224">
        <v>1.017E-6</v>
      </c>
      <c r="B770" s="225">
        <f t="shared" si="11"/>
        <v>1.9532377359292035E-19</v>
      </c>
      <c r="C770" s="226">
        <v>6.0640904376840022E-3</v>
      </c>
      <c r="D770" s="226">
        <v>7.7500979999999987E-3</v>
      </c>
      <c r="E770" s="226">
        <v>1.1168484999999999E-2</v>
      </c>
      <c r="F770" s="226">
        <v>1.2713784999999998E-2</v>
      </c>
      <c r="G770" s="226">
        <v>1.3278744999999998E-2</v>
      </c>
      <c r="H770" s="226">
        <v>1.9605964999999996E-2</v>
      </c>
      <c r="I770" s="226">
        <v>2.7822119999999999E-2</v>
      </c>
      <c r="J770" s="226">
        <v>4.4116594999999995E-2</v>
      </c>
      <c r="K770" s="226">
        <v>9.5833614999999983E-2</v>
      </c>
    </row>
    <row r="771" spans="1:11" x14ac:dyDescent="0.25">
      <c r="A771" s="224">
        <v>1.018E-6</v>
      </c>
      <c r="B771" s="225">
        <f t="shared" ref="B771:B803" si="12">h_planck*c_light/A771</f>
        <v>1.9513190348133593E-19</v>
      </c>
      <c r="C771" s="226">
        <v>6.0482890686274476E-3</v>
      </c>
      <c r="D771" s="226">
        <v>7.482159999999999E-3</v>
      </c>
      <c r="E771" s="226">
        <v>1.1072529999999999E-2</v>
      </c>
      <c r="F771" s="226">
        <v>1.2597849999999997E-2</v>
      </c>
      <c r="G771" s="226">
        <v>1.3188699999999999E-2</v>
      </c>
      <c r="H771" s="226">
        <v>1.9374029999999997E-2</v>
      </c>
      <c r="I771" s="226">
        <v>2.7934539999999997E-2</v>
      </c>
      <c r="J771" s="226">
        <v>4.4729249999999991E-2</v>
      </c>
      <c r="K771" s="226">
        <v>9.5278229999999978E-2</v>
      </c>
    </row>
    <row r="772" spans="1:11" x14ac:dyDescent="0.25">
      <c r="A772" s="224">
        <v>1.0190000000000001E-6</v>
      </c>
      <c r="B772" s="225">
        <f t="shared" si="12"/>
        <v>1.9494040995485769E-19</v>
      </c>
      <c r="C772" s="226">
        <v>6.0315692546523006E-3</v>
      </c>
      <c r="D772" s="226">
        <v>7.7261714999999984E-3</v>
      </c>
      <c r="E772" s="226">
        <v>1.134655E-2</v>
      </c>
      <c r="F772" s="226">
        <v>1.2594754999999997E-2</v>
      </c>
      <c r="G772" s="226">
        <v>1.3141949999999999E-2</v>
      </c>
      <c r="H772" s="226">
        <v>1.9357774999999997E-2</v>
      </c>
      <c r="I772" s="226">
        <v>2.7933444999999998E-2</v>
      </c>
      <c r="J772" s="226">
        <v>4.3903339999999999E-2</v>
      </c>
      <c r="K772" s="226">
        <v>9.361936999999998E-2</v>
      </c>
    </row>
    <row r="773" spans="1:11" x14ac:dyDescent="0.25">
      <c r="A773" s="224">
        <v>1.02E-6</v>
      </c>
      <c r="B773" s="225">
        <f t="shared" si="12"/>
        <v>1.9474929190588236E-19</v>
      </c>
      <c r="C773" s="226">
        <v>6.0153045273972595E-3</v>
      </c>
      <c r="D773" s="226">
        <v>7.9701829999999987E-3</v>
      </c>
      <c r="E773" s="226">
        <v>1.162057E-2</v>
      </c>
      <c r="F773" s="226">
        <v>1.2591659999999998E-2</v>
      </c>
      <c r="G773" s="226">
        <v>1.3095199999999998E-2</v>
      </c>
      <c r="H773" s="226">
        <v>1.9341519999999997E-2</v>
      </c>
      <c r="I773" s="226">
        <v>2.7932349999999998E-2</v>
      </c>
      <c r="J773" s="226">
        <v>4.307743E-2</v>
      </c>
      <c r="K773" s="226">
        <v>9.1960509999999981E-2</v>
      </c>
    </row>
    <row r="774" spans="1:11" x14ac:dyDescent="0.25">
      <c r="A774" s="224">
        <v>1.0210000000000001E-6</v>
      </c>
      <c r="B774" s="225">
        <f t="shared" si="12"/>
        <v>1.9455854823114593E-19</v>
      </c>
      <c r="C774" s="226">
        <v>5.9981476119257086E-3</v>
      </c>
      <c r="D774" s="226">
        <v>7.5932074999999991E-3</v>
      </c>
      <c r="E774" s="226">
        <v>1.117686E-2</v>
      </c>
      <c r="F774" s="226">
        <v>1.2587829999999998E-2</v>
      </c>
      <c r="G774" s="226">
        <v>1.3296384999999997E-2</v>
      </c>
      <c r="H774" s="226">
        <v>1.9239609999999997E-2</v>
      </c>
      <c r="I774" s="226">
        <v>2.7840034999999999E-2</v>
      </c>
      <c r="J774" s="226">
        <v>4.2649115000000001E-2</v>
      </c>
      <c r="K774" s="226">
        <v>9.2748969999999986E-2</v>
      </c>
    </row>
    <row r="775" spans="1:11" x14ac:dyDescent="0.25">
      <c r="A775" s="224">
        <v>1.0220000000000001E-6</v>
      </c>
      <c r="B775" s="225">
        <f t="shared" si="12"/>
        <v>1.9436817783170253E-19</v>
      </c>
      <c r="C775" s="226">
        <v>5.9796002039024382E-3</v>
      </c>
      <c r="D775" s="226">
        <v>7.2162319999999995E-3</v>
      </c>
      <c r="E775" s="226">
        <v>1.0733149999999999E-2</v>
      </c>
      <c r="F775" s="226">
        <v>1.2583999999999998E-2</v>
      </c>
      <c r="G775" s="226">
        <v>1.3497569999999997E-2</v>
      </c>
      <c r="H775" s="226">
        <v>1.9137700000000001E-2</v>
      </c>
      <c r="I775" s="226">
        <v>2.7747719999999997E-2</v>
      </c>
      <c r="J775" s="226">
        <v>4.2220799999999996E-2</v>
      </c>
      <c r="K775" s="226">
        <v>9.3537429999999977E-2</v>
      </c>
    </row>
    <row r="776" spans="1:11" x14ac:dyDescent="0.25">
      <c r="A776" s="224">
        <v>1.023E-6</v>
      </c>
      <c r="B776" s="225">
        <f t="shared" si="12"/>
        <v>1.9417817961290322E-19</v>
      </c>
      <c r="C776" s="226">
        <v>5.9608116058536571E-3</v>
      </c>
      <c r="D776" s="226">
        <v>7.2695639999999992E-3</v>
      </c>
      <c r="E776" s="226">
        <v>1.0680894999999999E-2</v>
      </c>
      <c r="F776" s="226">
        <v>1.2522569999999997E-2</v>
      </c>
      <c r="G776" s="226">
        <v>1.3155774999999998E-2</v>
      </c>
      <c r="H776" s="226">
        <v>1.8905035000000001E-2</v>
      </c>
      <c r="I776" s="226">
        <v>2.7289804999999997E-2</v>
      </c>
      <c r="J776" s="226">
        <v>4.2320194999999991E-2</v>
      </c>
      <c r="K776" s="226">
        <v>9.1732889999999984E-2</v>
      </c>
    </row>
    <row r="777" spans="1:11" x14ac:dyDescent="0.25">
      <c r="A777" s="224">
        <v>1.0240000000000001E-6</v>
      </c>
      <c r="B777" s="225">
        <f t="shared" si="12"/>
        <v>1.9398855248437498E-19</v>
      </c>
      <c r="C777" s="226">
        <v>5.9415219766081866E-3</v>
      </c>
      <c r="D777" s="226">
        <v>7.3228959999999997E-3</v>
      </c>
      <c r="E777" s="226">
        <v>1.0628639999999998E-2</v>
      </c>
      <c r="F777" s="226">
        <v>1.2461139999999997E-2</v>
      </c>
      <c r="G777" s="226">
        <v>1.2813979999999997E-2</v>
      </c>
      <c r="H777" s="226">
        <v>1.8672369999999997E-2</v>
      </c>
      <c r="I777" s="226">
        <v>2.6831889999999997E-2</v>
      </c>
      <c r="J777" s="226">
        <v>4.2419589999999993E-2</v>
      </c>
      <c r="K777" s="226">
        <v>8.992834999999999E-2</v>
      </c>
    </row>
    <row r="778" spans="1:11" x14ac:dyDescent="0.25">
      <c r="A778" s="224">
        <v>1.0250000000000001E-6</v>
      </c>
      <c r="B778" s="225">
        <f t="shared" si="12"/>
        <v>1.9379929535999996E-19</v>
      </c>
      <c r="C778" s="226">
        <v>5.9222506543330075E-3</v>
      </c>
      <c r="D778" s="226">
        <v>7.1070114999999996E-3</v>
      </c>
      <c r="E778" s="226">
        <v>1.0592409999999997E-2</v>
      </c>
      <c r="F778" s="226">
        <v>1.2504889999999998E-2</v>
      </c>
      <c r="G778" s="226">
        <v>1.2946039999999999E-2</v>
      </c>
      <c r="H778" s="226">
        <v>1.9199619999999997E-2</v>
      </c>
      <c r="I778" s="226">
        <v>2.7325084999999995E-2</v>
      </c>
      <c r="J778" s="226">
        <v>4.2943689999999993E-2</v>
      </c>
      <c r="K778" s="226">
        <v>8.6452199999999993E-2</v>
      </c>
    </row>
    <row r="779" spans="1:11" x14ac:dyDescent="0.25">
      <c r="A779" s="224">
        <v>1.026E-6</v>
      </c>
      <c r="B779" s="225">
        <f t="shared" si="12"/>
        <v>1.9361040715789474E-19</v>
      </c>
      <c r="C779" s="226">
        <v>5.9032062478134098E-3</v>
      </c>
      <c r="D779" s="226">
        <v>6.8911269999999986E-3</v>
      </c>
      <c r="E779" s="226">
        <v>1.0556179999999997E-2</v>
      </c>
      <c r="F779" s="226">
        <v>1.2548639999999998E-2</v>
      </c>
      <c r="G779" s="226">
        <v>1.3078099999999999E-2</v>
      </c>
      <c r="H779" s="226">
        <v>1.9726869999999997E-2</v>
      </c>
      <c r="I779" s="226">
        <v>2.7818279999999994E-2</v>
      </c>
      <c r="J779" s="226">
        <v>4.3467789999999992E-2</v>
      </c>
      <c r="K779" s="226">
        <v>8.2976049999999996E-2</v>
      </c>
    </row>
    <row r="780" spans="1:11" x14ac:dyDescent="0.25">
      <c r="A780" s="224">
        <v>1.0270000000000001E-6</v>
      </c>
      <c r="B780" s="225">
        <f t="shared" si="12"/>
        <v>1.9342188680038946E-19</v>
      </c>
      <c r="C780" s="226">
        <v>5.8845729378036908E-3</v>
      </c>
      <c r="D780" s="226">
        <v>7.1281979999999988E-3</v>
      </c>
      <c r="E780" s="226">
        <v>1.0493729999999996E-2</v>
      </c>
      <c r="F780" s="226">
        <v>1.2503614999999999E-2</v>
      </c>
      <c r="G780" s="226">
        <v>1.3438449999999998E-2</v>
      </c>
      <c r="H780" s="226">
        <v>1.9646509999999999E-2</v>
      </c>
      <c r="I780" s="226">
        <v>2.7532194999999995E-2</v>
      </c>
      <c r="J780" s="226">
        <v>4.3883454999999995E-2</v>
      </c>
      <c r="K780" s="226">
        <v>8.5523529999999987E-2</v>
      </c>
    </row>
    <row r="781" spans="1:11" x14ac:dyDescent="0.25">
      <c r="A781" s="224">
        <v>1.0279999999999999E-6</v>
      </c>
      <c r="B781" s="225">
        <f t="shared" si="12"/>
        <v>1.9323373321400779E-19</v>
      </c>
      <c r="C781" s="226">
        <v>5.8651972300970863E-3</v>
      </c>
      <c r="D781" s="226">
        <v>7.3652689999999989E-3</v>
      </c>
      <c r="E781" s="226">
        <v>1.0431279999999998E-2</v>
      </c>
      <c r="F781" s="226">
        <v>1.2458589999999999E-2</v>
      </c>
      <c r="G781" s="226">
        <v>1.3798799999999996E-2</v>
      </c>
      <c r="H781" s="226">
        <v>1.9566149999999997E-2</v>
      </c>
      <c r="I781" s="226">
        <v>2.7246109999999997E-2</v>
      </c>
      <c r="J781" s="226">
        <v>4.4299119999999997E-2</v>
      </c>
      <c r="K781" s="226">
        <v>8.8071009999999977E-2</v>
      </c>
    </row>
    <row r="782" spans="1:11" x14ac:dyDescent="0.25">
      <c r="A782" s="224">
        <v>1.029E-6</v>
      </c>
      <c r="B782" s="225">
        <f t="shared" si="12"/>
        <v>1.9304594532944606E-19</v>
      </c>
      <c r="C782" s="226">
        <v>5.8453698430232541E-3</v>
      </c>
      <c r="D782" s="226">
        <v>7.3488309999999984E-3</v>
      </c>
      <c r="E782" s="226">
        <v>1.0540885E-2</v>
      </c>
      <c r="F782" s="226">
        <v>1.2325524999999999E-2</v>
      </c>
      <c r="G782" s="226">
        <v>1.3663104999999997E-2</v>
      </c>
      <c r="H782" s="226">
        <v>1.9962089999999998E-2</v>
      </c>
      <c r="I782" s="226">
        <v>2.7970734999999997E-2</v>
      </c>
      <c r="J782" s="226">
        <v>4.3879839999999996E-2</v>
      </c>
      <c r="K782" s="226">
        <v>8.7542939999999986E-2</v>
      </c>
    </row>
    <row r="783" spans="1:11" x14ac:dyDescent="0.25">
      <c r="A783" s="224">
        <v>1.0300000000000001E-6</v>
      </c>
      <c r="B783" s="225">
        <f t="shared" si="12"/>
        <v>1.9285852208155337E-19</v>
      </c>
      <c r="C783" s="226">
        <v>5.8262051143410836E-3</v>
      </c>
      <c r="D783" s="226">
        <v>7.3323929999999987E-3</v>
      </c>
      <c r="E783" s="226">
        <v>1.065049E-2</v>
      </c>
      <c r="F783" s="226">
        <v>1.2192459999999999E-2</v>
      </c>
      <c r="G783" s="226">
        <v>1.3527409999999997E-2</v>
      </c>
      <c r="H783" s="226">
        <v>2.0358029999999999E-2</v>
      </c>
      <c r="I783" s="226">
        <v>2.869536E-2</v>
      </c>
      <c r="J783" s="226">
        <v>4.3460559999999995E-2</v>
      </c>
      <c r="K783" s="226">
        <v>8.701486999999998E-2</v>
      </c>
    </row>
    <row r="784" spans="1:11" x14ac:dyDescent="0.25">
      <c r="A784" s="224">
        <v>1.031E-6</v>
      </c>
      <c r="B784" s="225">
        <f t="shared" si="12"/>
        <v>1.9267146240931136E-19</v>
      </c>
      <c r="C784" s="226">
        <v>5.8068716866537719E-3</v>
      </c>
      <c r="D784" s="226">
        <v>7.176598499999999E-3</v>
      </c>
      <c r="E784" s="226">
        <v>1.0665784999999999E-2</v>
      </c>
      <c r="F784" s="226">
        <v>1.2194645E-2</v>
      </c>
      <c r="G784" s="226">
        <v>1.3165054999999997E-2</v>
      </c>
      <c r="H784" s="226">
        <v>2.0203894999999996E-2</v>
      </c>
      <c r="I784" s="226">
        <v>2.8676349999999996E-2</v>
      </c>
      <c r="J784" s="226">
        <v>4.3075619999999995E-2</v>
      </c>
      <c r="K784" s="226">
        <v>8.7661299999999984E-2</v>
      </c>
    </row>
    <row r="785" spans="1:11" x14ac:dyDescent="0.25">
      <c r="A785" s="224">
        <v>1.032E-6</v>
      </c>
      <c r="B785" s="225">
        <f t="shared" si="12"/>
        <v>1.9248476525581395E-19</v>
      </c>
      <c r="C785" s="226">
        <v>5.7860326673114092E-3</v>
      </c>
      <c r="D785" s="226">
        <v>7.0208039999999994E-3</v>
      </c>
      <c r="E785" s="226">
        <v>1.0681079999999997E-2</v>
      </c>
      <c r="F785" s="226">
        <v>1.2196830000000001E-2</v>
      </c>
      <c r="G785" s="226">
        <v>1.2802699999999997E-2</v>
      </c>
      <c r="H785" s="226">
        <v>2.0049759999999993E-2</v>
      </c>
      <c r="I785" s="226">
        <v>2.8657339999999996E-2</v>
      </c>
      <c r="J785" s="226">
        <v>4.2690680000000002E-2</v>
      </c>
      <c r="K785" s="226">
        <v>8.8307729999999987E-2</v>
      </c>
    </row>
    <row r="786" spans="1:11" x14ac:dyDescent="0.25">
      <c r="A786" s="224">
        <v>1.0330000000000001E-6</v>
      </c>
      <c r="B786" s="225">
        <f t="shared" si="12"/>
        <v>1.922984295682478E-19</v>
      </c>
      <c r="C786" s="226">
        <v>5.7632872750965234E-3</v>
      </c>
      <c r="D786" s="226">
        <v>7.1703884999999995E-3</v>
      </c>
      <c r="E786" s="226">
        <v>1.0639929999999999E-2</v>
      </c>
      <c r="F786" s="226">
        <v>1.2096029999999999E-2</v>
      </c>
      <c r="G786" s="226">
        <v>1.3019894999999998E-2</v>
      </c>
      <c r="H786" s="226">
        <v>1.9725954999999993E-2</v>
      </c>
      <c r="I786" s="226">
        <v>2.8586594999999999E-2</v>
      </c>
      <c r="J786" s="226">
        <v>4.2430435000000002E-2</v>
      </c>
      <c r="K786" s="226">
        <v>8.8194830000000002E-2</v>
      </c>
    </row>
    <row r="787" spans="1:11" x14ac:dyDescent="0.25">
      <c r="A787" s="224">
        <v>1.034E-6</v>
      </c>
      <c r="B787" s="225">
        <f t="shared" si="12"/>
        <v>1.9211245429787235E-19</v>
      </c>
      <c r="C787" s="226">
        <v>5.7449806785714276E-3</v>
      </c>
      <c r="D787" s="226">
        <v>7.3199729999999996E-3</v>
      </c>
      <c r="E787" s="226">
        <v>1.0598779999999999E-2</v>
      </c>
      <c r="F787" s="226">
        <v>1.1995229999999997E-2</v>
      </c>
      <c r="G787" s="226">
        <v>1.323709E-2</v>
      </c>
      <c r="H787" s="226">
        <v>1.9402149999999993E-2</v>
      </c>
      <c r="I787" s="226">
        <v>2.8515849999999999E-2</v>
      </c>
      <c r="J787" s="226">
        <v>4.2170189999999996E-2</v>
      </c>
      <c r="K787" s="226">
        <v>8.8081930000000003E-2</v>
      </c>
    </row>
    <row r="788" spans="1:11" x14ac:dyDescent="0.25">
      <c r="A788" s="224">
        <v>1.035E-6</v>
      </c>
      <c r="B788" s="225">
        <f t="shared" si="12"/>
        <v>1.919268384E-19</v>
      </c>
      <c r="C788" s="226">
        <v>5.7289449642857143E-3</v>
      </c>
      <c r="D788" s="226">
        <v>7.3119369999999993E-3</v>
      </c>
      <c r="E788" s="226">
        <v>1.0716219999999999E-2</v>
      </c>
      <c r="F788" s="226">
        <v>1.1853779999999998E-2</v>
      </c>
      <c r="G788" s="226">
        <v>1.3391524999999998E-2</v>
      </c>
      <c r="H788" s="226">
        <v>2.0072399999999997E-2</v>
      </c>
      <c r="I788" s="226">
        <v>2.8746544999999998E-2</v>
      </c>
      <c r="J788" s="226">
        <v>4.2255129999999988E-2</v>
      </c>
      <c r="K788" s="226">
        <v>8.8997855000000001E-2</v>
      </c>
    </row>
    <row r="789" spans="1:11" x14ac:dyDescent="0.25">
      <c r="A789" s="224">
        <v>1.0360000000000001E-6</v>
      </c>
      <c r="B789" s="225">
        <f t="shared" si="12"/>
        <v>1.9174158083397681E-19</v>
      </c>
      <c r="C789" s="226">
        <v>5.7092301021194588E-3</v>
      </c>
      <c r="D789" s="226">
        <v>7.3039009999999998E-3</v>
      </c>
      <c r="E789" s="226">
        <v>1.0833659999999997E-2</v>
      </c>
      <c r="F789" s="226">
        <v>1.1712329999999996E-2</v>
      </c>
      <c r="G789" s="226">
        <v>1.3545959999999998E-2</v>
      </c>
      <c r="H789" s="226">
        <v>2.0742650000000001E-2</v>
      </c>
      <c r="I789" s="226">
        <v>2.8977239999999998E-2</v>
      </c>
      <c r="J789" s="226">
        <v>4.2340069999999987E-2</v>
      </c>
      <c r="K789" s="226">
        <v>8.9913779999999999E-2</v>
      </c>
    </row>
    <row r="790" spans="1:11" x14ac:dyDescent="0.25">
      <c r="A790" s="224">
        <v>1.037E-6</v>
      </c>
      <c r="B790" s="225">
        <f t="shared" si="12"/>
        <v>1.9155668056316298E-19</v>
      </c>
      <c r="C790" s="226">
        <v>5.6880082319538039E-3</v>
      </c>
      <c r="D790" s="226">
        <v>7.3081014999999997E-3</v>
      </c>
      <c r="E790" s="226">
        <v>1.0731149999999998E-2</v>
      </c>
      <c r="F790" s="226">
        <v>1.1736024999999997E-2</v>
      </c>
      <c r="G790" s="226">
        <v>1.3550689999999999E-2</v>
      </c>
      <c r="H790" s="226">
        <v>2.0013045E-2</v>
      </c>
      <c r="I790" s="226">
        <v>2.9412489999999999E-2</v>
      </c>
      <c r="J790" s="226">
        <v>4.295091999999999E-2</v>
      </c>
      <c r="K790" s="226">
        <v>9.021423499999999E-2</v>
      </c>
    </row>
    <row r="791" spans="1:11" x14ac:dyDescent="0.25">
      <c r="A791" s="224">
        <v>1.0380000000000001E-6</v>
      </c>
      <c r="B791" s="225">
        <f t="shared" si="12"/>
        <v>1.9137213655491328E-19</v>
      </c>
      <c r="C791" s="226">
        <v>5.670781490856593E-3</v>
      </c>
      <c r="D791" s="226">
        <v>7.3123019999999997E-3</v>
      </c>
      <c r="E791" s="226">
        <v>1.0628639999999998E-2</v>
      </c>
      <c r="F791" s="226">
        <v>1.1759719999999998E-2</v>
      </c>
      <c r="G791" s="226">
        <v>1.355542E-2</v>
      </c>
      <c r="H791" s="226">
        <v>1.9283439999999995E-2</v>
      </c>
      <c r="I791" s="226">
        <v>2.9847739999999998E-2</v>
      </c>
      <c r="J791" s="226">
        <v>4.3561769999999993E-2</v>
      </c>
      <c r="K791" s="226">
        <v>9.0514689999999981E-2</v>
      </c>
    </row>
    <row r="792" spans="1:11" x14ac:dyDescent="0.25">
      <c r="A792" s="224">
        <v>1.0390000000000001E-6</v>
      </c>
      <c r="B792" s="225">
        <f t="shared" si="12"/>
        <v>1.911879477805582E-19</v>
      </c>
      <c r="C792" s="226">
        <v>5.6534070230547543E-3</v>
      </c>
      <c r="D792" s="226">
        <v>7.279973999999999E-3</v>
      </c>
      <c r="E792" s="226">
        <v>1.0318934999999998E-2</v>
      </c>
      <c r="F792" s="226">
        <v>1.1772479999999998E-2</v>
      </c>
      <c r="G792" s="226">
        <v>1.3432634999999998E-2</v>
      </c>
      <c r="H792" s="226">
        <v>1.9661849999999998E-2</v>
      </c>
      <c r="I792" s="226">
        <v>2.9409199999999996E-2</v>
      </c>
      <c r="J792" s="226">
        <v>4.3142489999999992E-2</v>
      </c>
      <c r="K792" s="226">
        <v>8.8961434999999978E-2</v>
      </c>
    </row>
    <row r="793" spans="1:11" x14ac:dyDescent="0.25">
      <c r="A793" s="224">
        <v>1.04E-6</v>
      </c>
      <c r="B793" s="225">
        <f t="shared" si="12"/>
        <v>1.9100411321538462E-19</v>
      </c>
      <c r="C793" s="226">
        <v>5.6347026621880987E-3</v>
      </c>
      <c r="D793" s="226">
        <v>7.2476459999999982E-3</v>
      </c>
      <c r="E793" s="226">
        <v>1.0009229999999997E-2</v>
      </c>
      <c r="F793" s="226">
        <v>1.1785239999999997E-2</v>
      </c>
      <c r="G793" s="226">
        <v>1.3309849999999998E-2</v>
      </c>
      <c r="H793" s="226">
        <v>2.0040260000000001E-2</v>
      </c>
      <c r="I793" s="226">
        <v>2.8970659999999999E-2</v>
      </c>
      <c r="J793" s="226">
        <v>4.2723209999999991E-2</v>
      </c>
      <c r="K793" s="226">
        <v>8.7408179999999988E-2</v>
      </c>
    </row>
    <row r="794" spans="1:11" x14ac:dyDescent="0.25">
      <c r="A794" s="224">
        <v>1.0410000000000001E-6</v>
      </c>
      <c r="B794" s="225">
        <f t="shared" si="12"/>
        <v>1.908206318386167E-19</v>
      </c>
      <c r="C794" s="226">
        <v>5.6163229348034516E-3</v>
      </c>
      <c r="D794" s="226">
        <v>6.9839094999999988E-3</v>
      </c>
      <c r="E794" s="226">
        <v>1.0131949999999997E-2</v>
      </c>
      <c r="F794" s="226">
        <v>1.1762639999999998E-2</v>
      </c>
      <c r="G794" s="226">
        <v>1.3425904999999998E-2</v>
      </c>
      <c r="H794" s="226">
        <v>1.9848499999999998E-2</v>
      </c>
      <c r="I794" s="226">
        <v>2.9125674999999997E-2</v>
      </c>
      <c r="J794" s="226">
        <v>4.3059354999999994E-2</v>
      </c>
      <c r="K794" s="226">
        <v>8.9052474999999992E-2</v>
      </c>
    </row>
    <row r="795" spans="1:11" x14ac:dyDescent="0.25">
      <c r="A795" s="224">
        <v>1.0419999999999999E-6</v>
      </c>
      <c r="B795" s="225">
        <f t="shared" si="12"/>
        <v>1.9063750263339733E-19</v>
      </c>
      <c r="C795" s="226">
        <v>5.5981314626436761E-3</v>
      </c>
      <c r="D795" s="226">
        <v>6.7201729999999994E-3</v>
      </c>
      <c r="E795" s="226">
        <v>1.0254669999999999E-2</v>
      </c>
      <c r="F795" s="226">
        <v>1.1740039999999998E-2</v>
      </c>
      <c r="G795" s="226">
        <v>1.3541959999999997E-2</v>
      </c>
      <c r="H795" s="226">
        <v>1.9656739999999995E-2</v>
      </c>
      <c r="I795" s="226">
        <v>2.9280689999999998E-2</v>
      </c>
      <c r="J795" s="226">
        <v>4.339549999999999E-2</v>
      </c>
      <c r="K795" s="226">
        <v>9.0696769999999996E-2</v>
      </c>
    </row>
    <row r="796" spans="1:11" x14ac:dyDescent="0.25">
      <c r="A796" s="224">
        <v>1.043E-6</v>
      </c>
      <c r="B796" s="225">
        <f t="shared" si="12"/>
        <v>1.9045472458676893E-19</v>
      </c>
      <c r="C796" s="226">
        <v>5.5794241666666643E-3</v>
      </c>
      <c r="D796" s="226">
        <v>6.7897599999999989E-3</v>
      </c>
      <c r="E796" s="226">
        <v>1.0179289999999999E-2</v>
      </c>
      <c r="F796" s="226">
        <v>1.1753159999999999E-2</v>
      </c>
      <c r="G796" s="226">
        <v>1.3536684999999998E-2</v>
      </c>
      <c r="H796" s="226">
        <v>1.9802474999999993E-2</v>
      </c>
      <c r="I796" s="226">
        <v>2.8733564999999999E-2</v>
      </c>
      <c r="J796" s="226">
        <v>4.3404534999999994E-2</v>
      </c>
      <c r="K796" s="226">
        <v>9.1068244999999992E-2</v>
      </c>
    </row>
    <row r="797" spans="1:11" x14ac:dyDescent="0.25">
      <c r="A797" s="224">
        <v>1.0440000000000001E-6</v>
      </c>
      <c r="B797" s="225">
        <f t="shared" si="12"/>
        <v>1.9027229668965515E-19</v>
      </c>
      <c r="C797" s="226">
        <v>5.5575849244741873E-3</v>
      </c>
      <c r="D797" s="226">
        <v>6.8593469999999991E-3</v>
      </c>
      <c r="E797" s="226">
        <v>1.0103909999999999E-2</v>
      </c>
      <c r="F797" s="226">
        <v>1.176628E-2</v>
      </c>
      <c r="G797" s="226">
        <v>1.3531409999999999E-2</v>
      </c>
      <c r="H797" s="226">
        <v>1.9948209999999994E-2</v>
      </c>
      <c r="I797" s="226">
        <v>2.818644E-2</v>
      </c>
      <c r="J797" s="226">
        <v>4.3413569999999999E-2</v>
      </c>
      <c r="K797" s="226">
        <v>9.1439719999999988E-2</v>
      </c>
    </row>
    <row r="798" spans="1:11" x14ac:dyDescent="0.25">
      <c r="A798" s="224">
        <v>1.0449999999999999E-6</v>
      </c>
      <c r="B798" s="225">
        <f t="shared" si="12"/>
        <v>1.900902179368421E-19</v>
      </c>
      <c r="C798" s="226">
        <v>5.5291899455587393E-3</v>
      </c>
      <c r="D798" s="226">
        <v>6.8882044999999991E-3</v>
      </c>
      <c r="E798" s="226">
        <v>9.8340794999999988E-3</v>
      </c>
      <c r="F798" s="226">
        <v>1.1829349999999999E-2</v>
      </c>
      <c r="G798" s="226">
        <v>1.3228174999999998E-2</v>
      </c>
      <c r="H798" s="226">
        <v>2.0290274999999997E-2</v>
      </c>
      <c r="I798" s="226">
        <v>2.8249874999999997E-2</v>
      </c>
      <c r="J798" s="226">
        <v>4.3023209999999992E-2</v>
      </c>
      <c r="K798" s="226">
        <v>9.3810564999999985E-2</v>
      </c>
    </row>
    <row r="799" spans="1:11" x14ac:dyDescent="0.25">
      <c r="A799" s="224">
        <v>1.046E-6</v>
      </c>
      <c r="B799" s="225">
        <f t="shared" si="12"/>
        <v>1.8990848732695985E-19</v>
      </c>
      <c r="C799" s="226">
        <v>5.504529324427479E-3</v>
      </c>
      <c r="D799" s="226">
        <v>6.917061999999999E-3</v>
      </c>
      <c r="E799" s="226">
        <v>9.5642489999999986E-3</v>
      </c>
      <c r="F799" s="226">
        <v>1.1892419999999996E-2</v>
      </c>
      <c r="G799" s="226">
        <v>1.2924939999999998E-2</v>
      </c>
      <c r="H799" s="226">
        <v>2.0632339999999996E-2</v>
      </c>
      <c r="I799" s="226">
        <v>2.8313309999999994E-2</v>
      </c>
      <c r="J799" s="226">
        <v>4.2632849999999986E-2</v>
      </c>
      <c r="K799" s="226">
        <v>9.6181409999999995E-2</v>
      </c>
    </row>
    <row r="800" spans="1:11" x14ac:dyDescent="0.25">
      <c r="A800" s="224">
        <v>1.0470000000000001E-6</v>
      </c>
      <c r="B800" s="225">
        <f t="shared" si="12"/>
        <v>1.8972710386246416E-19</v>
      </c>
      <c r="C800" s="226">
        <v>5.4917269619047613E-3</v>
      </c>
      <c r="D800" s="226">
        <v>6.904824999999999E-3</v>
      </c>
      <c r="E800" s="226">
        <v>9.8358994999999984E-3</v>
      </c>
      <c r="F800" s="226">
        <v>1.1954944999999998E-2</v>
      </c>
      <c r="G800" s="226">
        <v>1.2840174999999999E-2</v>
      </c>
      <c r="H800" s="226">
        <v>2.0188919999999999E-2</v>
      </c>
      <c r="I800" s="226">
        <v>2.8315319999999991E-2</v>
      </c>
      <c r="J800" s="226">
        <v>4.2327424999999988E-2</v>
      </c>
      <c r="K800" s="226">
        <v>9.3404499999999988E-2</v>
      </c>
    </row>
    <row r="801" spans="1:11" x14ac:dyDescent="0.25">
      <c r="A801" s="224">
        <v>1.048E-6</v>
      </c>
      <c r="B801" s="225">
        <f t="shared" si="12"/>
        <v>1.8954606654961833E-19</v>
      </c>
      <c r="C801" s="226">
        <v>5.4818805885714274E-3</v>
      </c>
      <c r="D801" s="226">
        <v>6.892587999999999E-3</v>
      </c>
      <c r="E801" s="226">
        <v>1.010755E-2</v>
      </c>
      <c r="F801" s="226">
        <v>1.2017470000000001E-2</v>
      </c>
      <c r="G801" s="226">
        <v>1.275541E-2</v>
      </c>
      <c r="H801" s="226">
        <v>1.9745499999999999E-2</v>
      </c>
      <c r="I801" s="226">
        <v>2.8317329999999991E-2</v>
      </c>
      <c r="J801" s="226">
        <v>4.2021999999999997E-2</v>
      </c>
      <c r="K801" s="226">
        <v>9.062758999999998E-2</v>
      </c>
    </row>
    <row r="802" spans="1:11" x14ac:dyDescent="0.25">
      <c r="A802" s="224">
        <v>1.049E-6</v>
      </c>
      <c r="B802" s="225">
        <f t="shared" si="12"/>
        <v>1.8936537439847472E-19</v>
      </c>
      <c r="C802" s="226">
        <v>5.4655999524262592E-3</v>
      </c>
      <c r="D802" s="226">
        <v>6.9594354999999979E-3</v>
      </c>
      <c r="E802" s="226">
        <v>1.008297E-2</v>
      </c>
      <c r="F802" s="226">
        <v>1.2059574999999999E-2</v>
      </c>
      <c r="G802" s="226">
        <v>1.3356415E-2</v>
      </c>
      <c r="H802" s="226">
        <v>1.9964289999999996E-2</v>
      </c>
      <c r="I802" s="226">
        <v>2.8566304999999993E-2</v>
      </c>
      <c r="J802" s="226">
        <v>4.2490074999999995E-2</v>
      </c>
      <c r="K802" s="226">
        <v>8.8708324999999977E-2</v>
      </c>
    </row>
    <row r="803" spans="1:11" x14ac:dyDescent="0.25">
      <c r="A803" s="224">
        <v>1.0500000000000001E-6</v>
      </c>
      <c r="B803" s="225">
        <f t="shared" si="12"/>
        <v>1.8918502642285712E-19</v>
      </c>
      <c r="C803" s="226">
        <v>5.4444911463878316E-3</v>
      </c>
      <c r="D803" s="226">
        <v>7.0262829999999978E-3</v>
      </c>
      <c r="E803" s="226">
        <v>1.0058389999999999E-2</v>
      </c>
      <c r="F803" s="226">
        <v>1.2101679999999998E-2</v>
      </c>
      <c r="G803" s="226">
        <v>1.395742E-2</v>
      </c>
      <c r="H803" s="226">
        <v>2.0183079999999996E-2</v>
      </c>
      <c r="I803" s="226">
        <v>2.8815279999999992E-2</v>
      </c>
      <c r="J803" s="226">
        <v>4.2958149999999994E-2</v>
      </c>
      <c r="K803" s="226">
        <v>8.6789059999999973E-2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72"/>
  <sheetViews>
    <sheetView workbookViewId="0"/>
  </sheetViews>
  <sheetFormatPr defaultColWidth="12.5703125" defaultRowHeight="15.75" x14ac:dyDescent="0.25"/>
  <cols>
    <col min="1" max="1" width="16" style="42" customWidth="1"/>
    <col min="2" max="2" width="14.5703125" style="42" customWidth="1"/>
    <col min="3" max="7" width="12.5703125" style="42"/>
    <col min="8" max="8" width="2" style="42" customWidth="1"/>
    <col min="9" max="16384" width="12.5703125" style="42"/>
  </cols>
  <sheetData>
    <row r="1" spans="1:15" s="222" customFormat="1" ht="21" customHeight="1" x14ac:dyDescent="0.35">
      <c r="A1" s="222" t="s">
        <v>738</v>
      </c>
    </row>
    <row r="2" spans="1:15" x14ac:dyDescent="0.25">
      <c r="A2" s="41" t="s">
        <v>117</v>
      </c>
      <c r="C2" s="43" t="s">
        <v>118</v>
      </c>
      <c r="D2" s="42" t="s">
        <v>119</v>
      </c>
      <c r="E2" s="44">
        <v>42270</v>
      </c>
    </row>
    <row r="3" spans="1:15" x14ac:dyDescent="0.25">
      <c r="A3" s="41"/>
      <c r="D3" s="42" t="s">
        <v>120</v>
      </c>
      <c r="E3" s="44" t="s">
        <v>121</v>
      </c>
      <c r="K3" s="42">
        <v>0.59</v>
      </c>
      <c r="L3" s="42" t="s">
        <v>122</v>
      </c>
      <c r="M3" s="44">
        <v>42116</v>
      </c>
    </row>
    <row r="4" spans="1:15" x14ac:dyDescent="0.25">
      <c r="A4" s="45" t="s">
        <v>123</v>
      </c>
      <c r="B4" s="42" t="s">
        <v>78</v>
      </c>
      <c r="C4" s="42" t="s">
        <v>124</v>
      </c>
      <c r="D4" s="42" t="s">
        <v>79</v>
      </c>
      <c r="E4" s="42" t="s">
        <v>125</v>
      </c>
    </row>
    <row r="5" spans="1:15" x14ac:dyDescent="0.25">
      <c r="A5" s="46" t="s">
        <v>126</v>
      </c>
      <c r="B5" s="47" t="s">
        <v>127</v>
      </c>
      <c r="C5" s="47" t="s">
        <v>128</v>
      </c>
      <c r="D5" s="47" t="s">
        <v>129</v>
      </c>
      <c r="E5" s="47" t="s">
        <v>130</v>
      </c>
      <c r="F5" s="48" t="s">
        <v>131</v>
      </c>
      <c r="G5" s="42" t="s">
        <v>132</v>
      </c>
      <c r="I5" s="43" t="s">
        <v>133</v>
      </c>
      <c r="J5" s="43">
        <v>2.3620000000000001</v>
      </c>
      <c r="K5" s="43" t="s">
        <v>32</v>
      </c>
    </row>
    <row r="6" spans="1:15" x14ac:dyDescent="0.25">
      <c r="A6" s="47" t="s">
        <v>134</v>
      </c>
      <c r="B6" s="49">
        <v>0.97</v>
      </c>
      <c r="C6" s="49">
        <v>0.98</v>
      </c>
      <c r="D6" s="49">
        <v>0.91</v>
      </c>
      <c r="I6" s="50"/>
      <c r="J6" s="51"/>
      <c r="K6" s="51"/>
      <c r="L6" s="51"/>
      <c r="M6" s="51"/>
      <c r="N6" s="52" t="s">
        <v>135</v>
      </c>
    </row>
    <row r="7" spans="1:15" x14ac:dyDescent="0.25">
      <c r="A7" s="47" t="s">
        <v>136</v>
      </c>
      <c r="E7" s="53">
        <v>0.99</v>
      </c>
      <c r="F7" s="54">
        <v>0.9</v>
      </c>
      <c r="G7" s="55">
        <v>0.48499999999999999</v>
      </c>
      <c r="I7" s="50"/>
      <c r="J7" s="51"/>
      <c r="K7" s="51"/>
      <c r="L7" s="51"/>
      <c r="M7" s="51"/>
      <c r="N7" s="56" t="s">
        <v>135</v>
      </c>
      <c r="O7" s="42" t="s">
        <v>137</v>
      </c>
    </row>
    <row r="8" spans="1:15" x14ac:dyDescent="0.25">
      <c r="A8" s="45"/>
      <c r="I8" s="50"/>
      <c r="J8" s="51"/>
      <c r="K8" s="51"/>
      <c r="L8" s="51"/>
      <c r="M8" s="51"/>
      <c r="N8" s="42" t="s">
        <v>138</v>
      </c>
    </row>
    <row r="9" spans="1:15" x14ac:dyDescent="0.25">
      <c r="B9" s="655" t="s">
        <v>139</v>
      </c>
      <c r="C9" s="655"/>
      <c r="D9" s="655"/>
      <c r="E9" s="655"/>
      <c r="F9" s="655"/>
      <c r="G9" s="655"/>
      <c r="I9" s="655" t="s">
        <v>140</v>
      </c>
      <c r="J9" s="655"/>
      <c r="K9" s="655"/>
      <c r="L9" s="655"/>
      <c r="M9" s="655"/>
      <c r="N9" s="655"/>
    </row>
    <row r="10" spans="1:15" x14ac:dyDescent="0.25">
      <c r="A10" s="57"/>
      <c r="B10" s="656" t="s">
        <v>141</v>
      </c>
      <c r="C10" s="657"/>
      <c r="D10" s="656" t="s">
        <v>142</v>
      </c>
      <c r="E10" s="657"/>
      <c r="F10" s="656" t="s">
        <v>143</v>
      </c>
      <c r="G10" s="657"/>
      <c r="I10" s="656" t="s">
        <v>141</v>
      </c>
      <c r="J10" s="657"/>
      <c r="K10" s="656" t="s">
        <v>144</v>
      </c>
      <c r="L10" s="657"/>
      <c r="M10" s="656" t="s">
        <v>143</v>
      </c>
      <c r="N10" s="657"/>
    </row>
    <row r="11" spans="1:15" x14ac:dyDescent="0.25">
      <c r="A11" s="58" t="s">
        <v>145</v>
      </c>
      <c r="B11" s="59" t="s">
        <v>146</v>
      </c>
      <c r="C11" s="60" t="s">
        <v>147</v>
      </c>
      <c r="D11" s="59" t="s">
        <v>146</v>
      </c>
      <c r="E11" s="60" t="s">
        <v>147</v>
      </c>
      <c r="F11" s="59" t="s">
        <v>146</v>
      </c>
      <c r="G11" s="60" t="s">
        <v>147</v>
      </c>
      <c r="I11" s="59" t="s">
        <v>146</v>
      </c>
      <c r="J11" s="60" t="s">
        <v>147</v>
      </c>
      <c r="K11" s="59" t="s">
        <v>146</v>
      </c>
      <c r="L11" s="60" t="s">
        <v>147</v>
      </c>
      <c r="M11" s="59" t="s">
        <v>146</v>
      </c>
      <c r="N11" s="60" t="s">
        <v>147</v>
      </c>
    </row>
    <row r="12" spans="1:15" x14ac:dyDescent="0.25">
      <c r="A12" s="61" t="s">
        <v>148</v>
      </c>
      <c r="B12" s="62">
        <v>1</v>
      </c>
      <c r="C12" s="63">
        <v>0.83699999999999997</v>
      </c>
      <c r="D12" s="62"/>
      <c r="E12" s="63"/>
      <c r="F12" s="62">
        <v>1</v>
      </c>
      <c r="G12" s="63">
        <v>0.83699999999999997</v>
      </c>
      <c r="I12" s="62">
        <v>1</v>
      </c>
      <c r="J12" s="63">
        <v>0.83699999999999997</v>
      </c>
      <c r="K12" s="62">
        <v>1</v>
      </c>
      <c r="L12" s="63">
        <v>0.83699999999999997</v>
      </c>
      <c r="M12" s="62">
        <v>1</v>
      </c>
      <c r="N12" s="63">
        <v>0.83699999999999997</v>
      </c>
    </row>
    <row r="13" spans="1:15" x14ac:dyDescent="0.25">
      <c r="A13" s="64" t="s">
        <v>149</v>
      </c>
      <c r="B13" s="62">
        <f>HRC</f>
        <v>0.97</v>
      </c>
      <c r="C13" s="63"/>
      <c r="D13" s="62"/>
      <c r="E13" s="63"/>
      <c r="F13" s="62">
        <f>HRC</f>
        <v>0.97</v>
      </c>
      <c r="G13" s="63"/>
      <c r="I13" s="62">
        <f>HRC</f>
        <v>0.97</v>
      </c>
      <c r="J13" s="63"/>
      <c r="K13" s="62">
        <f>HRC</f>
        <v>0.97</v>
      </c>
      <c r="L13" s="63"/>
      <c r="M13" s="62">
        <f>HRC</f>
        <v>0.97</v>
      </c>
      <c r="N13" s="63"/>
    </row>
    <row r="14" spans="1:15" x14ac:dyDescent="0.25">
      <c r="A14" s="64" t="s">
        <v>150</v>
      </c>
      <c r="B14" s="62">
        <f>HRC</f>
        <v>0.97</v>
      </c>
      <c r="C14" s="63"/>
      <c r="D14" s="62"/>
      <c r="E14" s="63"/>
      <c r="F14" s="62">
        <f>HRC</f>
        <v>0.97</v>
      </c>
      <c r="G14" s="63"/>
      <c r="I14" s="62">
        <f>HRC</f>
        <v>0.97</v>
      </c>
      <c r="J14" s="63"/>
      <c r="K14" s="62">
        <f>HRC</f>
        <v>0.97</v>
      </c>
      <c r="L14" s="63"/>
      <c r="M14" s="62">
        <f>HRC</f>
        <v>0.97</v>
      </c>
      <c r="N14" s="63"/>
    </row>
    <row r="15" spans="1:15" x14ac:dyDescent="0.25">
      <c r="A15" s="64" t="s">
        <v>151</v>
      </c>
      <c r="B15" s="62">
        <f t="shared" ref="B15:B25" si="0">FSS99_600</f>
        <v>0.98</v>
      </c>
      <c r="C15" s="63"/>
      <c r="D15" s="62"/>
      <c r="E15" s="63"/>
      <c r="F15" s="62">
        <f t="shared" ref="F15:F25" si="1">FSS99_600</f>
        <v>0.98</v>
      </c>
      <c r="G15" s="63"/>
      <c r="I15" s="62">
        <f t="shared" ref="I15:I25" si="2">FSS99_600</f>
        <v>0.98</v>
      </c>
      <c r="J15" s="63"/>
      <c r="K15" s="62">
        <f t="shared" ref="K15:K25" si="3">FSS99_600</f>
        <v>0.98</v>
      </c>
      <c r="L15" s="63"/>
      <c r="M15" s="62">
        <f t="shared" ref="M15:M25" si="4">FSS99_600</f>
        <v>0.98</v>
      </c>
      <c r="N15" s="63"/>
    </row>
    <row r="16" spans="1:15" x14ac:dyDescent="0.25">
      <c r="A16" s="64" t="s">
        <v>152</v>
      </c>
      <c r="B16" s="62">
        <f t="shared" si="0"/>
        <v>0.98</v>
      </c>
      <c r="C16" s="63"/>
      <c r="D16" s="62"/>
      <c r="E16" s="63"/>
      <c r="F16" s="62">
        <f t="shared" si="1"/>
        <v>0.98</v>
      </c>
      <c r="G16" s="63"/>
      <c r="I16" s="62">
        <f t="shared" si="2"/>
        <v>0.98</v>
      </c>
      <c r="J16" s="63"/>
      <c r="K16" s="62">
        <f t="shared" si="3"/>
        <v>0.98</v>
      </c>
      <c r="L16" s="63"/>
      <c r="M16" s="62">
        <f t="shared" si="4"/>
        <v>0.98</v>
      </c>
      <c r="N16" s="63"/>
    </row>
    <row r="17" spans="1:14" x14ac:dyDescent="0.25">
      <c r="A17" s="64" t="s">
        <v>153</v>
      </c>
      <c r="B17" s="62">
        <f t="shared" si="0"/>
        <v>0.98</v>
      </c>
      <c r="C17" s="63"/>
      <c r="D17" s="62"/>
      <c r="E17" s="63"/>
      <c r="F17" s="62">
        <f t="shared" si="1"/>
        <v>0.98</v>
      </c>
      <c r="G17" s="63"/>
      <c r="I17" s="62">
        <f t="shared" si="2"/>
        <v>0.98</v>
      </c>
      <c r="J17" s="63"/>
      <c r="K17" s="62">
        <f t="shared" si="3"/>
        <v>0.98</v>
      </c>
      <c r="L17" s="63"/>
      <c r="M17" s="62">
        <f t="shared" si="4"/>
        <v>0.98</v>
      </c>
      <c r="N17" s="63"/>
    </row>
    <row r="18" spans="1:14" x14ac:dyDescent="0.25">
      <c r="A18" s="64" t="s">
        <v>154</v>
      </c>
      <c r="B18" s="62">
        <f t="shared" si="0"/>
        <v>0.98</v>
      </c>
      <c r="C18" s="63"/>
      <c r="D18" s="62"/>
      <c r="E18" s="63"/>
      <c r="F18" s="62">
        <f t="shared" si="1"/>
        <v>0.98</v>
      </c>
      <c r="G18" s="63"/>
      <c r="I18" s="62">
        <f t="shared" si="2"/>
        <v>0.98</v>
      </c>
      <c r="J18" s="63"/>
      <c r="K18" s="62">
        <f t="shared" si="3"/>
        <v>0.98</v>
      </c>
      <c r="L18" s="63"/>
      <c r="M18" s="62">
        <f t="shared" si="4"/>
        <v>0.98</v>
      </c>
      <c r="N18" s="63"/>
    </row>
    <row r="19" spans="1:14" x14ac:dyDescent="0.25">
      <c r="A19" s="64" t="s">
        <v>155</v>
      </c>
      <c r="B19" s="62">
        <f t="shared" si="0"/>
        <v>0.98</v>
      </c>
      <c r="C19" s="63"/>
      <c r="D19" s="62"/>
      <c r="E19" s="63"/>
      <c r="F19" s="62">
        <f t="shared" si="1"/>
        <v>0.98</v>
      </c>
      <c r="G19" s="63"/>
      <c r="I19" s="62">
        <f t="shared" si="2"/>
        <v>0.98</v>
      </c>
      <c r="J19" s="63"/>
      <c r="K19" s="62">
        <f t="shared" si="3"/>
        <v>0.98</v>
      </c>
      <c r="L19" s="63"/>
      <c r="M19" s="62">
        <f t="shared" si="4"/>
        <v>0.98</v>
      </c>
      <c r="N19" s="63"/>
    </row>
    <row r="20" spans="1:14" x14ac:dyDescent="0.25">
      <c r="A20" s="64" t="s">
        <v>156</v>
      </c>
      <c r="B20" s="62">
        <f t="shared" si="0"/>
        <v>0.98</v>
      </c>
      <c r="C20" s="63"/>
      <c r="D20" s="62"/>
      <c r="E20" s="63"/>
      <c r="F20" s="62">
        <f t="shared" si="1"/>
        <v>0.98</v>
      </c>
      <c r="G20" s="63"/>
      <c r="I20" s="62">
        <f t="shared" si="2"/>
        <v>0.98</v>
      </c>
      <c r="J20" s="63"/>
      <c r="K20" s="62">
        <f t="shared" si="3"/>
        <v>0.98</v>
      </c>
      <c r="L20" s="63"/>
      <c r="M20" s="62">
        <f t="shared" si="4"/>
        <v>0.98</v>
      </c>
      <c r="N20" s="63"/>
    </row>
    <row r="21" spans="1:14" x14ac:dyDescent="0.25">
      <c r="A21" s="64" t="s">
        <v>157</v>
      </c>
      <c r="B21" s="62">
        <f t="shared" si="0"/>
        <v>0.98</v>
      </c>
      <c r="C21" s="63"/>
      <c r="D21" s="62"/>
      <c r="E21" s="63"/>
      <c r="F21" s="62">
        <f t="shared" si="1"/>
        <v>0.98</v>
      </c>
      <c r="G21" s="63"/>
      <c r="I21" s="62">
        <f t="shared" si="2"/>
        <v>0.98</v>
      </c>
      <c r="J21" s="63"/>
      <c r="K21" s="62">
        <f t="shared" si="3"/>
        <v>0.98</v>
      </c>
      <c r="L21" s="63"/>
      <c r="M21" s="62">
        <f t="shared" si="4"/>
        <v>0.98</v>
      </c>
      <c r="N21" s="63"/>
    </row>
    <row r="22" spans="1:14" x14ac:dyDescent="0.25">
      <c r="A22" s="64" t="s">
        <v>158</v>
      </c>
      <c r="B22" s="62">
        <f t="shared" si="0"/>
        <v>0.98</v>
      </c>
      <c r="C22" s="63"/>
      <c r="D22" s="62"/>
      <c r="E22" s="63"/>
      <c r="F22" s="62">
        <f t="shared" si="1"/>
        <v>0.98</v>
      </c>
      <c r="G22" s="63"/>
      <c r="I22" s="62">
        <f t="shared" si="2"/>
        <v>0.98</v>
      </c>
      <c r="J22" s="63"/>
      <c r="K22" s="62">
        <f t="shared" si="3"/>
        <v>0.98</v>
      </c>
      <c r="L22" s="63"/>
      <c r="M22" s="62">
        <f t="shared" si="4"/>
        <v>0.98</v>
      </c>
      <c r="N22" s="63"/>
    </row>
    <row r="23" spans="1:14" x14ac:dyDescent="0.25">
      <c r="A23" s="64" t="s">
        <v>159</v>
      </c>
      <c r="B23" s="62">
        <f t="shared" si="0"/>
        <v>0.98</v>
      </c>
      <c r="C23" s="63"/>
      <c r="D23" s="62"/>
      <c r="E23" s="63"/>
      <c r="F23" s="62">
        <f t="shared" si="1"/>
        <v>0.98</v>
      </c>
      <c r="G23" s="63"/>
      <c r="I23" s="62">
        <f t="shared" si="2"/>
        <v>0.98</v>
      </c>
      <c r="J23" s="63"/>
      <c r="K23" s="62">
        <f t="shared" si="3"/>
        <v>0.98</v>
      </c>
      <c r="L23" s="63"/>
      <c r="M23" s="62">
        <f t="shared" si="4"/>
        <v>0.98</v>
      </c>
      <c r="N23" s="63"/>
    </row>
    <row r="24" spans="1:14" x14ac:dyDescent="0.25">
      <c r="A24" s="64" t="s">
        <v>160</v>
      </c>
      <c r="B24" s="62">
        <f t="shared" si="0"/>
        <v>0.98</v>
      </c>
      <c r="C24" s="63"/>
      <c r="D24" s="62"/>
      <c r="E24" s="63"/>
      <c r="F24" s="62">
        <f t="shared" si="1"/>
        <v>0.98</v>
      </c>
      <c r="G24" s="63"/>
      <c r="I24" s="62">
        <f t="shared" si="2"/>
        <v>0.98</v>
      </c>
      <c r="J24" s="63"/>
      <c r="K24" s="62">
        <f t="shared" si="3"/>
        <v>0.98</v>
      </c>
      <c r="L24" s="63"/>
      <c r="M24" s="62">
        <f t="shared" si="4"/>
        <v>0.98</v>
      </c>
      <c r="N24" s="63"/>
    </row>
    <row r="25" spans="1:14" x14ac:dyDescent="0.25">
      <c r="A25" s="64" t="s">
        <v>161</v>
      </c>
      <c r="B25" s="62">
        <f t="shared" si="0"/>
        <v>0.98</v>
      </c>
      <c r="C25" s="63"/>
      <c r="D25" s="62"/>
      <c r="E25" s="63"/>
      <c r="F25" s="62">
        <f t="shared" si="1"/>
        <v>0.98</v>
      </c>
      <c r="G25" s="63"/>
      <c r="I25" s="62">
        <f t="shared" si="2"/>
        <v>0.98</v>
      </c>
      <c r="J25" s="63"/>
      <c r="K25" s="62">
        <f t="shared" si="3"/>
        <v>0.98</v>
      </c>
      <c r="L25" s="63"/>
      <c r="M25" s="62">
        <f t="shared" si="4"/>
        <v>0.98</v>
      </c>
      <c r="N25" s="63"/>
    </row>
    <row r="26" spans="1:14" x14ac:dyDescent="0.25">
      <c r="A26" s="64" t="s">
        <v>162</v>
      </c>
      <c r="B26" s="62">
        <f>Al</f>
        <v>0.91</v>
      </c>
      <c r="C26" s="63"/>
      <c r="D26" s="62"/>
      <c r="E26" s="63"/>
      <c r="F26" s="62">
        <f>Al</f>
        <v>0.91</v>
      </c>
      <c r="G26" s="63"/>
      <c r="I26" s="62">
        <f>Al</f>
        <v>0.91</v>
      </c>
      <c r="J26" s="63"/>
      <c r="K26" s="62">
        <f>Al</f>
        <v>0.91</v>
      </c>
      <c r="L26" s="63"/>
      <c r="M26" s="62">
        <f>Al</f>
        <v>0.91</v>
      </c>
      <c r="N26" s="63"/>
    </row>
    <row r="27" spans="1:14" x14ac:dyDescent="0.25">
      <c r="A27" s="64" t="s">
        <v>163</v>
      </c>
      <c r="B27" s="62">
        <f>Al</f>
        <v>0.91</v>
      </c>
      <c r="C27" s="63"/>
      <c r="D27" s="62"/>
      <c r="E27" s="63"/>
      <c r="F27" s="62">
        <f>Al</f>
        <v>0.91</v>
      </c>
      <c r="G27" s="63"/>
      <c r="I27" s="62">
        <f>Al</f>
        <v>0.91</v>
      </c>
      <c r="J27" s="63"/>
      <c r="K27" s="62">
        <f>Al</f>
        <v>0.91</v>
      </c>
      <c r="L27" s="63"/>
      <c r="M27" s="62">
        <f>Al</f>
        <v>0.91</v>
      </c>
      <c r="N27" s="63"/>
    </row>
    <row r="28" spans="1:14" x14ac:dyDescent="0.25">
      <c r="A28" s="64" t="s">
        <v>164</v>
      </c>
      <c r="B28" s="62">
        <f>FSS99_600</f>
        <v>0.98</v>
      </c>
      <c r="C28" s="63"/>
      <c r="D28" s="62"/>
      <c r="E28" s="63"/>
      <c r="F28" s="62">
        <f>FSS99_600</f>
        <v>0.98</v>
      </c>
      <c r="G28" s="63"/>
      <c r="I28" s="62">
        <f>FSS99_600</f>
        <v>0.98</v>
      </c>
      <c r="J28" s="63"/>
      <c r="K28" s="62">
        <f>FSS99_600</f>
        <v>0.98</v>
      </c>
      <c r="L28" s="63"/>
      <c r="M28" s="62">
        <f>FSS99_600</f>
        <v>0.98</v>
      </c>
      <c r="N28" s="63"/>
    </row>
    <row r="29" spans="1:14" x14ac:dyDescent="0.25">
      <c r="A29" s="64" t="s">
        <v>165</v>
      </c>
      <c r="B29" s="62">
        <f>FSS99_600</f>
        <v>0.98</v>
      </c>
      <c r="C29" s="63"/>
      <c r="D29" s="62"/>
      <c r="E29" s="63"/>
      <c r="F29" s="62">
        <f>FSS99_600</f>
        <v>0.98</v>
      </c>
      <c r="G29" s="63"/>
      <c r="I29" s="62">
        <f>FSS99_600</f>
        <v>0.98</v>
      </c>
      <c r="J29" s="63"/>
      <c r="K29" s="62">
        <f>FSS99_600</f>
        <v>0.98</v>
      </c>
      <c r="L29" s="63"/>
      <c r="M29" s="62">
        <f>FSS99_600</f>
        <v>0.98</v>
      </c>
      <c r="N29" s="63"/>
    </row>
    <row r="30" spans="1:14" x14ac:dyDescent="0.25">
      <c r="A30" s="64" t="s">
        <v>166</v>
      </c>
      <c r="B30" s="62">
        <f>FSS99_600</f>
        <v>0.98</v>
      </c>
      <c r="C30" s="63"/>
      <c r="D30" s="62"/>
      <c r="E30" s="63"/>
      <c r="F30" s="62">
        <f>FSS99_600</f>
        <v>0.98</v>
      </c>
      <c r="G30" s="63"/>
      <c r="I30" s="62">
        <f>FSS99_600</f>
        <v>0.98</v>
      </c>
      <c r="J30" s="63"/>
      <c r="K30" s="62">
        <f>FSS99_600</f>
        <v>0.98</v>
      </c>
      <c r="L30" s="63"/>
      <c r="M30" s="62">
        <f>FSS99_600</f>
        <v>0.98</v>
      </c>
      <c r="N30" s="63"/>
    </row>
    <row r="31" spans="1:14" x14ac:dyDescent="0.25">
      <c r="A31" s="65" t="s">
        <v>167</v>
      </c>
      <c r="B31" s="62">
        <f>FSS99_600</f>
        <v>0.98</v>
      </c>
      <c r="C31" s="63">
        <v>1</v>
      </c>
      <c r="D31" s="62"/>
      <c r="E31" s="63"/>
      <c r="F31" s="62">
        <f>FSS99_600</f>
        <v>0.98</v>
      </c>
      <c r="G31" s="63">
        <v>1</v>
      </c>
      <c r="I31" s="66" t="s">
        <v>168</v>
      </c>
      <c r="J31" s="67" t="s">
        <v>168</v>
      </c>
      <c r="K31" s="66" t="s">
        <v>168</v>
      </c>
      <c r="L31" s="67" t="s">
        <v>168</v>
      </c>
      <c r="M31" s="66" t="s">
        <v>168</v>
      </c>
      <c r="N31" s="67" t="s">
        <v>168</v>
      </c>
    </row>
    <row r="32" spans="1:14" x14ac:dyDescent="0.25">
      <c r="A32" s="65" t="s">
        <v>169</v>
      </c>
      <c r="B32" s="66"/>
      <c r="C32" s="67"/>
      <c r="D32" s="66" t="s">
        <v>168</v>
      </c>
      <c r="E32" s="67"/>
      <c r="F32" s="66" t="s">
        <v>168</v>
      </c>
      <c r="G32" s="67"/>
      <c r="I32" s="62">
        <f>Al</f>
        <v>0.91</v>
      </c>
      <c r="J32" s="68">
        <v>0.27</v>
      </c>
      <c r="K32" s="62">
        <f>Al</f>
        <v>0.91</v>
      </c>
      <c r="L32" s="68">
        <v>0.27</v>
      </c>
      <c r="M32" s="62">
        <f>Al</f>
        <v>0.91</v>
      </c>
      <c r="N32" s="68">
        <v>0.27</v>
      </c>
    </row>
    <row r="33" spans="1:14" x14ac:dyDescent="0.25">
      <c r="A33" s="64" t="s">
        <v>170</v>
      </c>
      <c r="B33" s="62">
        <f>FSS99_600</f>
        <v>0.98</v>
      </c>
      <c r="C33" s="63"/>
      <c r="D33" s="62"/>
      <c r="E33" s="63"/>
      <c r="F33" s="62">
        <f>FSS99_600</f>
        <v>0.98</v>
      </c>
      <c r="G33" s="63"/>
      <c r="I33" s="62">
        <f>FSS99_600</f>
        <v>0.98</v>
      </c>
      <c r="J33" s="63"/>
      <c r="K33" s="62">
        <f>FSS99_600</f>
        <v>0.98</v>
      </c>
      <c r="L33" s="63"/>
      <c r="M33" s="62">
        <f>FSS99_600</f>
        <v>0.98</v>
      </c>
      <c r="N33" s="63"/>
    </row>
    <row r="34" spans="1:14" x14ac:dyDescent="0.25">
      <c r="A34" s="65" t="s">
        <v>171</v>
      </c>
      <c r="B34" s="62">
        <f>BBARx2</f>
        <v>0.99</v>
      </c>
      <c r="C34" s="68"/>
      <c r="D34" s="62"/>
      <c r="E34" s="68"/>
      <c r="F34" s="69">
        <v>0.6</v>
      </c>
      <c r="G34" s="68"/>
      <c r="I34" s="66" t="s">
        <v>168</v>
      </c>
      <c r="J34" s="67"/>
      <c r="K34" s="66" t="s">
        <v>168</v>
      </c>
      <c r="L34" s="67"/>
      <c r="M34" s="70" t="s">
        <v>168</v>
      </c>
      <c r="N34" s="67"/>
    </row>
    <row r="35" spans="1:14" x14ac:dyDescent="0.25">
      <c r="A35" s="65" t="s">
        <v>172</v>
      </c>
      <c r="B35" s="66" t="s">
        <v>168</v>
      </c>
      <c r="C35" s="67"/>
      <c r="D35" s="66" t="s">
        <v>168</v>
      </c>
      <c r="E35" s="67"/>
      <c r="F35" s="70" t="s">
        <v>168</v>
      </c>
      <c r="G35" s="67"/>
      <c r="I35" s="62">
        <f>BBARx2</f>
        <v>0.99</v>
      </c>
      <c r="J35" s="68">
        <v>1</v>
      </c>
      <c r="K35" s="62">
        <v>1</v>
      </c>
      <c r="L35" s="68">
        <v>1</v>
      </c>
      <c r="M35" s="62">
        <f>Al</f>
        <v>0.91</v>
      </c>
      <c r="N35" s="68">
        <v>0.5</v>
      </c>
    </row>
    <row r="36" spans="1:14" x14ac:dyDescent="0.25">
      <c r="A36" s="64" t="s">
        <v>173</v>
      </c>
      <c r="B36" s="62">
        <f>FSS99_600</f>
        <v>0.98</v>
      </c>
      <c r="C36" s="63"/>
      <c r="D36" s="62"/>
      <c r="E36" s="63"/>
      <c r="F36" s="66"/>
      <c r="G36" s="67"/>
      <c r="I36" s="62">
        <f>FSS99_600</f>
        <v>0.98</v>
      </c>
      <c r="J36" s="63"/>
      <c r="K36" s="62">
        <f>FSS99_600</f>
        <v>0.98</v>
      </c>
      <c r="L36" s="63"/>
      <c r="M36" s="66"/>
      <c r="N36" s="67"/>
    </row>
    <row r="37" spans="1:14" x14ac:dyDescent="0.25">
      <c r="A37" s="65" t="s">
        <v>174</v>
      </c>
      <c r="B37" s="62">
        <v>1</v>
      </c>
      <c r="C37" s="68">
        <v>0.41</v>
      </c>
      <c r="D37" s="62"/>
      <c r="E37" s="68"/>
      <c r="F37" s="66"/>
      <c r="G37" s="67"/>
      <c r="I37" s="66" t="s">
        <v>168</v>
      </c>
      <c r="J37" s="67"/>
      <c r="K37" s="66" t="s">
        <v>168</v>
      </c>
      <c r="L37" s="67"/>
      <c r="M37" s="66"/>
      <c r="N37" s="67"/>
    </row>
    <row r="38" spans="1:14" x14ac:dyDescent="0.25">
      <c r="A38" s="65" t="s">
        <v>175</v>
      </c>
      <c r="B38" s="66" t="s">
        <v>168</v>
      </c>
      <c r="C38" s="67"/>
      <c r="D38" s="66"/>
      <c r="E38" s="67"/>
      <c r="F38" s="66"/>
      <c r="G38" s="67"/>
      <c r="I38" s="62">
        <v>1</v>
      </c>
      <c r="J38" s="68">
        <v>0.96</v>
      </c>
      <c r="K38" s="62">
        <v>1</v>
      </c>
      <c r="L38" s="68">
        <v>0.96</v>
      </c>
      <c r="M38" s="66"/>
      <c r="N38" s="67"/>
    </row>
    <row r="39" spans="1:14" x14ac:dyDescent="0.25">
      <c r="A39" s="64" t="s">
        <v>176</v>
      </c>
      <c r="B39" s="62">
        <f>FSS99_600</f>
        <v>0.98</v>
      </c>
      <c r="C39" s="63"/>
      <c r="D39" s="62">
        <f>0.995*0.995</f>
        <v>0.99002500000000004</v>
      </c>
      <c r="E39" s="63"/>
      <c r="F39" s="66"/>
      <c r="G39" s="67"/>
      <c r="I39" s="62">
        <f>FSS99_600</f>
        <v>0.98</v>
      </c>
      <c r="J39" s="63"/>
      <c r="K39" s="62">
        <f>FSS99_600</f>
        <v>0.98</v>
      </c>
      <c r="L39" s="63"/>
      <c r="M39" s="66"/>
      <c r="N39" s="67"/>
    </row>
    <row r="40" spans="1:14" x14ac:dyDescent="0.25">
      <c r="A40" s="64" t="s">
        <v>177</v>
      </c>
      <c r="B40" s="62">
        <v>1</v>
      </c>
      <c r="C40" s="63">
        <v>1</v>
      </c>
      <c r="D40" s="62"/>
      <c r="E40" s="63"/>
      <c r="F40" s="66"/>
      <c r="G40" s="67"/>
      <c r="I40" s="62">
        <v>1</v>
      </c>
      <c r="J40" s="63">
        <v>1</v>
      </c>
      <c r="K40" s="62">
        <v>1</v>
      </c>
      <c r="L40" s="63">
        <v>1</v>
      </c>
      <c r="M40" s="66"/>
      <c r="N40" s="67"/>
    </row>
    <row r="41" spans="1:14" x14ac:dyDescent="0.25">
      <c r="A41" s="64" t="s">
        <v>178</v>
      </c>
      <c r="B41" s="62">
        <f>FSS99_600</f>
        <v>0.98</v>
      </c>
      <c r="C41" s="63"/>
      <c r="E41" s="63"/>
      <c r="F41" s="66"/>
      <c r="G41" s="67"/>
      <c r="I41" s="62">
        <f>FSS99_600</f>
        <v>0.98</v>
      </c>
      <c r="J41" s="63"/>
      <c r="K41" s="62">
        <f>FSS99_600</f>
        <v>0.98</v>
      </c>
      <c r="L41" s="63"/>
      <c r="M41" s="66"/>
      <c r="N41" s="67"/>
    </row>
    <row r="42" spans="1:14" x14ac:dyDescent="0.25">
      <c r="A42" s="64" t="s">
        <v>179</v>
      </c>
      <c r="B42" s="62">
        <f>Color_filter</f>
        <v>0.9</v>
      </c>
      <c r="C42" s="63"/>
      <c r="D42" s="62"/>
      <c r="E42" s="63"/>
      <c r="F42" s="66"/>
      <c r="G42" s="67"/>
      <c r="I42" s="62">
        <f>Color_filter</f>
        <v>0.9</v>
      </c>
      <c r="J42" s="63"/>
      <c r="K42" s="62">
        <f>Color_filter</f>
        <v>0.9</v>
      </c>
      <c r="L42" s="63"/>
      <c r="M42" s="66"/>
      <c r="N42" s="67"/>
    </row>
    <row r="43" spans="1:14" x14ac:dyDescent="0.25">
      <c r="A43" s="64" t="s">
        <v>180</v>
      </c>
      <c r="B43" s="62">
        <f>FSS99_600</f>
        <v>0.98</v>
      </c>
      <c r="C43" s="63"/>
      <c r="D43" s="62"/>
      <c r="E43" s="63"/>
      <c r="F43" s="66"/>
      <c r="G43" s="67"/>
      <c r="I43" s="62">
        <f>FSS99_600</f>
        <v>0.98</v>
      </c>
      <c r="J43" s="63"/>
      <c r="K43" s="62">
        <f>FSS99_600</f>
        <v>0.98</v>
      </c>
      <c r="L43" s="63"/>
      <c r="M43" s="66"/>
      <c r="N43" s="67"/>
    </row>
    <row r="44" spans="1:14" x14ac:dyDescent="0.25">
      <c r="A44" s="64" t="s">
        <v>132</v>
      </c>
      <c r="B44" s="71">
        <f>Polarizer*BBARx2</f>
        <v>0.48014999999999997</v>
      </c>
      <c r="C44" s="63"/>
      <c r="D44" s="66"/>
      <c r="E44" s="67"/>
      <c r="F44" s="66"/>
      <c r="G44" s="67"/>
      <c r="I44" s="71">
        <v>1</v>
      </c>
      <c r="J44" s="63"/>
      <c r="K44" s="66"/>
      <c r="L44" s="67"/>
      <c r="M44" s="66"/>
      <c r="N44" s="67"/>
    </row>
    <row r="45" spans="1:14" x14ac:dyDescent="0.25">
      <c r="A45" s="64" t="s">
        <v>181</v>
      </c>
      <c r="B45" s="62">
        <f>FSS99_600</f>
        <v>0.98</v>
      </c>
      <c r="C45" s="63"/>
      <c r="D45" s="66"/>
      <c r="E45" s="67"/>
      <c r="F45" s="66"/>
      <c r="G45" s="67"/>
      <c r="I45" s="62">
        <f>FSS99_600</f>
        <v>0.98</v>
      </c>
      <c r="J45" s="63"/>
      <c r="K45" s="66"/>
      <c r="L45" s="67"/>
      <c r="M45" s="66"/>
      <c r="N45" s="67"/>
    </row>
    <row r="46" spans="1:14" x14ac:dyDescent="0.25">
      <c r="A46" s="64" t="s">
        <v>182</v>
      </c>
      <c r="B46" s="62" t="s">
        <v>168</v>
      </c>
      <c r="C46" s="63"/>
      <c r="D46" s="66"/>
      <c r="E46" s="67"/>
      <c r="F46" s="66"/>
      <c r="G46" s="67"/>
      <c r="I46" s="62" t="s">
        <v>168</v>
      </c>
      <c r="J46" s="63"/>
      <c r="K46" s="66"/>
      <c r="L46" s="67"/>
      <c r="M46" s="66"/>
      <c r="N46" s="67"/>
    </row>
    <row r="47" spans="1:14" x14ac:dyDescent="0.25">
      <c r="A47" s="64" t="s">
        <v>183</v>
      </c>
      <c r="B47" s="66"/>
      <c r="C47" s="67"/>
      <c r="D47" s="62"/>
      <c r="E47" s="63"/>
      <c r="F47" s="66"/>
      <c r="G47" s="67"/>
      <c r="I47" s="66"/>
      <c r="J47" s="67"/>
      <c r="K47" s="62">
        <f>FSS99_600</f>
        <v>0.98</v>
      </c>
      <c r="L47" s="63"/>
      <c r="M47" s="66"/>
      <c r="N47" s="67"/>
    </row>
    <row r="48" spans="1:14" x14ac:dyDescent="0.25">
      <c r="A48" s="64" t="s">
        <v>184</v>
      </c>
      <c r="B48" s="66"/>
      <c r="C48" s="67"/>
      <c r="D48" s="62"/>
      <c r="E48" s="63"/>
      <c r="F48" s="66"/>
      <c r="G48" s="67"/>
      <c r="I48" s="66"/>
      <c r="J48" s="67"/>
      <c r="K48" s="62">
        <f>FSS99_600</f>
        <v>0.98</v>
      </c>
      <c r="L48" s="63"/>
      <c r="M48" s="66"/>
      <c r="N48" s="67"/>
    </row>
    <row r="49" spans="1:14" x14ac:dyDescent="0.25">
      <c r="A49" s="64" t="s">
        <v>185</v>
      </c>
      <c r="B49" s="66"/>
      <c r="C49" s="67"/>
      <c r="D49" s="62"/>
      <c r="E49" s="63"/>
      <c r="F49" s="66"/>
      <c r="G49" s="67"/>
      <c r="I49" s="66"/>
      <c r="J49" s="67"/>
      <c r="K49" s="62">
        <f>FSS99_600</f>
        <v>0.98</v>
      </c>
      <c r="L49" s="63"/>
      <c r="M49" s="66"/>
      <c r="N49" s="67"/>
    </row>
    <row r="50" spans="1:14" x14ac:dyDescent="0.25">
      <c r="A50" s="64" t="s">
        <v>186</v>
      </c>
      <c r="B50" s="66"/>
      <c r="C50" s="67"/>
      <c r="D50" s="62"/>
      <c r="E50" s="63"/>
      <c r="F50" s="66"/>
      <c r="G50" s="67"/>
      <c r="I50" s="66"/>
      <c r="J50" s="67"/>
      <c r="K50" s="62">
        <f>FSS99_600</f>
        <v>0.98</v>
      </c>
      <c r="L50" s="63"/>
      <c r="M50" s="66"/>
      <c r="N50" s="67"/>
    </row>
    <row r="51" spans="1:14" x14ac:dyDescent="0.25">
      <c r="A51" s="64" t="s">
        <v>187</v>
      </c>
      <c r="B51" s="66"/>
      <c r="C51" s="67"/>
      <c r="D51" s="62"/>
      <c r="E51" s="63"/>
      <c r="F51" s="66"/>
      <c r="G51" s="67"/>
      <c r="I51" s="66"/>
      <c r="J51" s="67"/>
      <c r="K51" s="62">
        <f>BBARx2</f>
        <v>0.99</v>
      </c>
      <c r="L51" s="63"/>
      <c r="M51" s="66"/>
      <c r="N51" s="67"/>
    </row>
    <row r="52" spans="1:14" x14ac:dyDescent="0.25">
      <c r="A52" s="64" t="s">
        <v>188</v>
      </c>
      <c r="B52" s="66"/>
      <c r="C52" s="67"/>
      <c r="D52" s="62"/>
      <c r="E52" s="63"/>
      <c r="F52" s="66"/>
      <c r="G52" s="67"/>
      <c r="I52" s="66"/>
      <c r="J52" s="67"/>
      <c r="K52" s="62">
        <v>1</v>
      </c>
      <c r="L52" s="63"/>
      <c r="M52" s="66"/>
      <c r="N52" s="67"/>
    </row>
    <row r="53" spans="1:14" x14ac:dyDescent="0.25">
      <c r="A53" s="64" t="s">
        <v>189</v>
      </c>
      <c r="B53" s="66"/>
      <c r="C53" s="67"/>
      <c r="D53" s="62"/>
      <c r="E53" s="63"/>
      <c r="F53" s="66"/>
      <c r="G53" s="67"/>
      <c r="I53" s="66"/>
      <c r="J53" s="67"/>
      <c r="K53" s="62">
        <f>BBARx2</f>
        <v>0.99</v>
      </c>
      <c r="L53" s="63"/>
      <c r="M53" s="66"/>
      <c r="N53" s="67"/>
    </row>
    <row r="54" spans="1:14" x14ac:dyDescent="0.25">
      <c r="A54" s="64" t="s">
        <v>190</v>
      </c>
      <c r="B54" s="66"/>
      <c r="C54" s="67"/>
      <c r="D54" s="62"/>
      <c r="E54" s="63"/>
      <c r="F54" s="66"/>
      <c r="G54" s="67"/>
      <c r="I54" s="66"/>
      <c r="J54" s="67"/>
      <c r="K54" s="62">
        <f>BBARx2</f>
        <v>0.99</v>
      </c>
      <c r="L54" s="63"/>
      <c r="M54" s="66"/>
      <c r="N54" s="67"/>
    </row>
    <row r="55" spans="1:14" x14ac:dyDescent="0.25">
      <c r="A55" s="64" t="s">
        <v>191</v>
      </c>
      <c r="B55" s="66"/>
      <c r="C55" s="67"/>
      <c r="D55" s="62"/>
      <c r="E55" s="63"/>
      <c r="F55" s="66"/>
      <c r="G55" s="67"/>
      <c r="I55" s="66"/>
      <c r="J55" s="67"/>
      <c r="K55" s="62">
        <f>BBARx2</f>
        <v>0.99</v>
      </c>
      <c r="L55" s="63"/>
      <c r="M55" s="66"/>
      <c r="N55" s="67"/>
    </row>
    <row r="56" spans="1:14" x14ac:dyDescent="0.25">
      <c r="A56" s="64" t="s">
        <v>192</v>
      </c>
      <c r="B56" s="66"/>
      <c r="C56" s="67"/>
      <c r="D56" s="62"/>
      <c r="E56" s="63"/>
      <c r="F56" s="66"/>
      <c r="G56" s="67"/>
      <c r="I56" s="66"/>
      <c r="J56" s="67"/>
      <c r="K56" s="62">
        <f>BBARx2</f>
        <v>0.99</v>
      </c>
      <c r="L56" s="63"/>
      <c r="M56" s="66"/>
      <c r="N56" s="67"/>
    </row>
    <row r="57" spans="1:14" x14ac:dyDescent="0.25">
      <c r="A57" s="64" t="s">
        <v>193</v>
      </c>
      <c r="B57" s="66"/>
      <c r="C57" s="67"/>
      <c r="D57" s="62"/>
      <c r="E57" s="63"/>
      <c r="F57" s="66"/>
      <c r="G57" s="67"/>
      <c r="I57" s="66"/>
      <c r="J57" s="67"/>
      <c r="K57" s="62">
        <f>FSS99_600</f>
        <v>0.98</v>
      </c>
      <c r="L57" s="63"/>
      <c r="M57" s="66"/>
      <c r="N57" s="67"/>
    </row>
    <row r="58" spans="1:14" x14ac:dyDescent="0.25">
      <c r="A58" s="72" t="s">
        <v>194</v>
      </c>
      <c r="B58" s="66"/>
      <c r="C58" s="67"/>
      <c r="D58" s="62"/>
      <c r="E58" s="63"/>
      <c r="F58" s="66"/>
      <c r="G58" s="67"/>
      <c r="I58" s="66"/>
      <c r="J58" s="67"/>
      <c r="K58" s="62" t="s">
        <v>168</v>
      </c>
      <c r="L58" s="63"/>
      <c r="M58" s="66"/>
      <c r="N58" s="67"/>
    </row>
    <row r="59" spans="1:14" x14ac:dyDescent="0.25">
      <c r="A59" s="64" t="s">
        <v>195</v>
      </c>
      <c r="B59" s="66"/>
      <c r="C59" s="67"/>
      <c r="D59" s="66"/>
      <c r="E59" s="67"/>
      <c r="F59" s="62">
        <f>BBARx2</f>
        <v>0.99</v>
      </c>
      <c r="G59" s="63"/>
      <c r="I59" s="66"/>
      <c r="J59" s="67"/>
      <c r="K59" s="66"/>
      <c r="L59" s="67"/>
      <c r="M59" s="62">
        <f>BBARx2</f>
        <v>0.99</v>
      </c>
      <c r="N59" s="63"/>
    </row>
    <row r="60" spans="1:14" x14ac:dyDescent="0.25">
      <c r="A60" s="64" t="s">
        <v>196</v>
      </c>
      <c r="B60" s="66"/>
      <c r="C60" s="67"/>
      <c r="D60" s="66"/>
      <c r="E60" s="67"/>
      <c r="F60" s="62">
        <f>BBARx2</f>
        <v>0.99</v>
      </c>
      <c r="G60" s="63"/>
      <c r="I60" s="66"/>
      <c r="J60" s="67"/>
      <c r="K60" s="66"/>
      <c r="L60" s="67"/>
      <c r="M60" s="62">
        <f>BBARx2</f>
        <v>0.99</v>
      </c>
      <c r="N60" s="63"/>
    </row>
    <row r="61" spans="1:14" x14ac:dyDescent="0.25">
      <c r="A61" s="64" t="s">
        <v>197</v>
      </c>
      <c r="B61" s="66"/>
      <c r="C61" s="67"/>
      <c r="D61" s="66"/>
      <c r="E61" s="67"/>
      <c r="F61" s="62">
        <f>BBARx2</f>
        <v>0.99</v>
      </c>
      <c r="G61" s="63"/>
      <c r="I61" s="66"/>
      <c r="J61" s="67"/>
      <c r="K61" s="66"/>
      <c r="L61" s="67"/>
      <c r="M61" s="62">
        <f>BBARx2</f>
        <v>0.99</v>
      </c>
      <c r="N61" s="63"/>
    </row>
    <row r="62" spans="1:14" x14ac:dyDescent="0.25">
      <c r="A62" s="64" t="s">
        <v>198</v>
      </c>
      <c r="B62" s="66"/>
      <c r="C62" s="67"/>
      <c r="D62" s="66"/>
      <c r="E62" s="67"/>
      <c r="F62" s="62" t="s">
        <v>168</v>
      </c>
      <c r="G62" s="63"/>
      <c r="I62" s="66"/>
      <c r="J62" s="67"/>
      <c r="K62" s="66"/>
      <c r="L62" s="67"/>
      <c r="M62" s="62" t="s">
        <v>168</v>
      </c>
      <c r="N62" s="63"/>
    </row>
    <row r="63" spans="1:14" x14ac:dyDescent="0.25">
      <c r="A63" s="73" t="s">
        <v>199</v>
      </c>
      <c r="B63" s="62"/>
      <c r="C63" s="63"/>
      <c r="D63" s="62"/>
      <c r="E63" s="63"/>
      <c r="F63" s="62"/>
      <c r="G63" s="63"/>
      <c r="I63" s="62"/>
      <c r="J63" s="63"/>
      <c r="K63" s="62"/>
      <c r="L63" s="63"/>
      <c r="M63" s="62"/>
      <c r="N63" s="63"/>
    </row>
    <row r="64" spans="1:14" x14ac:dyDescent="0.25">
      <c r="A64" s="74" t="s">
        <v>200</v>
      </c>
      <c r="B64" s="75">
        <f>PRODUCT(B$12:B$30)*PRODUCT(B$36:B$46)*B$31*B$33*B$34</f>
        <v>0.21808634797475954</v>
      </c>
      <c r="C64" s="76">
        <f>PRODUCT(C10:C61)</f>
        <v>0.34316999999999998</v>
      </c>
      <c r="D64" s="75"/>
      <c r="E64" s="76"/>
      <c r="F64" s="75">
        <f>PRODUCT(F$12:F$30)*PRODUCT(F$59:F$62)*F$31*F$33*F$34</f>
        <v>0.32832223721985565</v>
      </c>
      <c r="G64" s="77">
        <f>PRODUCT(G12:G35)</f>
        <v>0.83699999999999997</v>
      </c>
      <c r="I64" s="75">
        <f>PRODUCT(I$12:I$30)*PRODUCT(I$36:I$46)*I$32*I$33*I$35</f>
        <v>0.42176143224169149</v>
      </c>
      <c r="J64" s="76">
        <f>PRODUCT(J12:J63)</f>
        <v>0.21695039999999999</v>
      </c>
      <c r="K64" s="75">
        <f>PRODUCT(K$12:K$30)*PRODUCT(K$36:K$36)*PRODUCT(K$39:K$43)*PRODUCT(K$47:K$58)*K$32*K$33*K$35*K$38</f>
        <v>0.37369040296976191</v>
      </c>
      <c r="L64" s="76">
        <f>PRODUCT(L12:L63)</f>
        <v>0.21695039999999999</v>
      </c>
      <c r="M64" s="75">
        <f>PRODUCT(M$12:M$30)*PRODUCT(M$59:M$62)*M$32*M$33*M$35</f>
        <v>0.46238715075129677</v>
      </c>
      <c r="N64" s="77">
        <f>PRODUCT(N12:N35)</f>
        <v>0.112995</v>
      </c>
    </row>
    <row r="65" spans="1:14" x14ac:dyDescent="0.25">
      <c r="A65" s="78" t="s">
        <v>201</v>
      </c>
      <c r="B65" s="653">
        <f>B64*C64</f>
        <v>7.4840692034498224E-2</v>
      </c>
      <c r="C65" s="654"/>
      <c r="D65" s="653"/>
      <c r="E65" s="654"/>
      <c r="F65" s="653">
        <f>F64*G64</f>
        <v>0.27480571255301917</v>
      </c>
      <c r="G65" s="654"/>
      <c r="I65" s="653">
        <f>I64*J64</f>
        <v>9.1501311429407858E-2</v>
      </c>
      <c r="J65" s="654"/>
      <c r="K65" s="653">
        <f>K64*L64</f>
        <v>8.1072282400451029E-2</v>
      </c>
      <c r="L65" s="654"/>
      <c r="M65" s="653">
        <f>M64*N64</f>
        <v>5.2247436099142779E-2</v>
      </c>
      <c r="N65" s="654"/>
    </row>
    <row r="67" spans="1:14" x14ac:dyDescent="0.25">
      <c r="A67" s="41" t="s">
        <v>202</v>
      </c>
    </row>
    <row r="68" spans="1:14" x14ac:dyDescent="0.25">
      <c r="A68" s="74" t="s">
        <v>200</v>
      </c>
      <c r="B68" s="75">
        <f>B64-B64*0.1</f>
        <v>0.1962777131772836</v>
      </c>
      <c r="C68" s="76">
        <v>0.34316999999999998</v>
      </c>
      <c r="D68" s="75"/>
      <c r="E68" s="76"/>
      <c r="F68" s="75">
        <f>F64-F64*0.1</f>
        <v>0.29549001349787007</v>
      </c>
      <c r="G68" s="77">
        <v>0.83699999999999997</v>
      </c>
      <c r="I68" s="75">
        <f>I64-I64*0.1</f>
        <v>0.37958528901752231</v>
      </c>
      <c r="J68" s="76">
        <v>0.21695039999999999</v>
      </c>
      <c r="K68" s="75">
        <f>K64-K64*0.1</f>
        <v>0.33632136267278573</v>
      </c>
      <c r="L68" s="76">
        <v>0.21695039999999999</v>
      </c>
      <c r="M68" s="75">
        <f>M64-M64*0.1</f>
        <v>0.41614843567616711</v>
      </c>
      <c r="N68" s="77">
        <v>0.22599</v>
      </c>
    </row>
    <row r="69" spans="1:14" x14ac:dyDescent="0.25">
      <c r="A69" s="78" t="s">
        <v>201</v>
      </c>
      <c r="B69" s="653">
        <f>B68*C68</f>
        <v>6.7356622831048402E-2</v>
      </c>
      <c r="C69" s="654"/>
      <c r="D69" s="653"/>
      <c r="E69" s="654"/>
      <c r="F69" s="653">
        <f>F68*G68</f>
        <v>0.24732514129771724</v>
      </c>
      <c r="G69" s="654"/>
      <c r="I69" s="653">
        <f>I68*J68</f>
        <v>8.2351180286467068E-2</v>
      </c>
      <c r="J69" s="654"/>
      <c r="K69" s="653">
        <f>K68*L68</f>
        <v>7.2965054160405926E-2</v>
      </c>
      <c r="L69" s="654"/>
      <c r="M69" s="653">
        <f>M68*N68</f>
        <v>9.4045384978457006E-2</v>
      </c>
      <c r="N69" s="654"/>
    </row>
    <row r="71" spans="1:14" x14ac:dyDescent="0.25"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</row>
    <row r="72" spans="1:14" x14ac:dyDescent="0.25"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</row>
  </sheetData>
  <mergeCells count="20">
    <mergeCell ref="B9:G9"/>
    <mergeCell ref="I9:N9"/>
    <mergeCell ref="B10:C10"/>
    <mergeCell ref="D10:E10"/>
    <mergeCell ref="F10:G10"/>
    <mergeCell ref="I10:J10"/>
    <mergeCell ref="K10:L10"/>
    <mergeCell ref="M10:N10"/>
    <mergeCell ref="M69:N69"/>
    <mergeCell ref="B65:C65"/>
    <mergeCell ref="D65:E65"/>
    <mergeCell ref="F65:G65"/>
    <mergeCell ref="I65:J65"/>
    <mergeCell ref="K65:L65"/>
    <mergeCell ref="M65:N65"/>
    <mergeCell ref="B69:C69"/>
    <mergeCell ref="D69:E69"/>
    <mergeCell ref="F69:G69"/>
    <mergeCell ref="I69:J69"/>
    <mergeCell ref="K69:L69"/>
  </mergeCell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"/>
  <sheetViews>
    <sheetView workbookViewId="0"/>
  </sheetViews>
  <sheetFormatPr defaultColWidth="9.140625" defaultRowHeight="15.75" x14ac:dyDescent="0.25"/>
  <cols>
    <col min="1" max="1" width="9.140625" style="38"/>
    <col min="2" max="2" width="10.5703125" style="38" bestFit="1" customWidth="1"/>
    <col min="3" max="16384" width="9.140625" style="38"/>
  </cols>
  <sheetData>
    <row r="1" spans="1:2" s="221" customFormat="1" ht="21" x14ac:dyDescent="0.35">
      <c r="A1" s="221" t="s">
        <v>811</v>
      </c>
    </row>
    <row r="2" spans="1:2" x14ac:dyDescent="0.25">
      <c r="A2" s="38" t="s">
        <v>116</v>
      </c>
      <c r="B2" s="39">
        <v>42270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7"/>
  <sheetViews>
    <sheetView workbookViewId="0"/>
  </sheetViews>
  <sheetFormatPr defaultColWidth="9.140625" defaultRowHeight="15.75" x14ac:dyDescent="0.25"/>
  <cols>
    <col min="1" max="1" width="17.5703125" style="38" customWidth="1"/>
    <col min="2" max="3" width="9.140625" style="38"/>
    <col min="4" max="4" width="10.7109375" style="38" bestFit="1" customWidth="1"/>
    <col min="5" max="16384" width="9.140625" style="38"/>
  </cols>
  <sheetData>
    <row r="1" spans="1:12" s="223" customFormat="1" ht="21" x14ac:dyDescent="0.35">
      <c r="A1" s="223" t="s">
        <v>111</v>
      </c>
    </row>
    <row r="2" spans="1:12" x14ac:dyDescent="0.25">
      <c r="A2" s="38" t="s">
        <v>105</v>
      </c>
      <c r="F2" s="38" t="s">
        <v>106</v>
      </c>
      <c r="H2" s="38">
        <v>0.995</v>
      </c>
    </row>
    <row r="3" spans="1:12" x14ac:dyDescent="0.25">
      <c r="A3" s="38" t="s">
        <v>107</v>
      </c>
    </row>
    <row r="5" spans="1:12" x14ac:dyDescent="0.25">
      <c r="A5" s="38" t="s">
        <v>108</v>
      </c>
      <c r="B5" s="38">
        <v>0.45</v>
      </c>
      <c r="C5" s="38">
        <v>0.5</v>
      </c>
      <c r="D5" s="38">
        <v>0.55000000000000004</v>
      </c>
      <c r="E5" s="38">
        <v>0.6</v>
      </c>
      <c r="F5" s="38">
        <v>0.65</v>
      </c>
      <c r="G5" s="38">
        <v>0.7</v>
      </c>
      <c r="H5" s="38">
        <v>0.75</v>
      </c>
      <c r="I5" s="38">
        <v>0.8</v>
      </c>
      <c r="J5" s="38">
        <v>0.85</v>
      </c>
      <c r="K5" s="38">
        <v>0.9</v>
      </c>
      <c r="L5" s="38">
        <v>0.95</v>
      </c>
    </row>
    <row r="6" spans="1:12" x14ac:dyDescent="0.25">
      <c r="A6" s="38" t="s">
        <v>109</v>
      </c>
      <c r="B6" s="38">
        <f>B5*1000</f>
        <v>450</v>
      </c>
      <c r="C6" s="38">
        <f t="shared" ref="C6:L6" si="0">C5*1000</f>
        <v>500</v>
      </c>
      <c r="D6" s="38">
        <f t="shared" si="0"/>
        <v>550</v>
      </c>
      <c r="E6" s="38">
        <f t="shared" si="0"/>
        <v>600</v>
      </c>
      <c r="F6" s="38">
        <f t="shared" si="0"/>
        <v>650</v>
      </c>
      <c r="G6" s="38">
        <f t="shared" si="0"/>
        <v>700</v>
      </c>
      <c r="H6" s="38">
        <f t="shared" si="0"/>
        <v>750</v>
      </c>
      <c r="I6" s="38">
        <f t="shared" si="0"/>
        <v>800</v>
      </c>
      <c r="J6" s="38">
        <f t="shared" si="0"/>
        <v>850</v>
      </c>
      <c r="K6" s="38">
        <f t="shared" si="0"/>
        <v>900</v>
      </c>
      <c r="L6" s="38">
        <f t="shared" si="0"/>
        <v>950</v>
      </c>
    </row>
    <row r="8" spans="1:12" x14ac:dyDescent="0.25">
      <c r="A8" s="38" t="s">
        <v>110</v>
      </c>
    </row>
    <row r="9" spans="1:12" x14ac:dyDescent="0.25">
      <c r="A9" s="38" t="s">
        <v>111</v>
      </c>
      <c r="B9" s="40">
        <v>0.25641979166666673</v>
      </c>
      <c r="C9" s="40">
        <v>0.44702447916666666</v>
      </c>
      <c r="D9" s="40">
        <v>0.50786458333333329</v>
      </c>
      <c r="E9" s="40">
        <v>0.52921562500000008</v>
      </c>
      <c r="F9" s="40">
        <v>0.52517343750000001</v>
      </c>
      <c r="G9" s="40">
        <v>0.50288958333333345</v>
      </c>
      <c r="H9" s="40">
        <v>0.48620260416666672</v>
      </c>
      <c r="I9" s="40">
        <v>0.45614531250000001</v>
      </c>
      <c r="J9" s="40">
        <v>0.43510520833333333</v>
      </c>
      <c r="K9" s="40">
        <v>0.44018385416666672</v>
      </c>
      <c r="L9" s="40">
        <v>0.4461953125</v>
      </c>
    </row>
    <row r="10" spans="1:12" x14ac:dyDescent="0.25">
      <c r="A10" s="38" t="s">
        <v>112</v>
      </c>
      <c r="B10" s="40">
        <v>0.12760871161865237</v>
      </c>
      <c r="C10" s="40">
        <v>0.22246417672241212</v>
      </c>
      <c r="D10" s="40">
        <v>0.25274158728027341</v>
      </c>
      <c r="E10" s="40">
        <v>0.26336704992919918</v>
      </c>
      <c r="F10" s="40">
        <v>0.26135543321411137</v>
      </c>
      <c r="G10" s="40">
        <v>0.25026575132324225</v>
      </c>
      <c r="H10" s="40">
        <v>0.24196138488403321</v>
      </c>
      <c r="I10" s="40">
        <v>0.22700320931030274</v>
      </c>
      <c r="J10" s="40">
        <v>0.21653248640869138</v>
      </c>
      <c r="K10" s="40">
        <v>0.21905990228149419</v>
      </c>
      <c r="L10" s="40">
        <v>0.22205153739624023</v>
      </c>
    </row>
    <row r="12" spans="1:12" x14ac:dyDescent="0.25">
      <c r="A12" s="38" t="s">
        <v>113</v>
      </c>
    </row>
    <row r="13" spans="1:12" x14ac:dyDescent="0.25">
      <c r="A13" s="38" t="s">
        <v>111</v>
      </c>
      <c r="B13" s="40">
        <v>0.24809999999999999</v>
      </c>
      <c r="C13" s="40">
        <v>0.41959999999999997</v>
      </c>
      <c r="D13" s="40">
        <v>0.47120000000000001</v>
      </c>
      <c r="E13" s="40">
        <v>0.48749999999999999</v>
      </c>
      <c r="F13" s="40">
        <v>0.48110000000000003</v>
      </c>
      <c r="G13" s="40">
        <v>0.45290000000000002</v>
      </c>
      <c r="H13" s="40">
        <v>0.4325</v>
      </c>
      <c r="I13" s="40">
        <v>0.4007</v>
      </c>
      <c r="J13" s="40">
        <v>0.38229999999999997</v>
      </c>
      <c r="K13" s="40">
        <v>0.3972</v>
      </c>
      <c r="L13" s="40">
        <v>0.41570000000000001</v>
      </c>
    </row>
    <row r="14" spans="1:12" x14ac:dyDescent="0.25">
      <c r="A14" s="38" t="s">
        <v>114</v>
      </c>
      <c r="B14" s="40">
        <f t="shared" ref="B14:L14" si="1">B13*Polarizer*BBARx2</f>
        <v>0.11912521499999999</v>
      </c>
      <c r="C14" s="40">
        <f t="shared" si="1"/>
        <v>0.20147093999999999</v>
      </c>
      <c r="D14" s="40">
        <f t="shared" si="1"/>
        <v>0.22624667999999998</v>
      </c>
      <c r="E14" s="40">
        <f t="shared" si="1"/>
        <v>0.23407312499999999</v>
      </c>
      <c r="F14" s="40">
        <f t="shared" si="1"/>
        <v>0.23100016500000001</v>
      </c>
      <c r="G14" s="40">
        <f t="shared" si="1"/>
        <v>0.21745993499999999</v>
      </c>
      <c r="H14" s="40">
        <f t="shared" si="1"/>
        <v>0.207664875</v>
      </c>
      <c r="I14" s="40">
        <f t="shared" si="1"/>
        <v>0.19239610499999998</v>
      </c>
      <c r="J14" s="40">
        <f t="shared" si="1"/>
        <v>0.18356134499999999</v>
      </c>
      <c r="K14" s="40">
        <f t="shared" si="1"/>
        <v>0.19071557999999997</v>
      </c>
      <c r="L14" s="40">
        <f t="shared" si="1"/>
        <v>0.19959835500000001</v>
      </c>
    </row>
    <row r="16" spans="1:12" x14ac:dyDescent="0.25">
      <c r="A16" s="38" t="s">
        <v>115</v>
      </c>
    </row>
    <row r="17" spans="1:12" x14ac:dyDescent="0.25">
      <c r="A17" s="38" t="s">
        <v>111</v>
      </c>
      <c r="E17" s="40">
        <v>0.3861</v>
      </c>
      <c r="F17" s="40">
        <v>0.37759999999999999</v>
      </c>
      <c r="G17" s="40">
        <v>0.35260000000000002</v>
      </c>
      <c r="H17" s="40">
        <v>0.34210000000000002</v>
      </c>
      <c r="I17" s="40">
        <v>0.32619999999999999</v>
      </c>
      <c r="J17" s="40">
        <v>0.31879999999999997</v>
      </c>
      <c r="K17" s="40">
        <v>0.32729999999999998</v>
      </c>
      <c r="L17" s="40">
        <v>0.317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70"/>
  <sheetViews>
    <sheetView workbookViewId="0"/>
  </sheetViews>
  <sheetFormatPr defaultColWidth="9.140625" defaultRowHeight="15" x14ac:dyDescent="0.25"/>
  <cols>
    <col min="1" max="1" width="3" style="3" bestFit="1" customWidth="1"/>
    <col min="2" max="2" width="13.28515625" style="3" bestFit="1" customWidth="1"/>
    <col min="3" max="3" width="13.42578125" style="3" customWidth="1"/>
    <col min="4" max="4" width="8.28515625" style="3" customWidth="1"/>
    <col min="5" max="7" width="12" style="3" customWidth="1"/>
    <col min="8" max="8" width="8.28515625" style="3" customWidth="1"/>
    <col min="9" max="9" width="12.5703125" style="3" customWidth="1"/>
    <col min="10" max="10" width="8.140625" style="3" customWidth="1"/>
    <col min="11" max="11" width="9" style="3" customWidth="1"/>
    <col min="12" max="12" width="12" style="3" customWidth="1"/>
    <col min="13" max="13" width="7.7109375" style="3" customWidth="1"/>
    <col min="14" max="14" width="13.7109375" style="3" customWidth="1"/>
    <col min="15" max="15" width="12" style="3" customWidth="1"/>
    <col min="16" max="16" width="10.140625" style="3" customWidth="1"/>
    <col min="17" max="17" width="10.140625" style="99" bestFit="1" customWidth="1"/>
    <col min="18" max="18" width="12" style="511" bestFit="1" customWidth="1"/>
    <col min="19" max="19" width="9.140625" style="510"/>
    <col min="20" max="16384" width="9.140625" style="3"/>
  </cols>
  <sheetData>
    <row r="1" spans="1:19" x14ac:dyDescent="0.25">
      <c r="A1" s="3" t="s">
        <v>1091</v>
      </c>
      <c r="D1" s="511"/>
    </row>
    <row r="2" spans="1:19" x14ac:dyDescent="0.25">
      <c r="B2" s="3" t="s">
        <v>1090</v>
      </c>
      <c r="C2" s="3" t="s">
        <v>1089</v>
      </c>
      <c r="D2" s="3" t="s">
        <v>39</v>
      </c>
      <c r="E2" s="3" t="s">
        <v>74</v>
      </c>
      <c r="F2" s="3" t="s">
        <v>1088</v>
      </c>
      <c r="G2" s="3" t="s">
        <v>1087</v>
      </c>
      <c r="H2" s="3" t="s">
        <v>72</v>
      </c>
      <c r="I2" s="3" t="s">
        <v>1086</v>
      </c>
      <c r="J2" s="3" t="s">
        <v>1085</v>
      </c>
      <c r="K2" s="3" t="s">
        <v>1084</v>
      </c>
      <c r="L2" s="3" t="s">
        <v>76</v>
      </c>
      <c r="M2" s="3" t="s">
        <v>1083</v>
      </c>
      <c r="N2" s="3" t="s">
        <v>1082</v>
      </c>
      <c r="O2" s="3" t="s">
        <v>1081</v>
      </c>
      <c r="P2" s="3" t="s">
        <v>1080</v>
      </c>
      <c r="Q2" s="99" t="s">
        <v>1079</v>
      </c>
      <c r="R2" s="511" t="s">
        <v>1078</v>
      </c>
      <c r="S2" s="510" t="s">
        <v>1077</v>
      </c>
    </row>
    <row r="3" spans="1:19" x14ac:dyDescent="0.25">
      <c r="A3" s="3">
        <v>0</v>
      </c>
      <c r="B3" s="3" t="s">
        <v>1076</v>
      </c>
      <c r="C3" s="3">
        <v>2.7582200000000001</v>
      </c>
      <c r="D3" s="513">
        <v>1.6249360365200001E-12</v>
      </c>
      <c r="E3" s="3">
        <v>0.23113331301699999</v>
      </c>
      <c r="F3" s="3">
        <v>0.169658441459</v>
      </c>
      <c r="G3" s="3">
        <v>2.0556111999999998E-3</v>
      </c>
      <c r="H3" s="513">
        <v>6.7258631437499998E-10</v>
      </c>
      <c r="I3" s="3">
        <v>1.8034474076799999E-2</v>
      </c>
      <c r="J3" s="3">
        <v>10.3584</v>
      </c>
      <c r="K3" s="513">
        <v>8.4052080242899998E-9</v>
      </c>
      <c r="L3" s="3">
        <v>0.23113331301699999</v>
      </c>
      <c r="M3" s="3">
        <v>0.1</v>
      </c>
      <c r="N3" s="3">
        <v>1.1763448023900001</v>
      </c>
      <c r="O3" s="3">
        <v>1.93906532101</v>
      </c>
      <c r="P3" s="3">
        <v>1.75739</v>
      </c>
      <c r="Q3" s="99">
        <v>1.1499999999999999</v>
      </c>
      <c r="R3" s="512">
        <v>1.75739</v>
      </c>
      <c r="S3" s="510">
        <v>24</v>
      </c>
    </row>
    <row r="4" spans="1:19" x14ac:dyDescent="0.25">
      <c r="A4" s="3">
        <v>1</v>
      </c>
      <c r="B4" s="3" t="s">
        <v>1075</v>
      </c>
      <c r="C4" s="3">
        <v>1.51728</v>
      </c>
      <c r="D4" s="513">
        <v>4.4434876062699999E-12</v>
      </c>
      <c r="E4" s="3">
        <v>0.21664031021899999</v>
      </c>
      <c r="F4" s="3">
        <v>0.14035199682400001</v>
      </c>
      <c r="G4" s="3">
        <v>2.0454061112000002E-3</v>
      </c>
      <c r="H4" s="513">
        <v>3.9775332304599998E-9</v>
      </c>
      <c r="I4" s="3">
        <v>9.3585913705499998E-3</v>
      </c>
      <c r="J4" s="3">
        <v>14.102399999999999</v>
      </c>
      <c r="K4" s="513">
        <v>3.5511710680900001E-9</v>
      </c>
      <c r="L4" s="3">
        <v>0.21664031021899999</v>
      </c>
      <c r="M4" s="3">
        <v>0.05</v>
      </c>
      <c r="N4" s="3">
        <v>1.21788048988</v>
      </c>
      <c r="O4" s="3">
        <v>2.183915915</v>
      </c>
      <c r="P4" s="3">
        <v>1.9793000000000001</v>
      </c>
      <c r="Q4" s="99">
        <v>3.21</v>
      </c>
      <c r="R4" s="512">
        <v>1.9793000000000001</v>
      </c>
      <c r="S4" s="510">
        <v>28</v>
      </c>
    </row>
    <row r="5" spans="1:19" x14ac:dyDescent="0.25">
      <c r="A5" s="3">
        <v>2</v>
      </c>
      <c r="B5" s="3" t="s">
        <v>1074</v>
      </c>
      <c r="C5" s="3">
        <v>1.1796500000000001</v>
      </c>
      <c r="D5" s="513">
        <v>5.5136040500000002E-12</v>
      </c>
      <c r="E5" s="3">
        <v>0.13454987534999999</v>
      </c>
      <c r="F5" s="3">
        <v>0.135849</v>
      </c>
      <c r="G5" s="3">
        <v>2.0407155E-3</v>
      </c>
      <c r="H5" s="513">
        <v>6.01501935E-9</v>
      </c>
      <c r="I5" s="3">
        <v>7.9654902999999992E-3</v>
      </c>
      <c r="J5" s="3">
        <v>12.777900000000001</v>
      </c>
      <c r="K5" s="513">
        <v>1.30169832885E-8</v>
      </c>
      <c r="L5" s="3">
        <v>0.13454987534999999</v>
      </c>
      <c r="M5" s="3">
        <v>0.14000000000000001</v>
      </c>
      <c r="N5" s="3">
        <v>1.2220791666999999</v>
      </c>
      <c r="O5" s="3">
        <v>1.91531504188</v>
      </c>
      <c r="P5" s="3">
        <v>1.7358649370899999</v>
      </c>
      <c r="Q5" s="99">
        <v>5.37</v>
      </c>
      <c r="R5" s="512">
        <v>1.30958</v>
      </c>
      <c r="S5" s="510">
        <v>43</v>
      </c>
    </row>
    <row r="6" spans="1:19" x14ac:dyDescent="0.25">
      <c r="A6" s="3">
        <v>3</v>
      </c>
      <c r="B6" s="3" t="s">
        <v>1073</v>
      </c>
      <c r="C6" s="3">
        <v>7.3607300000000001E-2</v>
      </c>
      <c r="D6" s="513">
        <v>6.2331203828399999E-12</v>
      </c>
      <c r="E6" s="3">
        <v>7.9354565527299997E-2</v>
      </c>
      <c r="F6" s="3">
        <v>0.13282131102200001</v>
      </c>
      <c r="G6" s="3">
        <v>2.0375616643699998E-3</v>
      </c>
      <c r="H6" s="513">
        <v>7.3849679659100003E-9</v>
      </c>
      <c r="I6" s="3">
        <v>7.0288081478499997E-3</v>
      </c>
      <c r="J6" s="3">
        <v>8.9110700000000005</v>
      </c>
      <c r="K6" s="513">
        <v>4.4562328986000002E-9</v>
      </c>
      <c r="L6" s="3">
        <v>7.9354565527299997E-2</v>
      </c>
      <c r="M6" s="3">
        <v>0.14000000000000001</v>
      </c>
      <c r="N6" s="3">
        <v>0.48753948494499999</v>
      </c>
      <c r="O6" s="3">
        <v>1.30593603733</v>
      </c>
      <c r="P6" s="3">
        <v>1.1835800000000001</v>
      </c>
      <c r="Q6" s="99">
        <v>5.73</v>
      </c>
      <c r="R6" s="512">
        <v>1.1835800000000001</v>
      </c>
      <c r="S6" s="510">
        <v>29</v>
      </c>
    </row>
    <row r="7" spans="1:19" x14ac:dyDescent="0.25">
      <c r="A7" s="3">
        <v>4</v>
      </c>
      <c r="B7" s="3" t="s">
        <v>1072</v>
      </c>
      <c r="C7" s="3">
        <v>4.1158200000000003</v>
      </c>
      <c r="D7" s="513">
        <v>2.2102487292900001E-12</v>
      </c>
      <c r="E7" s="3">
        <v>0.23381585333499999</v>
      </c>
      <c r="F7" s="3">
        <v>0.187117910405</v>
      </c>
      <c r="G7" s="3">
        <v>2.0562465685800002E-3</v>
      </c>
      <c r="H7" s="513">
        <v>8.3248301591599995E-10</v>
      </c>
      <c r="I7" s="3">
        <v>1.9707847911300001E-2</v>
      </c>
      <c r="J7" s="3">
        <v>13.4916</v>
      </c>
      <c r="K7" s="513">
        <v>4.3741838176400003E-9</v>
      </c>
      <c r="L7" s="3">
        <v>0.23381585333499999</v>
      </c>
      <c r="M7" s="3">
        <v>0.11</v>
      </c>
      <c r="N7" s="3">
        <v>1.16231339206</v>
      </c>
      <c r="O7" s="3">
        <v>2.7854996239799998</v>
      </c>
      <c r="P7" s="3">
        <v>2.5245199999999999</v>
      </c>
      <c r="Q7" s="99">
        <v>4.0999999999999996</v>
      </c>
      <c r="R7" s="512">
        <v>2.5245199999999999</v>
      </c>
      <c r="S7" s="510">
        <v>21</v>
      </c>
    </row>
    <row r="8" spans="1:19" x14ac:dyDescent="0.25">
      <c r="A8" s="3">
        <v>5</v>
      </c>
      <c r="B8" s="3" t="s">
        <v>1071</v>
      </c>
      <c r="C8" s="3">
        <v>1.0544800000000001</v>
      </c>
      <c r="D8" s="513">
        <v>1.6114762042E-12</v>
      </c>
      <c r="E8" s="3">
        <v>0.23358927500000001</v>
      </c>
      <c r="F8" s="3">
        <v>0.43614599999999998</v>
      </c>
      <c r="G8" s="3">
        <v>8.3788498999999995E-4</v>
      </c>
      <c r="H8" s="513">
        <v>6.2382031959999996E-10</v>
      </c>
      <c r="I8" s="3">
        <v>6.2319882999999996E-3</v>
      </c>
      <c r="J8" s="3">
        <v>3.2160500000000001</v>
      </c>
      <c r="K8" s="513">
        <v>2.6008388171200001E-8</v>
      </c>
      <c r="L8" s="3">
        <v>0.23358927500000001</v>
      </c>
      <c r="M8" s="3">
        <v>0.18</v>
      </c>
      <c r="N8" s="3">
        <v>1.2310265125099999</v>
      </c>
      <c r="O8" s="3">
        <v>1.5476721742399999</v>
      </c>
      <c r="P8" s="3">
        <v>1.4026673432900001</v>
      </c>
      <c r="Q8" s="99">
        <v>3.72</v>
      </c>
      <c r="R8" s="512">
        <v>3.3755799999999998</v>
      </c>
      <c r="S8" s="510">
        <v>2</v>
      </c>
    </row>
    <row r="9" spans="1:19" x14ac:dyDescent="0.25">
      <c r="A9" s="3">
        <v>6</v>
      </c>
      <c r="B9" s="3" t="s">
        <v>1070</v>
      </c>
      <c r="C9" s="3">
        <v>2.54589</v>
      </c>
      <c r="D9" s="513">
        <v>2.9316490476300001E-12</v>
      </c>
      <c r="E9" s="3">
        <v>0.25136471921999998</v>
      </c>
      <c r="F9" s="3">
        <v>0.14943716356100001</v>
      </c>
      <c r="G9" s="3">
        <v>2.05151655766E-3</v>
      </c>
      <c r="H9" s="513">
        <v>1.9271410064099999E-9</v>
      </c>
      <c r="I9" s="3">
        <v>1.2604010529999999E-2</v>
      </c>
      <c r="J9" s="3">
        <v>14.0627</v>
      </c>
      <c r="K9" s="513">
        <v>9.6760770452200002E-9</v>
      </c>
      <c r="L9" s="3">
        <v>0.25136471921999998</v>
      </c>
      <c r="M9" s="3">
        <v>0.16</v>
      </c>
      <c r="N9" s="3">
        <v>1.1931890225399999</v>
      </c>
      <c r="O9" s="3">
        <v>2.3187376629199998</v>
      </c>
      <c r="P9" s="3">
        <v>2.1014900000000001</v>
      </c>
      <c r="Q9" s="99">
        <v>5.03</v>
      </c>
      <c r="R9" s="512">
        <v>2.1014900000000001</v>
      </c>
      <c r="S9" s="510">
        <v>27</v>
      </c>
    </row>
    <row r="10" spans="1:19" x14ac:dyDescent="0.25">
      <c r="A10" s="3">
        <v>7</v>
      </c>
      <c r="B10" s="3" t="s">
        <v>1043</v>
      </c>
      <c r="C10" s="3">
        <v>0.925037</v>
      </c>
      <c r="D10" s="513">
        <v>5.5136040500000002E-12</v>
      </c>
      <c r="E10" s="3">
        <v>0.13454987534999999</v>
      </c>
      <c r="F10" s="3">
        <v>0.135849</v>
      </c>
      <c r="G10" s="3">
        <v>2.0407155E-3</v>
      </c>
      <c r="H10" s="513">
        <v>6.01501935E-9</v>
      </c>
      <c r="I10" s="3">
        <v>7.9654902999999992E-3</v>
      </c>
      <c r="J10" s="3">
        <v>17.433800000000002</v>
      </c>
      <c r="K10" s="513">
        <v>1.15927666274E-8</v>
      </c>
      <c r="L10" s="3">
        <v>0.13454987534999999</v>
      </c>
      <c r="M10" s="3">
        <v>0.22</v>
      </c>
      <c r="N10" s="3">
        <v>1.25522900303</v>
      </c>
      <c r="O10" s="3">
        <v>2.6132008684699999</v>
      </c>
      <c r="P10" s="3">
        <v>2.3683642961800002</v>
      </c>
      <c r="Q10" s="99">
        <v>5.52</v>
      </c>
      <c r="R10" s="512">
        <v>2.0217499999999999</v>
      </c>
      <c r="S10" s="510">
        <v>36</v>
      </c>
    </row>
    <row r="11" spans="1:19" x14ac:dyDescent="0.25">
      <c r="A11" s="3">
        <v>8</v>
      </c>
      <c r="B11" s="3" t="s">
        <v>1069</v>
      </c>
      <c r="C11" s="3">
        <v>0.54577399999999998</v>
      </c>
      <c r="D11" s="513">
        <v>1.8422604191999999E-12</v>
      </c>
      <c r="E11" s="3">
        <v>0.232427071263</v>
      </c>
      <c r="F11" s="3">
        <v>0.25400314306799998</v>
      </c>
      <c r="G11" s="3">
        <v>2.0538430730500002E-3</v>
      </c>
      <c r="H11" s="513">
        <v>5.9825343540000001E-10</v>
      </c>
      <c r="I11" s="3">
        <v>2.2840177774099999E-2</v>
      </c>
      <c r="J11" s="3">
        <v>14.0627</v>
      </c>
      <c r="K11" s="513">
        <v>6.6807978024399996E-9</v>
      </c>
      <c r="L11" s="3">
        <v>0.232427071263</v>
      </c>
      <c r="M11" s="3">
        <v>0.28000000000000003</v>
      </c>
      <c r="N11" s="3">
        <v>1.27389961048</v>
      </c>
      <c r="O11" s="3">
        <v>3.9412328252000002</v>
      </c>
      <c r="P11" s="3">
        <v>3.5719699999999999</v>
      </c>
      <c r="Q11" s="99">
        <v>5.03</v>
      </c>
      <c r="R11" s="512">
        <v>3.5719699999999999</v>
      </c>
      <c r="S11" s="510">
        <v>14</v>
      </c>
    </row>
    <row r="12" spans="1:19" x14ac:dyDescent="0.25">
      <c r="A12" s="3">
        <v>9</v>
      </c>
      <c r="B12" s="3" t="s">
        <v>1044</v>
      </c>
      <c r="C12" s="3">
        <v>10.087999999999999</v>
      </c>
      <c r="D12" s="513">
        <v>2.0538324745599999E-12</v>
      </c>
      <c r="E12" s="3">
        <v>0.23302636569999999</v>
      </c>
      <c r="F12" s="3">
        <v>0.182719628721</v>
      </c>
      <c r="G12" s="3">
        <v>2.0556111999999998E-3</v>
      </c>
      <c r="H12" s="513">
        <v>7.8570310725600005E-10</v>
      </c>
      <c r="I12" s="3">
        <v>1.9348986181200001E-2</v>
      </c>
      <c r="J12" s="3">
        <v>18.315000000000001</v>
      </c>
      <c r="K12" s="513">
        <v>1.03384343519E-9</v>
      </c>
      <c r="L12" s="3">
        <v>0.23302636569999999</v>
      </c>
      <c r="M12" s="3">
        <v>0.05</v>
      </c>
      <c r="N12" s="3">
        <v>1.11103250726</v>
      </c>
      <c r="O12" s="3">
        <v>3.6924652395900002</v>
      </c>
      <c r="P12" s="3">
        <v>3.3465099999999999</v>
      </c>
      <c r="Q12" s="99">
        <v>5.65</v>
      </c>
      <c r="R12" s="512">
        <v>3.3465099999999999</v>
      </c>
      <c r="S12" s="510">
        <v>23</v>
      </c>
    </row>
    <row r="13" spans="1:19" x14ac:dyDescent="0.25">
      <c r="A13" s="3">
        <v>11</v>
      </c>
      <c r="B13" s="3" t="s">
        <v>1045</v>
      </c>
      <c r="C13" s="3">
        <v>3.2484799999999998</v>
      </c>
      <c r="D13" s="513">
        <v>5.5136040500000002E-12</v>
      </c>
      <c r="E13" s="3">
        <v>0.13454987534999999</v>
      </c>
      <c r="F13" s="3">
        <v>0.135849</v>
      </c>
      <c r="G13" s="3">
        <v>2.0407155E-3</v>
      </c>
      <c r="H13" s="513">
        <v>6.01501935E-9</v>
      </c>
      <c r="I13" s="3">
        <v>7.9654902999999992E-3</v>
      </c>
      <c r="J13" s="3">
        <v>16.5016</v>
      </c>
      <c r="K13" s="513">
        <v>1.0175449569E-8</v>
      </c>
      <c r="L13" s="3">
        <v>0.13454987534999999</v>
      </c>
      <c r="M13" s="3">
        <v>0.2</v>
      </c>
      <c r="N13" s="3">
        <v>1.1674453524099999</v>
      </c>
      <c r="O13" s="3">
        <v>2.47347081251</v>
      </c>
      <c r="P13" s="3">
        <v>2.2417258583800002</v>
      </c>
      <c r="Q13" s="99">
        <v>7.48</v>
      </c>
      <c r="R13" s="512">
        <v>1.74533</v>
      </c>
      <c r="S13" s="510">
        <v>40</v>
      </c>
    </row>
    <row r="14" spans="1:19" x14ac:dyDescent="0.25">
      <c r="A14" s="3">
        <v>12</v>
      </c>
      <c r="B14" s="3" t="s">
        <v>1046</v>
      </c>
      <c r="C14" s="3">
        <v>1.53512</v>
      </c>
      <c r="D14" s="513">
        <v>1.76999662904E-12</v>
      </c>
      <c r="E14" s="3">
        <v>0.231984575473</v>
      </c>
      <c r="F14" s="3">
        <v>0.250528127938</v>
      </c>
      <c r="G14" s="3">
        <v>2.05203319768E-3</v>
      </c>
      <c r="H14" s="513">
        <v>5.7461108247900001E-10</v>
      </c>
      <c r="I14" s="3">
        <v>2.2829765365200001E-2</v>
      </c>
      <c r="J14" s="3">
        <v>15.857900000000001</v>
      </c>
      <c r="K14" s="513">
        <v>4.9230654760599999E-9</v>
      </c>
      <c r="L14" s="3">
        <v>0.231984575473</v>
      </c>
      <c r="M14" s="3">
        <v>0.28000000000000003</v>
      </c>
      <c r="N14" s="3">
        <v>1.2162790105800001</v>
      </c>
      <c r="O14" s="3">
        <v>4.3835549653500001</v>
      </c>
      <c r="P14" s="3">
        <v>3.9728500000000002</v>
      </c>
      <c r="Q14" s="99">
        <v>5.73</v>
      </c>
      <c r="R14" s="512">
        <v>3.9728500000000002</v>
      </c>
      <c r="S14" s="510">
        <v>15</v>
      </c>
    </row>
    <row r="15" spans="1:19" x14ac:dyDescent="0.25">
      <c r="A15" s="3">
        <v>13</v>
      </c>
      <c r="B15" s="3" t="s">
        <v>1047</v>
      </c>
      <c r="C15" s="3">
        <v>1.88907</v>
      </c>
      <c r="D15" s="513">
        <v>2.4342727642400001E-12</v>
      </c>
      <c r="E15" s="3">
        <v>0.234423919614</v>
      </c>
      <c r="F15" s="3">
        <v>0.344306335465</v>
      </c>
      <c r="G15" s="3">
        <v>2.0335564926799998E-3</v>
      </c>
      <c r="H15" s="513">
        <v>7.9830345520299995E-10</v>
      </c>
      <c r="I15" s="3">
        <v>2.2446112438100001E-2</v>
      </c>
      <c r="J15" s="3">
        <v>15.511100000000001</v>
      </c>
      <c r="K15" s="513">
        <v>2.7135752102599998E-9</v>
      </c>
      <c r="L15" s="3">
        <v>0.234423919614</v>
      </c>
      <c r="M15" s="3">
        <v>0.28000000000000003</v>
      </c>
      <c r="N15" s="3">
        <v>1.2138688913</v>
      </c>
      <c r="O15" s="3">
        <v>5.8926670126699996</v>
      </c>
      <c r="P15" s="3">
        <v>5.3405699999999996</v>
      </c>
      <c r="Q15" s="99">
        <v>5.12</v>
      </c>
      <c r="R15" s="512">
        <v>5.3405699999999996</v>
      </c>
      <c r="S15" s="510">
        <v>9</v>
      </c>
    </row>
    <row r="16" spans="1:19" x14ac:dyDescent="0.25">
      <c r="A16" s="3">
        <v>15</v>
      </c>
      <c r="B16" s="3" t="s">
        <v>1048</v>
      </c>
      <c r="C16" s="3">
        <v>1.79148</v>
      </c>
      <c r="D16" s="513">
        <v>5.5136040500000002E-12</v>
      </c>
      <c r="E16" s="3">
        <v>0.13454987534999999</v>
      </c>
      <c r="F16" s="3">
        <v>0.135849</v>
      </c>
      <c r="G16" s="3">
        <v>2.0407155E-3</v>
      </c>
      <c r="H16" s="513">
        <v>6.01501935E-9</v>
      </c>
      <c r="I16" s="3">
        <v>7.9654902999999992E-3</v>
      </c>
      <c r="J16" s="3">
        <v>32.362499999999997</v>
      </c>
      <c r="K16" s="513">
        <v>4.1097356064799999E-9</v>
      </c>
      <c r="L16" s="3">
        <v>0.13454987534999999</v>
      </c>
      <c r="M16" s="3">
        <v>0.28999999999999998</v>
      </c>
      <c r="N16" s="3">
        <v>1.2083665810399999</v>
      </c>
      <c r="O16" s="3">
        <v>4.8509053164399996</v>
      </c>
      <c r="P16" s="3">
        <v>4.3964132624700003</v>
      </c>
      <c r="Q16" s="99">
        <v>7.02</v>
      </c>
      <c r="R16" s="512">
        <v>3.2660900000000002</v>
      </c>
      <c r="S16" s="510">
        <v>44</v>
      </c>
    </row>
    <row r="17" spans="1:19" x14ac:dyDescent="0.25">
      <c r="A17" s="3">
        <v>16</v>
      </c>
      <c r="B17" s="3" t="s">
        <v>1049</v>
      </c>
      <c r="C17" s="3">
        <v>3.5445099999999998</v>
      </c>
      <c r="D17" s="513">
        <v>1.6114762042E-12</v>
      </c>
      <c r="E17" s="3">
        <v>0.23358927500000001</v>
      </c>
      <c r="F17" s="3">
        <v>0.43614599999999998</v>
      </c>
      <c r="G17" s="3">
        <v>8.3788498999999995E-4</v>
      </c>
      <c r="H17" s="513">
        <v>6.2382031959999996E-10</v>
      </c>
      <c r="I17" s="3">
        <v>6.2319882999999996E-3</v>
      </c>
      <c r="J17" s="3">
        <v>12.341100000000001</v>
      </c>
      <c r="K17" s="513">
        <v>2.5100797153500001E-9</v>
      </c>
      <c r="L17" s="3">
        <v>0.23358927500000001</v>
      </c>
      <c r="M17" s="3">
        <v>0.28000000000000003</v>
      </c>
      <c r="N17" s="3">
        <v>1.1766377032199999</v>
      </c>
      <c r="O17" s="3">
        <v>5.9389552617300003</v>
      </c>
      <c r="P17" s="3">
        <v>5.3825214005699999</v>
      </c>
      <c r="Q17" s="99">
        <v>5.96</v>
      </c>
      <c r="R17" s="512">
        <v>5.4746699999999997</v>
      </c>
      <c r="S17" s="510">
        <v>5</v>
      </c>
    </row>
    <row r="18" spans="1:19" x14ac:dyDescent="0.25">
      <c r="A18" s="3">
        <v>17</v>
      </c>
      <c r="B18" s="3" t="s">
        <v>1050</v>
      </c>
      <c r="C18" s="3">
        <v>1.90944</v>
      </c>
      <c r="D18" s="513">
        <v>5.5136040500000002E-12</v>
      </c>
      <c r="E18" s="3">
        <v>0.13454987534999999</v>
      </c>
      <c r="F18" s="3">
        <v>0.135849</v>
      </c>
      <c r="G18" s="3">
        <v>2.0407155E-3</v>
      </c>
      <c r="H18" s="513">
        <v>6.01501935E-9</v>
      </c>
      <c r="I18" s="3">
        <v>7.9654902999999992E-3</v>
      </c>
      <c r="J18" s="3">
        <v>28.066199999999998</v>
      </c>
      <c r="K18" s="513">
        <v>5.0075992658699999E-9</v>
      </c>
      <c r="L18" s="3">
        <v>0.13454987534999999</v>
      </c>
      <c r="M18" s="3">
        <v>0.27</v>
      </c>
      <c r="N18" s="3">
        <v>1.1988510193299999</v>
      </c>
      <c r="O18" s="3">
        <v>4.2069209360300004</v>
      </c>
      <c r="P18" s="3">
        <v>3.8127652037700002</v>
      </c>
      <c r="Q18" s="99">
        <v>7.17</v>
      </c>
      <c r="R18" s="512">
        <v>3.18072</v>
      </c>
      <c r="S18" s="510">
        <v>34</v>
      </c>
    </row>
    <row r="19" spans="1:19" x14ac:dyDescent="0.25">
      <c r="A19" s="3">
        <v>18</v>
      </c>
      <c r="B19" s="3" t="s">
        <v>1051</v>
      </c>
      <c r="C19" s="3">
        <v>2.6154600000000001</v>
      </c>
      <c r="D19" s="513">
        <v>2.1411372241300002E-12</v>
      </c>
      <c r="E19" s="3">
        <v>0.23414954120699999</v>
      </c>
      <c r="F19" s="3">
        <v>0.26862768797100001</v>
      </c>
      <c r="G19" s="3">
        <v>2.0556111999999998E-3</v>
      </c>
      <c r="H19" s="513">
        <v>6.9472723725800003E-10</v>
      </c>
      <c r="I19" s="3">
        <v>2.2874359544100002E-2</v>
      </c>
      <c r="J19" s="3">
        <v>19.856999999999999</v>
      </c>
      <c r="K19" s="513">
        <v>2.6166083007399999E-9</v>
      </c>
      <c r="L19" s="3">
        <v>0.23414954120699999</v>
      </c>
      <c r="M19" s="3">
        <v>0.28000000000000003</v>
      </c>
      <c r="N19" s="3">
        <v>1.1905482626399999</v>
      </c>
      <c r="O19" s="3">
        <v>5.88557229265</v>
      </c>
      <c r="P19" s="3">
        <v>5.3341399999999997</v>
      </c>
      <c r="Q19" s="99">
        <v>6.17</v>
      </c>
      <c r="R19" s="512">
        <v>5.3341399999999997</v>
      </c>
      <c r="S19" s="510">
        <v>11</v>
      </c>
    </row>
    <row r="20" spans="1:19" x14ac:dyDescent="0.25">
      <c r="A20" s="3">
        <v>19</v>
      </c>
      <c r="B20" s="3" t="s">
        <v>1052</v>
      </c>
      <c r="C20" s="3">
        <v>0.956901</v>
      </c>
      <c r="D20" s="513">
        <v>1.7686409012700001E-12</v>
      </c>
      <c r="E20" s="3">
        <v>0.23156820284499999</v>
      </c>
      <c r="F20" s="3">
        <v>0.22670034539700001</v>
      </c>
      <c r="G20" s="3">
        <v>2.0588887633099999E-3</v>
      </c>
      <c r="H20" s="513">
        <v>5.8850307777099997E-10</v>
      </c>
      <c r="I20" s="3">
        <v>2.2327394184999998E-2</v>
      </c>
      <c r="J20" s="3">
        <v>18.587399999999999</v>
      </c>
      <c r="K20" s="513">
        <v>3.8727578151600004E-9</v>
      </c>
      <c r="L20" s="3">
        <v>0.23156820284499999</v>
      </c>
      <c r="M20" s="3">
        <v>0.24</v>
      </c>
      <c r="N20" s="3">
        <v>1.2358553141199999</v>
      </c>
      <c r="O20" s="3">
        <v>4.6493807735899999</v>
      </c>
      <c r="P20" s="3">
        <v>4.2137700000000002</v>
      </c>
      <c r="Q20" s="99">
        <v>6.76</v>
      </c>
      <c r="R20" s="512">
        <v>4.2137700000000002</v>
      </c>
      <c r="S20" s="510">
        <v>17</v>
      </c>
    </row>
    <row r="21" spans="1:19" x14ac:dyDescent="0.25">
      <c r="A21" s="3">
        <v>20</v>
      </c>
      <c r="B21" s="3" t="s">
        <v>1053</v>
      </c>
      <c r="C21" s="3">
        <v>1.8189</v>
      </c>
      <c r="D21" s="513">
        <v>5.5136040500000002E-12</v>
      </c>
      <c r="E21" s="3">
        <v>0.13454987534999999</v>
      </c>
      <c r="F21" s="3">
        <v>0.135849</v>
      </c>
      <c r="G21" s="3">
        <v>2.0407155E-3</v>
      </c>
      <c r="H21" s="513">
        <v>6.01501935E-9</v>
      </c>
      <c r="I21" s="3">
        <v>7.9654902999999992E-3</v>
      </c>
      <c r="J21" s="3">
        <v>33.046900000000001</v>
      </c>
      <c r="K21" s="513">
        <v>3.6339133279399998E-9</v>
      </c>
      <c r="L21" s="3">
        <v>0.13454987534999999</v>
      </c>
      <c r="M21" s="3">
        <v>0.27</v>
      </c>
      <c r="N21" s="3">
        <v>1.2024992836299999</v>
      </c>
      <c r="O21" s="3">
        <v>4.9534919398000001</v>
      </c>
      <c r="P21" s="3">
        <v>4.4893883180699996</v>
      </c>
      <c r="Q21" s="99">
        <v>7.26</v>
      </c>
      <c r="R21" s="512">
        <v>3.73753</v>
      </c>
      <c r="S21" s="510">
        <v>37</v>
      </c>
    </row>
    <row r="22" spans="1:19" x14ac:dyDescent="0.25">
      <c r="A22" s="3">
        <v>21</v>
      </c>
      <c r="B22" s="3" t="s">
        <v>1054</v>
      </c>
      <c r="C22" s="3">
        <v>0.80492600000000003</v>
      </c>
      <c r="D22" s="513">
        <v>1.9053118262399998E-12</v>
      </c>
      <c r="E22" s="3">
        <v>0.232169662143</v>
      </c>
      <c r="F22" s="3">
        <v>0.22228654290300001</v>
      </c>
      <c r="G22" s="3">
        <v>2.06578528341E-3</v>
      </c>
      <c r="H22" s="513">
        <v>6.4238646378699998E-10</v>
      </c>
      <c r="I22" s="3">
        <v>2.21084692726E-2</v>
      </c>
      <c r="J22" s="3">
        <v>26.205500000000001</v>
      </c>
      <c r="K22" s="513">
        <v>1.97754740126E-9</v>
      </c>
      <c r="L22" s="3">
        <v>0.232169662143</v>
      </c>
      <c r="M22" s="3">
        <v>0.23</v>
      </c>
      <c r="N22" s="3">
        <v>1.24708888638</v>
      </c>
      <c r="O22" s="3">
        <v>6.4273198170899999</v>
      </c>
      <c r="P22" s="3">
        <v>5.8251299999999997</v>
      </c>
      <c r="Q22" s="99">
        <v>6.47</v>
      </c>
      <c r="R22" s="512">
        <v>5.8251299999999997</v>
      </c>
      <c r="S22" s="510">
        <v>18</v>
      </c>
    </row>
    <row r="23" spans="1:19" x14ac:dyDescent="0.25">
      <c r="A23" s="3">
        <v>22</v>
      </c>
      <c r="B23" s="3" t="s">
        <v>1055</v>
      </c>
      <c r="C23" s="3">
        <v>1.7557100000000001</v>
      </c>
      <c r="D23" s="513">
        <v>2.3908057151599999E-12</v>
      </c>
      <c r="E23" s="3">
        <v>0.234444862881</v>
      </c>
      <c r="F23" s="3">
        <v>0.19645591870500001</v>
      </c>
      <c r="G23" s="3">
        <v>2.0611101036899998E-3</v>
      </c>
      <c r="H23" s="513">
        <v>8.6989019560599998E-10</v>
      </c>
      <c r="I23" s="3">
        <v>2.0426260723300001E-2</v>
      </c>
      <c r="J23" s="3">
        <v>18.204999999999998</v>
      </c>
      <c r="K23" s="513">
        <v>1.9185582248900002E-9</v>
      </c>
      <c r="L23" s="3">
        <v>0.234444862881</v>
      </c>
      <c r="M23" s="3">
        <v>0.09</v>
      </c>
      <c r="N23" s="3">
        <v>1.20563068215</v>
      </c>
      <c r="O23" s="3">
        <v>3.9462090596100001</v>
      </c>
      <c r="P23" s="3">
        <v>3.5764800000000001</v>
      </c>
      <c r="Q23" s="99">
        <v>7.57</v>
      </c>
      <c r="R23" s="512">
        <v>3.5764800000000001</v>
      </c>
      <c r="S23" s="510">
        <v>19</v>
      </c>
    </row>
    <row r="24" spans="1:19" x14ac:dyDescent="0.25">
      <c r="A24" s="3">
        <v>23</v>
      </c>
      <c r="B24" s="3" t="s">
        <v>1056</v>
      </c>
      <c r="C24" s="3">
        <v>2.0263300000000002</v>
      </c>
      <c r="D24" s="513">
        <v>5.5136040500000002E-12</v>
      </c>
      <c r="E24" s="3">
        <v>0.13454987534999999</v>
      </c>
      <c r="F24" s="3">
        <v>0.135849</v>
      </c>
      <c r="G24" s="3">
        <v>2.0407155E-3</v>
      </c>
      <c r="H24" s="513">
        <v>6.01501935E-9</v>
      </c>
      <c r="I24" s="3">
        <v>7.9654902999999992E-3</v>
      </c>
      <c r="J24" s="3">
        <v>49.1</v>
      </c>
      <c r="K24" s="513">
        <v>1.7042061331499999E-9</v>
      </c>
      <c r="L24" s="3">
        <v>0.13454987534999999</v>
      </c>
      <c r="M24" s="3">
        <v>0.28000000000000003</v>
      </c>
      <c r="N24" s="3">
        <v>1.2014680826999999</v>
      </c>
      <c r="O24" s="3">
        <v>7.3597358373799997</v>
      </c>
      <c r="P24" s="3">
        <v>6.6701858999499999</v>
      </c>
      <c r="Q24" s="99">
        <v>7.12</v>
      </c>
      <c r="R24" s="512">
        <v>5.1386399999999997</v>
      </c>
      <c r="S24" s="510">
        <v>42</v>
      </c>
    </row>
    <row r="25" spans="1:19" x14ac:dyDescent="0.25">
      <c r="A25" s="3">
        <v>24</v>
      </c>
      <c r="B25" s="3" t="s">
        <v>1057</v>
      </c>
      <c r="C25" s="3">
        <v>0.53548200000000001</v>
      </c>
      <c r="D25" s="513">
        <v>5.5136040500000002E-12</v>
      </c>
      <c r="E25" s="3">
        <v>0.13454987534999999</v>
      </c>
      <c r="F25" s="3">
        <v>0.135849</v>
      </c>
      <c r="G25" s="3">
        <v>2.0407155E-3</v>
      </c>
      <c r="H25" s="513">
        <v>6.01501935E-9</v>
      </c>
      <c r="I25" s="3">
        <v>7.9654902999999992E-3</v>
      </c>
      <c r="J25" s="3">
        <v>26.759399999999999</v>
      </c>
      <c r="K25" s="513">
        <v>4.86282075117E-9</v>
      </c>
      <c r="L25" s="3">
        <v>0.13454987534999999</v>
      </c>
      <c r="M25" s="3">
        <v>0.21</v>
      </c>
      <c r="N25" s="3">
        <v>1.27720189567</v>
      </c>
      <c r="O25" s="3">
        <v>4.0110410420899996</v>
      </c>
      <c r="P25" s="3">
        <v>3.6352377305700001</v>
      </c>
      <c r="Q25" s="99">
        <v>8.3800000000000008</v>
      </c>
      <c r="R25" s="512">
        <v>3.0220799999999999</v>
      </c>
      <c r="S25" s="510">
        <v>38</v>
      </c>
    </row>
    <row r="26" spans="1:19" x14ac:dyDescent="0.25">
      <c r="A26" s="3">
        <v>25</v>
      </c>
      <c r="B26" s="3" t="s">
        <v>1058</v>
      </c>
      <c r="C26" s="3">
        <v>4.02189</v>
      </c>
      <c r="D26" s="513">
        <v>5.5136040500000002E-12</v>
      </c>
      <c r="E26" s="3">
        <v>0.13454987534999999</v>
      </c>
      <c r="F26" s="3">
        <v>0.135849</v>
      </c>
      <c r="G26" s="3">
        <v>2.0407155E-3</v>
      </c>
      <c r="H26" s="513">
        <v>6.01501935E-9</v>
      </c>
      <c r="I26" s="3">
        <v>7.9654902999999992E-3</v>
      </c>
      <c r="J26" s="3">
        <v>46.598300000000002</v>
      </c>
      <c r="K26" s="513">
        <v>1.2884292254599999E-9</v>
      </c>
      <c r="L26" s="3">
        <v>0.13454987534999999</v>
      </c>
      <c r="M26" s="3">
        <v>0.2</v>
      </c>
      <c r="N26" s="3">
        <v>1.1730973632399999</v>
      </c>
      <c r="O26" s="3">
        <v>6.9847490523599998</v>
      </c>
      <c r="P26" s="3">
        <v>6.3303324566499999</v>
      </c>
      <c r="Q26" s="99">
        <v>7.5</v>
      </c>
      <c r="R26" s="512">
        <v>4.9240599999999999</v>
      </c>
      <c r="S26" s="510">
        <v>41</v>
      </c>
    </row>
    <row r="27" spans="1:19" x14ac:dyDescent="0.25">
      <c r="A27" s="3">
        <v>26</v>
      </c>
      <c r="B27" s="3" t="s">
        <v>1059</v>
      </c>
      <c r="C27" s="3">
        <v>1.88123</v>
      </c>
      <c r="D27" s="513">
        <v>5.5136040500000002E-12</v>
      </c>
      <c r="E27" s="3">
        <v>0.13454987534999999</v>
      </c>
      <c r="F27" s="3">
        <v>0.135849</v>
      </c>
      <c r="G27" s="3">
        <v>2.0407155E-3</v>
      </c>
      <c r="H27" s="513">
        <v>6.01501935E-9</v>
      </c>
      <c r="I27" s="3">
        <v>7.9654902999999992E-3</v>
      </c>
      <c r="J27" s="3">
        <v>44.228200000000001</v>
      </c>
      <c r="K27" s="513">
        <v>1.76772266679E-9</v>
      </c>
      <c r="L27" s="3">
        <v>0.13454987534999999</v>
      </c>
      <c r="M27" s="3">
        <v>0.23</v>
      </c>
      <c r="N27" s="3">
        <v>1.2161611109299999</v>
      </c>
      <c r="O27" s="3">
        <v>6.6294881581</v>
      </c>
      <c r="P27" s="3">
        <v>6.0083567417500001</v>
      </c>
      <c r="Q27" s="99">
        <v>7.61</v>
      </c>
      <c r="R27" s="512">
        <v>5.1493099999999998</v>
      </c>
      <c r="S27" s="510">
        <v>35</v>
      </c>
    </row>
    <row r="28" spans="1:19" x14ac:dyDescent="0.25">
      <c r="A28" s="3">
        <v>27</v>
      </c>
      <c r="B28" s="3" t="s">
        <v>1060</v>
      </c>
      <c r="C28" s="3">
        <v>1.9421999999999999</v>
      </c>
      <c r="D28" s="513">
        <v>5.5136040500000002E-12</v>
      </c>
      <c r="E28" s="3">
        <v>0.13454987534999999</v>
      </c>
      <c r="F28" s="3">
        <v>0.135849</v>
      </c>
      <c r="G28" s="3">
        <v>2.0407155E-3</v>
      </c>
      <c r="H28" s="513">
        <v>6.01501935E-9</v>
      </c>
      <c r="I28" s="3">
        <v>7.9654902999999992E-3</v>
      </c>
      <c r="J28" s="3">
        <v>48.262599999999999</v>
      </c>
      <c r="K28" s="513">
        <v>1.55401453028E-9</v>
      </c>
      <c r="L28" s="3">
        <v>0.13454987534999999</v>
      </c>
      <c r="M28" s="3">
        <v>0.24</v>
      </c>
      <c r="N28" s="3">
        <v>1.21809547809</v>
      </c>
      <c r="O28" s="3">
        <v>7.2342156176200003</v>
      </c>
      <c r="P28" s="3">
        <v>6.5564259473500002</v>
      </c>
      <c r="Q28" s="99">
        <v>7.83</v>
      </c>
      <c r="R28" s="512">
        <v>4.8314599999999999</v>
      </c>
      <c r="S28" s="510">
        <v>45</v>
      </c>
    </row>
    <row r="29" spans="1:19" x14ac:dyDescent="0.25">
      <c r="A29" s="3">
        <v>28</v>
      </c>
      <c r="B29" s="3" t="s">
        <v>1061</v>
      </c>
      <c r="C29" s="3">
        <v>0.684002</v>
      </c>
      <c r="D29" s="513">
        <v>1.6114762042E-12</v>
      </c>
      <c r="E29" s="3">
        <v>0.23358927500000001</v>
      </c>
      <c r="F29" s="3">
        <v>0.43614599999999998</v>
      </c>
      <c r="G29" s="3">
        <v>8.3788498999999995E-4</v>
      </c>
      <c r="H29" s="513">
        <v>6.2382031959999996E-10</v>
      </c>
      <c r="I29" s="3">
        <v>6.2319882999999996E-3</v>
      </c>
      <c r="J29" s="3">
        <v>4.9536800000000003</v>
      </c>
      <c r="K29" s="513">
        <v>1.3295237110600001E-8</v>
      </c>
      <c r="L29" s="3">
        <v>0.23358927500000001</v>
      </c>
      <c r="M29" s="3">
        <v>0.21</v>
      </c>
      <c r="N29" s="3">
        <v>1.2551351502899999</v>
      </c>
      <c r="O29" s="3">
        <v>2.3838785765399999</v>
      </c>
      <c r="P29" s="3">
        <v>2.1605277172699999</v>
      </c>
      <c r="Q29" s="99">
        <v>8.66</v>
      </c>
      <c r="R29" s="512">
        <v>3.5615299999999999</v>
      </c>
      <c r="S29" s="510">
        <v>4</v>
      </c>
    </row>
    <row r="30" spans="1:19" x14ac:dyDescent="0.25">
      <c r="A30" s="3">
        <v>29</v>
      </c>
      <c r="B30" s="3" t="s">
        <v>1062</v>
      </c>
      <c r="C30" s="3">
        <v>1.3325400000000001</v>
      </c>
      <c r="D30" s="513">
        <v>5.5136040500000002E-12</v>
      </c>
      <c r="E30" s="3">
        <v>0.13454987534999999</v>
      </c>
      <c r="F30" s="3">
        <v>0.135849</v>
      </c>
      <c r="G30" s="3">
        <v>2.0407155E-3</v>
      </c>
      <c r="H30" s="513">
        <v>6.01501935E-9</v>
      </c>
      <c r="I30" s="3">
        <v>7.9654902999999992E-3</v>
      </c>
      <c r="J30" s="3">
        <v>26.420100000000001</v>
      </c>
      <c r="K30" s="513">
        <v>3.9343633375500003E-9</v>
      </c>
      <c r="L30" s="3">
        <v>0.13454987534999999</v>
      </c>
      <c r="M30" s="3">
        <v>0.18</v>
      </c>
      <c r="N30" s="3">
        <v>1.2251355342900001</v>
      </c>
      <c r="O30" s="3">
        <v>3.9601824194900002</v>
      </c>
      <c r="P30" s="3">
        <v>3.58914416487</v>
      </c>
      <c r="Q30" s="99">
        <v>5.77</v>
      </c>
      <c r="R30" s="512">
        <v>2.34083</v>
      </c>
      <c r="S30" s="510">
        <v>59</v>
      </c>
    </row>
    <row r="31" spans="1:19" x14ac:dyDescent="0.25">
      <c r="A31" s="3">
        <v>30</v>
      </c>
      <c r="B31" s="3" t="s">
        <v>1063</v>
      </c>
      <c r="C31" s="3">
        <v>5.3</v>
      </c>
      <c r="D31" s="513">
        <v>2.5178814714200001E-12</v>
      </c>
      <c r="E31" s="3">
        <v>0.23401071087700001</v>
      </c>
      <c r="F31" s="3">
        <v>0.33009708738100002</v>
      </c>
      <c r="G31" s="3">
        <v>2.04094332432E-3</v>
      </c>
      <c r="H31" s="513">
        <v>8.2385754856600003E-10</v>
      </c>
      <c r="I31" s="3">
        <v>2.2551958953800001E-2</v>
      </c>
      <c r="J31" s="3">
        <v>20.6</v>
      </c>
      <c r="K31" s="513">
        <v>1.00904331443E-9</v>
      </c>
      <c r="L31" s="3">
        <v>0.23401071087700001</v>
      </c>
      <c r="M31" s="3">
        <v>0.19</v>
      </c>
      <c r="N31" s="3">
        <v>1.1441402676600001</v>
      </c>
      <c r="O31" s="3">
        <v>7.5029698489400003</v>
      </c>
      <c r="P31" s="3">
        <v>6.8</v>
      </c>
      <c r="Q31" s="99">
        <v>5.7</v>
      </c>
      <c r="R31" s="512">
        <v>6.8</v>
      </c>
      <c r="S31" s="510">
        <v>12</v>
      </c>
    </row>
    <row r="32" spans="1:19" x14ac:dyDescent="0.25">
      <c r="A32" s="3">
        <v>31</v>
      </c>
      <c r="B32" s="3" t="s">
        <v>1064</v>
      </c>
      <c r="C32" s="3">
        <v>27</v>
      </c>
      <c r="D32" s="513">
        <v>6.8223456575500004E-12</v>
      </c>
      <c r="E32" s="3">
        <v>3.4154102231499998E-2</v>
      </c>
      <c r="F32" s="3">
        <v>0.13034188034300001</v>
      </c>
      <c r="G32" s="3">
        <v>2.03497892986E-3</v>
      </c>
      <c r="H32" s="513">
        <v>8.5068443051999995E-9</v>
      </c>
      <c r="I32" s="3">
        <v>6.26174175446E-3</v>
      </c>
      <c r="J32" s="3">
        <v>46.8</v>
      </c>
      <c r="K32" s="513">
        <v>2.9052593326700002E-10</v>
      </c>
      <c r="L32" s="3">
        <v>3.4154102231499998E-2</v>
      </c>
      <c r="M32" s="3">
        <v>0.05</v>
      </c>
      <c r="N32" s="3">
        <v>1.07356795365</v>
      </c>
      <c r="O32" s="3">
        <v>6.7306053056700001</v>
      </c>
      <c r="P32" s="3">
        <v>6.1</v>
      </c>
      <c r="Q32" s="99">
        <v>3.34</v>
      </c>
      <c r="R32" s="512">
        <v>6.1</v>
      </c>
      <c r="S32" s="510">
        <v>30</v>
      </c>
    </row>
    <row r="33" spans="1:19" x14ac:dyDescent="0.25">
      <c r="A33" s="3">
        <v>33</v>
      </c>
      <c r="B33" s="3" t="s">
        <v>1065</v>
      </c>
      <c r="C33" s="3">
        <v>4.0640700000000001</v>
      </c>
      <c r="D33" s="513">
        <v>5.5136040500000002E-12</v>
      </c>
      <c r="E33" s="3">
        <v>0.13454987534999999</v>
      </c>
      <c r="F33" s="3">
        <v>0.135849</v>
      </c>
      <c r="G33" s="3">
        <v>2.0407155E-3</v>
      </c>
      <c r="H33" s="513">
        <v>6.01501935E-9</v>
      </c>
      <c r="I33" s="3">
        <v>7.9654902999999992E-3</v>
      </c>
      <c r="J33" s="3">
        <v>36.603200000000001</v>
      </c>
      <c r="K33" s="513">
        <v>1.62929758501E-9</v>
      </c>
      <c r="L33" s="3">
        <v>0.13454987534999999</v>
      </c>
      <c r="M33" s="3">
        <v>0.16</v>
      </c>
      <c r="N33" s="3">
        <v>1.15853182962</v>
      </c>
      <c r="O33" s="3">
        <v>5.4865556579000003</v>
      </c>
      <c r="P33" s="3">
        <v>4.9725081167600003</v>
      </c>
      <c r="Q33" s="99">
        <v>5.9</v>
      </c>
      <c r="R33" s="512">
        <v>3.6018400000000002</v>
      </c>
      <c r="S33" s="510">
        <v>46</v>
      </c>
    </row>
    <row r="35" spans="1:19" x14ac:dyDescent="0.25">
      <c r="A35" s="11" t="s">
        <v>1092</v>
      </c>
    </row>
    <row r="36" spans="1:19" x14ac:dyDescent="0.25">
      <c r="B36" s="3" t="s">
        <v>1090</v>
      </c>
      <c r="C36" s="3" t="s">
        <v>1089</v>
      </c>
      <c r="D36" s="3" t="s">
        <v>39</v>
      </c>
      <c r="E36" s="3" t="s">
        <v>74</v>
      </c>
      <c r="F36" s="3" t="s">
        <v>1088</v>
      </c>
      <c r="G36" s="3" t="s">
        <v>1087</v>
      </c>
      <c r="H36" s="3" t="s">
        <v>72</v>
      </c>
      <c r="I36" s="3" t="s">
        <v>1086</v>
      </c>
      <c r="J36" s="3" t="s">
        <v>1085</v>
      </c>
      <c r="K36" s="3" t="s">
        <v>1084</v>
      </c>
      <c r="L36" s="3" t="s">
        <v>76</v>
      </c>
      <c r="M36" s="3" t="s">
        <v>1083</v>
      </c>
      <c r="N36" s="3" t="s">
        <v>1082</v>
      </c>
      <c r="O36" s="3" t="s">
        <v>1081</v>
      </c>
      <c r="P36" s="3" t="s">
        <v>1080</v>
      </c>
      <c r="Q36" s="99" t="s">
        <v>1079</v>
      </c>
      <c r="R36" s="511" t="s">
        <v>1078</v>
      </c>
      <c r="S36" s="510" t="s">
        <v>1077</v>
      </c>
    </row>
    <row r="37" spans="1:19" x14ac:dyDescent="0.25">
      <c r="A37" s="3">
        <v>0</v>
      </c>
      <c r="B37" s="3" t="s">
        <v>1076</v>
      </c>
      <c r="C37" s="3">
        <v>2.7582200000000001</v>
      </c>
      <c r="D37" s="513">
        <v>1.6249360365200001E-12</v>
      </c>
      <c r="E37" s="3">
        <v>0.23113331301699999</v>
      </c>
      <c r="F37" s="3">
        <v>0.169658441459</v>
      </c>
      <c r="G37" s="3">
        <v>2.0556111999999998E-3</v>
      </c>
      <c r="H37" s="513">
        <v>6.7258631437499998E-10</v>
      </c>
      <c r="I37" s="3">
        <v>1.8034474076799999E-2</v>
      </c>
      <c r="J37" s="3">
        <v>10.3584</v>
      </c>
      <c r="K37" s="513">
        <v>8.4052080242899998E-9</v>
      </c>
      <c r="L37" s="3">
        <v>0.23113331301699999</v>
      </c>
      <c r="M37" s="3">
        <v>0.1</v>
      </c>
      <c r="N37" s="3">
        <v>1.1763448023900001</v>
      </c>
      <c r="O37" s="3">
        <v>1.93906532101</v>
      </c>
      <c r="P37" s="3">
        <v>1.75739</v>
      </c>
      <c r="Q37" s="99">
        <v>1.1499999999999999</v>
      </c>
      <c r="R37" s="512">
        <v>1.75739</v>
      </c>
      <c r="S37" s="510">
        <v>24</v>
      </c>
    </row>
    <row r="38" spans="1:19" x14ac:dyDescent="0.25">
      <c r="A38" s="3">
        <v>1</v>
      </c>
      <c r="B38" s="3" t="s">
        <v>1075</v>
      </c>
      <c r="C38" s="3">
        <v>1.51728</v>
      </c>
      <c r="D38" s="513">
        <v>4.4434876062699999E-12</v>
      </c>
      <c r="E38" s="3">
        <v>0.21664031021899999</v>
      </c>
      <c r="F38" s="3">
        <v>0.14035199682400001</v>
      </c>
      <c r="G38" s="3">
        <v>2.0454061112000002E-3</v>
      </c>
      <c r="H38" s="513">
        <v>3.9775332304599998E-9</v>
      </c>
      <c r="I38" s="3">
        <v>9.3585913705499998E-3</v>
      </c>
      <c r="J38" s="3">
        <v>14.102399999999999</v>
      </c>
      <c r="K38" s="513">
        <v>3.5511710680900001E-9</v>
      </c>
      <c r="L38" s="3">
        <v>0.21664031021899999</v>
      </c>
      <c r="M38" s="3">
        <v>0.05</v>
      </c>
      <c r="N38" s="3">
        <v>1.21788048988</v>
      </c>
      <c r="O38" s="3">
        <v>2.183915915</v>
      </c>
      <c r="P38" s="3">
        <v>1.9793000000000001</v>
      </c>
      <c r="Q38" s="99">
        <v>3.21</v>
      </c>
      <c r="R38" s="512">
        <v>1.9793000000000001</v>
      </c>
      <c r="S38" s="510">
        <v>28</v>
      </c>
    </row>
    <row r="39" spans="1:19" x14ac:dyDescent="0.25">
      <c r="A39" s="3">
        <v>2</v>
      </c>
      <c r="B39" s="3" t="s">
        <v>1074</v>
      </c>
      <c r="C39" s="3">
        <v>1.1796500000000001</v>
      </c>
      <c r="D39" s="513">
        <v>5.5136040500000002E-12</v>
      </c>
      <c r="E39" s="3">
        <v>0.13454987534999999</v>
      </c>
      <c r="F39" s="3">
        <v>0.135849</v>
      </c>
      <c r="G39" s="3">
        <v>2.0407155E-3</v>
      </c>
      <c r="H39" s="513">
        <v>6.01501935E-9</v>
      </c>
      <c r="I39" s="3">
        <v>7.9654902999999992E-3</v>
      </c>
      <c r="J39" s="3">
        <v>12.777900000000001</v>
      </c>
      <c r="K39" s="513">
        <v>1.30169832885E-8</v>
      </c>
      <c r="L39" s="3">
        <v>0.13454987534999999</v>
      </c>
      <c r="M39" s="3">
        <v>0.14000000000000001</v>
      </c>
      <c r="N39" s="3">
        <v>1.2220791666999999</v>
      </c>
      <c r="O39" s="3">
        <v>1.91531504188</v>
      </c>
      <c r="P39" s="3">
        <v>1.7358649370899999</v>
      </c>
      <c r="Q39" s="99">
        <v>5.37</v>
      </c>
      <c r="R39" s="512">
        <v>1.30958</v>
      </c>
      <c r="S39" s="510">
        <v>43</v>
      </c>
    </row>
    <row r="40" spans="1:19" x14ac:dyDescent="0.25">
      <c r="A40" s="3">
        <v>3</v>
      </c>
      <c r="B40" s="3" t="s">
        <v>1073</v>
      </c>
      <c r="C40" s="3">
        <v>7.3607300000000001E-2</v>
      </c>
      <c r="D40" s="513">
        <v>6.2331203828399999E-12</v>
      </c>
      <c r="E40" s="3">
        <v>7.9354565527299997E-2</v>
      </c>
      <c r="F40" s="3">
        <v>0.13282131102200001</v>
      </c>
      <c r="G40" s="3">
        <v>2.0375616643699998E-3</v>
      </c>
      <c r="H40" s="513">
        <v>7.3849679659100003E-9</v>
      </c>
      <c r="I40" s="3">
        <v>7.0288081478499997E-3</v>
      </c>
      <c r="J40" s="3">
        <v>8.9110700000000005</v>
      </c>
      <c r="K40" s="513">
        <v>4.4562328986000002E-9</v>
      </c>
      <c r="L40" s="3">
        <v>7.9354565527299997E-2</v>
      </c>
      <c r="M40" s="3">
        <v>0.14000000000000001</v>
      </c>
      <c r="N40" s="3">
        <v>0.48753948494499999</v>
      </c>
      <c r="O40" s="3">
        <v>1.30593603733</v>
      </c>
      <c r="P40" s="3">
        <v>1.1835800000000001</v>
      </c>
      <c r="Q40" s="99">
        <v>5.73</v>
      </c>
      <c r="R40" s="512">
        <v>1.1835800000000001</v>
      </c>
      <c r="S40" s="510">
        <v>29</v>
      </c>
    </row>
    <row r="41" spans="1:19" x14ac:dyDescent="0.25">
      <c r="A41" s="3">
        <v>4</v>
      </c>
      <c r="B41" s="3" t="s">
        <v>1072</v>
      </c>
      <c r="C41" s="3">
        <v>4.1158200000000003</v>
      </c>
      <c r="D41" s="513">
        <v>2.2102487292900001E-12</v>
      </c>
      <c r="E41" s="3">
        <v>0.23381585333499999</v>
      </c>
      <c r="F41" s="3">
        <v>0.187117910405</v>
      </c>
      <c r="G41" s="3">
        <v>2.0562465685800002E-3</v>
      </c>
      <c r="H41" s="513">
        <v>8.3248301591599995E-10</v>
      </c>
      <c r="I41" s="3">
        <v>1.9707847911300001E-2</v>
      </c>
      <c r="J41" s="3">
        <v>13.4916</v>
      </c>
      <c r="K41" s="513">
        <v>4.3741838176400003E-9</v>
      </c>
      <c r="L41" s="3">
        <v>0.23381585333499999</v>
      </c>
      <c r="M41" s="3">
        <v>0.11</v>
      </c>
      <c r="N41" s="3">
        <v>1.16231339206</v>
      </c>
      <c r="O41" s="3">
        <v>2.7854996239799998</v>
      </c>
      <c r="P41" s="3">
        <v>2.5245199999999999</v>
      </c>
      <c r="Q41" s="99">
        <v>4.0999999999999996</v>
      </c>
      <c r="R41" s="512">
        <v>2.5245199999999999</v>
      </c>
      <c r="S41" s="510">
        <v>21</v>
      </c>
    </row>
    <row r="42" spans="1:19" x14ac:dyDescent="0.25">
      <c r="A42" s="3">
        <v>5</v>
      </c>
      <c r="B42" s="3" t="s">
        <v>1071</v>
      </c>
      <c r="C42" s="3">
        <v>1.0544800000000001</v>
      </c>
      <c r="D42" s="513">
        <v>1.6114762042E-12</v>
      </c>
      <c r="E42" s="3">
        <v>0.23358927500000001</v>
      </c>
      <c r="F42" s="3">
        <v>0.43614599999999998</v>
      </c>
      <c r="G42" s="3">
        <v>8.3788498999999995E-4</v>
      </c>
      <c r="H42" s="513">
        <v>6.2382031959999996E-10</v>
      </c>
      <c r="I42" s="3">
        <v>6.2319882999999996E-3</v>
      </c>
      <c r="J42" s="3">
        <v>3.2160500000000001</v>
      </c>
      <c r="K42" s="513">
        <v>2.6008388171200001E-8</v>
      </c>
      <c r="L42" s="3">
        <v>0.23358927500000001</v>
      </c>
      <c r="M42" s="3">
        <v>0.18</v>
      </c>
      <c r="N42" s="3">
        <v>1.2310265125099999</v>
      </c>
      <c r="O42" s="3">
        <v>1.5476721742399999</v>
      </c>
      <c r="P42" s="3">
        <v>1.4026673432900001</v>
      </c>
      <c r="Q42" s="99">
        <v>3.72</v>
      </c>
      <c r="R42" s="512">
        <v>3.3755799999999998</v>
      </c>
      <c r="S42" s="510">
        <v>2</v>
      </c>
    </row>
    <row r="43" spans="1:19" x14ac:dyDescent="0.25">
      <c r="A43" s="3">
        <v>6</v>
      </c>
      <c r="B43" s="3" t="s">
        <v>1070</v>
      </c>
      <c r="C43" s="3">
        <v>2.54589</v>
      </c>
      <c r="D43" s="513">
        <v>2.9316490476300001E-12</v>
      </c>
      <c r="E43" s="3">
        <v>0.25136471921999998</v>
      </c>
      <c r="F43" s="3">
        <v>0.14943716356100001</v>
      </c>
      <c r="G43" s="3">
        <v>2.05151655766E-3</v>
      </c>
      <c r="H43" s="513">
        <v>1.9271410064099999E-9</v>
      </c>
      <c r="I43" s="3">
        <v>1.2604010529999999E-2</v>
      </c>
      <c r="J43" s="3">
        <v>14.0627</v>
      </c>
      <c r="K43" s="513">
        <v>9.6760770452200002E-9</v>
      </c>
      <c r="L43" s="3">
        <v>0.25136471921999998</v>
      </c>
      <c r="M43" s="3">
        <v>0.16</v>
      </c>
      <c r="N43" s="3">
        <v>1.1931890225399999</v>
      </c>
      <c r="O43" s="3">
        <v>2.3187376629199998</v>
      </c>
      <c r="P43" s="3">
        <v>2.1014900000000001</v>
      </c>
      <c r="Q43" s="99">
        <v>5.03</v>
      </c>
      <c r="R43" s="512">
        <v>2.1014900000000001</v>
      </c>
      <c r="S43" s="510">
        <v>27</v>
      </c>
    </row>
    <row r="44" spans="1:19" x14ac:dyDescent="0.25">
      <c r="A44" s="3">
        <v>7</v>
      </c>
      <c r="B44" s="3" t="s">
        <v>1043</v>
      </c>
      <c r="C44" s="3">
        <v>0.925037</v>
      </c>
      <c r="D44" s="513">
        <v>5.5136040500000002E-12</v>
      </c>
      <c r="E44" s="3">
        <v>0.13454987534999999</v>
      </c>
      <c r="F44" s="3">
        <v>0.135849</v>
      </c>
      <c r="G44" s="3">
        <v>2.0407155E-3</v>
      </c>
      <c r="H44" s="513">
        <v>6.01501935E-9</v>
      </c>
      <c r="I44" s="3">
        <v>7.9654902999999992E-3</v>
      </c>
      <c r="J44" s="3">
        <v>17.433800000000002</v>
      </c>
      <c r="K44" s="513">
        <v>1.15927666274E-8</v>
      </c>
      <c r="L44" s="3">
        <v>0.13454987534999999</v>
      </c>
      <c r="M44" s="3">
        <v>0.22</v>
      </c>
      <c r="N44" s="3">
        <v>1.25522900303</v>
      </c>
      <c r="O44" s="3">
        <v>2.6132008684699999</v>
      </c>
      <c r="P44" s="3">
        <v>2.3683642961800002</v>
      </c>
      <c r="Q44" s="99">
        <v>5.52</v>
      </c>
      <c r="R44" s="512">
        <v>2.0217499999999999</v>
      </c>
      <c r="S44" s="510">
        <v>36</v>
      </c>
    </row>
    <row r="45" spans="1:19" x14ac:dyDescent="0.25">
      <c r="A45" s="3">
        <v>8</v>
      </c>
      <c r="B45" s="3" t="s">
        <v>1069</v>
      </c>
      <c r="C45" s="3">
        <v>0.54577399999999998</v>
      </c>
      <c r="D45" s="513">
        <v>1.8422604191999999E-12</v>
      </c>
      <c r="E45" s="3">
        <v>0.232427071263</v>
      </c>
      <c r="F45" s="3">
        <v>0.25400314306799998</v>
      </c>
      <c r="G45" s="3">
        <v>2.0538430730500002E-3</v>
      </c>
      <c r="H45" s="513">
        <v>5.9825343540000001E-10</v>
      </c>
      <c r="I45" s="3">
        <v>2.2840177774099999E-2</v>
      </c>
      <c r="J45" s="3">
        <v>14.0627</v>
      </c>
      <c r="K45" s="513">
        <v>6.6807978024399996E-9</v>
      </c>
      <c r="L45" s="3">
        <v>0.232427071263</v>
      </c>
      <c r="M45" s="3">
        <v>0.28000000000000003</v>
      </c>
      <c r="N45" s="3">
        <v>1.27389961048</v>
      </c>
      <c r="O45" s="3">
        <v>3.9412328252000002</v>
      </c>
      <c r="P45" s="3">
        <v>3.5719699999999999</v>
      </c>
      <c r="Q45" s="99">
        <v>5.03</v>
      </c>
      <c r="R45" s="512">
        <v>3.5719699999999999</v>
      </c>
      <c r="S45" s="510">
        <v>14</v>
      </c>
    </row>
    <row r="46" spans="1:19" x14ac:dyDescent="0.25">
      <c r="A46" s="3">
        <v>9</v>
      </c>
      <c r="B46" s="3" t="s">
        <v>1044</v>
      </c>
      <c r="C46" s="3">
        <v>10.087999999999999</v>
      </c>
      <c r="D46" s="513">
        <v>2.0538324745599999E-12</v>
      </c>
      <c r="E46" s="3">
        <v>0.23302636569999999</v>
      </c>
      <c r="F46" s="3">
        <v>0.182719628721</v>
      </c>
      <c r="G46" s="3">
        <v>2.0556111999999998E-3</v>
      </c>
      <c r="H46" s="513">
        <v>7.8570310725600005E-10</v>
      </c>
      <c r="I46" s="3">
        <v>1.9348986181200001E-2</v>
      </c>
      <c r="J46" s="3">
        <v>18.315000000000001</v>
      </c>
      <c r="K46" s="513">
        <v>1.03384343519E-9</v>
      </c>
      <c r="L46" s="3">
        <v>0.23302636569999999</v>
      </c>
      <c r="M46" s="3">
        <v>0.05</v>
      </c>
      <c r="N46" s="3">
        <v>1.11103250726</v>
      </c>
      <c r="O46" s="3">
        <v>3.6924652395900002</v>
      </c>
      <c r="P46" s="3">
        <v>3.3465099999999999</v>
      </c>
      <c r="Q46" s="99">
        <v>5.65</v>
      </c>
      <c r="R46" s="512">
        <v>3.3465099999999999</v>
      </c>
      <c r="S46" s="510">
        <v>23</v>
      </c>
    </row>
    <row r="47" spans="1:19" x14ac:dyDescent="0.25">
      <c r="A47" s="3">
        <v>10</v>
      </c>
      <c r="B47" s="3" t="s">
        <v>1068</v>
      </c>
      <c r="C47" s="3">
        <v>0.50603900000000002</v>
      </c>
      <c r="D47" s="513">
        <v>1.90336052565E-12</v>
      </c>
      <c r="E47" s="3">
        <v>0.23280120801699999</v>
      </c>
      <c r="F47" s="3">
        <v>0.25694131990500002</v>
      </c>
      <c r="G47" s="3">
        <v>2.05537334951E-3</v>
      </c>
      <c r="H47" s="513">
        <v>6.18243395476E-10</v>
      </c>
      <c r="I47" s="3">
        <v>2.28489816204E-2</v>
      </c>
      <c r="J47" s="3">
        <v>20.669699999999999</v>
      </c>
      <c r="K47" s="513">
        <v>2.1629667599600001E-9</v>
      </c>
      <c r="L47" s="3">
        <v>0.23280120801699999</v>
      </c>
      <c r="M47" s="3">
        <v>0.2</v>
      </c>
      <c r="N47" s="3">
        <v>1.27517650644</v>
      </c>
      <c r="O47" s="3">
        <v>5.8599297898199998</v>
      </c>
      <c r="P47" s="3">
        <v>5.3109000000000002</v>
      </c>
      <c r="Q47" s="99">
        <v>4.8499999999999996</v>
      </c>
      <c r="R47" s="512">
        <v>5.3109000000000002</v>
      </c>
    </row>
    <row r="48" spans="1:19" x14ac:dyDescent="0.25">
      <c r="A48" s="3">
        <v>11</v>
      </c>
      <c r="B48" s="3" t="s">
        <v>1045</v>
      </c>
      <c r="C48" s="3">
        <v>3.2484799999999998</v>
      </c>
      <c r="D48" s="513">
        <v>5.5136040500000002E-12</v>
      </c>
      <c r="E48" s="3">
        <v>0.13454987534999999</v>
      </c>
      <c r="F48" s="3">
        <v>0.135849</v>
      </c>
      <c r="G48" s="3">
        <v>2.0407155E-3</v>
      </c>
      <c r="H48" s="513">
        <v>6.01501935E-9</v>
      </c>
      <c r="I48" s="3">
        <v>7.9654902999999992E-3</v>
      </c>
      <c r="J48" s="3">
        <v>16.5016</v>
      </c>
      <c r="K48" s="513">
        <v>1.0175449569E-8</v>
      </c>
      <c r="L48" s="3">
        <v>0.13454987534999999</v>
      </c>
      <c r="M48" s="3">
        <v>0.2</v>
      </c>
      <c r="N48" s="3">
        <v>1.1674453524099999</v>
      </c>
      <c r="O48" s="3">
        <v>2.47347081251</v>
      </c>
      <c r="P48" s="3">
        <v>2.2417258583800002</v>
      </c>
      <c r="Q48" s="99">
        <v>7.48</v>
      </c>
      <c r="R48" s="512">
        <v>1.74533</v>
      </c>
      <c r="S48" s="510">
        <v>40</v>
      </c>
    </row>
    <row r="49" spans="1:19" x14ac:dyDescent="0.25">
      <c r="A49" s="3">
        <v>12</v>
      </c>
      <c r="B49" s="3" t="s">
        <v>1046</v>
      </c>
      <c r="C49" s="3">
        <v>1.53512</v>
      </c>
      <c r="D49" s="513">
        <v>1.76999662904E-12</v>
      </c>
      <c r="E49" s="3">
        <v>0.231984575473</v>
      </c>
      <c r="F49" s="3">
        <v>0.250528127938</v>
      </c>
      <c r="G49" s="3">
        <v>2.05203319768E-3</v>
      </c>
      <c r="H49" s="513">
        <v>5.7461108247900001E-10</v>
      </c>
      <c r="I49" s="3">
        <v>2.2829765365200001E-2</v>
      </c>
      <c r="J49" s="3">
        <v>15.857900000000001</v>
      </c>
      <c r="K49" s="513">
        <v>4.9230654760599999E-9</v>
      </c>
      <c r="L49" s="3">
        <v>0.231984575473</v>
      </c>
      <c r="M49" s="3">
        <v>0.28000000000000003</v>
      </c>
      <c r="N49" s="3">
        <v>1.2162790105800001</v>
      </c>
      <c r="O49" s="3">
        <v>4.3835549653500001</v>
      </c>
      <c r="P49" s="3">
        <v>3.9728500000000002</v>
      </c>
      <c r="Q49" s="99">
        <v>5.73</v>
      </c>
      <c r="R49" s="512">
        <v>3.9728500000000002</v>
      </c>
      <c r="S49" s="510">
        <v>15</v>
      </c>
    </row>
    <row r="50" spans="1:19" x14ac:dyDescent="0.25">
      <c r="A50" s="3">
        <v>13</v>
      </c>
      <c r="B50" s="3" t="s">
        <v>1047</v>
      </c>
      <c r="C50" s="3">
        <v>1.88907</v>
      </c>
      <c r="D50" s="513">
        <v>2.4342727642400001E-12</v>
      </c>
      <c r="E50" s="3">
        <v>0.234423919614</v>
      </c>
      <c r="F50" s="3">
        <v>0.344306335465</v>
      </c>
      <c r="G50" s="3">
        <v>2.0335564926799998E-3</v>
      </c>
      <c r="H50" s="513">
        <v>7.9830345520299995E-10</v>
      </c>
      <c r="I50" s="3">
        <v>2.2446112438100001E-2</v>
      </c>
      <c r="J50" s="3">
        <v>15.511100000000001</v>
      </c>
      <c r="K50" s="513">
        <v>2.7135752102599998E-9</v>
      </c>
      <c r="L50" s="3">
        <v>0.234423919614</v>
      </c>
      <c r="M50" s="3">
        <v>0.28000000000000003</v>
      </c>
      <c r="N50" s="3">
        <v>1.2138688913</v>
      </c>
      <c r="O50" s="3">
        <v>5.8926670126699996</v>
      </c>
      <c r="P50" s="3">
        <v>5.3405699999999996</v>
      </c>
      <c r="Q50" s="99">
        <v>5.12</v>
      </c>
      <c r="R50" s="512">
        <v>5.3405699999999996</v>
      </c>
      <c r="S50" s="510">
        <v>9</v>
      </c>
    </row>
    <row r="51" spans="1:19" x14ac:dyDescent="0.25">
      <c r="A51" s="3">
        <v>14</v>
      </c>
      <c r="B51" s="3" t="s">
        <v>1067</v>
      </c>
      <c r="C51" s="3">
        <v>5.2148599999999998</v>
      </c>
      <c r="D51" s="513">
        <v>1.67501203608E-12</v>
      </c>
      <c r="E51" s="3">
        <v>0.23194525820100001</v>
      </c>
      <c r="F51" s="3">
        <v>0.16695235493800001</v>
      </c>
      <c r="G51" s="3">
        <v>2.0556111999999998E-3</v>
      </c>
      <c r="H51" s="513">
        <v>7.1928910393699996E-10</v>
      </c>
      <c r="I51" s="3">
        <v>1.7494244279199999E-2</v>
      </c>
      <c r="J51" s="3">
        <v>17.5716</v>
      </c>
      <c r="K51" s="513">
        <v>5.6902554781700001E-9</v>
      </c>
      <c r="L51" s="3">
        <v>0.23194525820100001</v>
      </c>
      <c r="M51" s="3">
        <v>0.2</v>
      </c>
      <c r="N51" s="3">
        <v>1.14247576581</v>
      </c>
      <c r="O51" s="3">
        <v>3.2368915306299999</v>
      </c>
      <c r="P51" s="3">
        <v>2.9336199999999999</v>
      </c>
      <c r="Q51" s="99">
        <v>6.61</v>
      </c>
      <c r="R51" s="512">
        <v>2.9336199999999999</v>
      </c>
    </row>
    <row r="52" spans="1:19" x14ac:dyDescent="0.25">
      <c r="A52" s="3">
        <v>15</v>
      </c>
      <c r="B52" s="3" t="s">
        <v>1048</v>
      </c>
      <c r="C52" s="3">
        <v>1.79148</v>
      </c>
      <c r="D52" s="513">
        <v>5.5136040500000002E-12</v>
      </c>
      <c r="E52" s="3">
        <v>0.13454987534999999</v>
      </c>
      <c r="F52" s="3">
        <v>0.135849</v>
      </c>
      <c r="G52" s="3">
        <v>2.0407155E-3</v>
      </c>
      <c r="H52" s="513">
        <v>6.01501935E-9</v>
      </c>
      <c r="I52" s="3">
        <v>7.9654902999999992E-3</v>
      </c>
      <c r="J52" s="3">
        <v>32.362499999999997</v>
      </c>
      <c r="K52" s="513">
        <v>4.1097356064799999E-9</v>
      </c>
      <c r="L52" s="3">
        <v>0.13454987534999999</v>
      </c>
      <c r="M52" s="3">
        <v>0.28999999999999998</v>
      </c>
      <c r="N52" s="3">
        <v>1.2083665810399999</v>
      </c>
      <c r="O52" s="3">
        <v>4.8509053164399996</v>
      </c>
      <c r="P52" s="3">
        <v>4.3964132624700003</v>
      </c>
      <c r="Q52" s="99">
        <v>7.02</v>
      </c>
      <c r="R52" s="512">
        <v>3.2660900000000002</v>
      </c>
      <c r="S52" s="510">
        <v>44</v>
      </c>
    </row>
    <row r="53" spans="1:19" x14ac:dyDescent="0.25">
      <c r="A53" s="3">
        <v>16</v>
      </c>
      <c r="B53" s="3" t="s">
        <v>1049</v>
      </c>
      <c r="C53" s="3">
        <v>3.5445099999999998</v>
      </c>
      <c r="D53" s="513">
        <v>1.6114762042E-12</v>
      </c>
      <c r="E53" s="3">
        <v>0.23358927500000001</v>
      </c>
      <c r="F53" s="3">
        <v>0.43614599999999998</v>
      </c>
      <c r="G53" s="3">
        <v>8.3788498999999995E-4</v>
      </c>
      <c r="H53" s="513">
        <v>6.2382031959999996E-10</v>
      </c>
      <c r="I53" s="3">
        <v>6.2319882999999996E-3</v>
      </c>
      <c r="J53" s="3">
        <v>12.341100000000001</v>
      </c>
      <c r="K53" s="513">
        <v>2.5100797153500001E-9</v>
      </c>
      <c r="L53" s="3">
        <v>0.23358927500000001</v>
      </c>
      <c r="M53" s="3">
        <v>0.28000000000000003</v>
      </c>
      <c r="N53" s="3">
        <v>1.1766377032199999</v>
      </c>
      <c r="O53" s="3">
        <v>5.9389552617300003</v>
      </c>
      <c r="P53" s="3">
        <v>5.3825214005699999</v>
      </c>
      <c r="Q53" s="99">
        <v>5.96</v>
      </c>
      <c r="R53" s="512">
        <v>5.4746699999999997</v>
      </c>
      <c r="S53" s="510">
        <v>5</v>
      </c>
    </row>
    <row r="54" spans="1:19" x14ac:dyDescent="0.25">
      <c r="A54" s="3">
        <v>17</v>
      </c>
      <c r="B54" s="3" t="s">
        <v>1050</v>
      </c>
      <c r="C54" s="3">
        <v>1.90944</v>
      </c>
      <c r="D54" s="513">
        <v>5.5136040500000002E-12</v>
      </c>
      <c r="E54" s="3">
        <v>0.13454987534999999</v>
      </c>
      <c r="F54" s="3">
        <v>0.135849</v>
      </c>
      <c r="G54" s="3">
        <v>2.0407155E-3</v>
      </c>
      <c r="H54" s="513">
        <v>6.01501935E-9</v>
      </c>
      <c r="I54" s="3">
        <v>7.9654902999999992E-3</v>
      </c>
      <c r="J54" s="3">
        <v>28.066199999999998</v>
      </c>
      <c r="K54" s="513">
        <v>5.0075992658699999E-9</v>
      </c>
      <c r="L54" s="3">
        <v>0.13454987534999999</v>
      </c>
      <c r="M54" s="3">
        <v>0.27</v>
      </c>
      <c r="N54" s="3">
        <v>1.1988510193299999</v>
      </c>
      <c r="O54" s="3">
        <v>4.2069209360300004</v>
      </c>
      <c r="P54" s="3">
        <v>3.8127652037700002</v>
      </c>
      <c r="Q54" s="99">
        <v>7.17</v>
      </c>
      <c r="R54" s="512">
        <v>3.18072</v>
      </c>
      <c r="S54" s="510">
        <v>34</v>
      </c>
    </row>
    <row r="55" spans="1:19" x14ac:dyDescent="0.25">
      <c r="A55" s="3">
        <v>18</v>
      </c>
      <c r="B55" s="3" t="s">
        <v>1051</v>
      </c>
      <c r="C55" s="3">
        <v>2.6154600000000001</v>
      </c>
      <c r="D55" s="513">
        <v>2.1411372241300002E-12</v>
      </c>
      <c r="E55" s="3">
        <v>0.23414954120699999</v>
      </c>
      <c r="F55" s="3">
        <v>0.26862768797100001</v>
      </c>
      <c r="G55" s="3">
        <v>2.0556111999999998E-3</v>
      </c>
      <c r="H55" s="513">
        <v>6.9472723725800003E-10</v>
      </c>
      <c r="I55" s="3">
        <v>2.2874359544100002E-2</v>
      </c>
      <c r="J55" s="3">
        <v>19.856999999999999</v>
      </c>
      <c r="K55" s="513">
        <v>2.6166083007399999E-9</v>
      </c>
      <c r="L55" s="3">
        <v>0.23414954120699999</v>
      </c>
      <c r="M55" s="3">
        <v>0.28000000000000003</v>
      </c>
      <c r="N55" s="3">
        <v>1.1905482626399999</v>
      </c>
      <c r="O55" s="3">
        <v>5.88557229265</v>
      </c>
      <c r="P55" s="3">
        <v>5.3341399999999997</v>
      </c>
      <c r="Q55" s="99">
        <v>6.17</v>
      </c>
      <c r="R55" s="512">
        <v>5.3341399999999997</v>
      </c>
      <c r="S55" s="510">
        <v>11</v>
      </c>
    </row>
    <row r="56" spans="1:19" x14ac:dyDescent="0.25">
      <c r="A56" s="3">
        <v>19</v>
      </c>
      <c r="B56" s="3" t="s">
        <v>1052</v>
      </c>
      <c r="C56" s="3">
        <v>0.956901</v>
      </c>
      <c r="D56" s="513">
        <v>1.7686409012700001E-12</v>
      </c>
      <c r="E56" s="3">
        <v>0.23156820284499999</v>
      </c>
      <c r="F56" s="3">
        <v>0.22670034539700001</v>
      </c>
      <c r="G56" s="3">
        <v>2.0588887633099999E-3</v>
      </c>
      <c r="H56" s="513">
        <v>5.8850307777099997E-10</v>
      </c>
      <c r="I56" s="3">
        <v>2.2327394184999998E-2</v>
      </c>
      <c r="J56" s="3">
        <v>18.587399999999999</v>
      </c>
      <c r="K56" s="513">
        <v>3.8727578151600004E-9</v>
      </c>
      <c r="L56" s="3">
        <v>0.23156820284499999</v>
      </c>
      <c r="M56" s="3">
        <v>0.24</v>
      </c>
      <c r="N56" s="3">
        <v>1.2358553141199999</v>
      </c>
      <c r="O56" s="3">
        <v>4.6493807735899999</v>
      </c>
      <c r="P56" s="3">
        <v>4.2137700000000002</v>
      </c>
      <c r="Q56" s="99">
        <v>6.76</v>
      </c>
      <c r="R56" s="512">
        <v>4.2137700000000002</v>
      </c>
      <c r="S56" s="510">
        <v>17</v>
      </c>
    </row>
    <row r="57" spans="1:19" x14ac:dyDescent="0.25">
      <c r="A57" s="3">
        <v>20</v>
      </c>
      <c r="B57" s="3" t="s">
        <v>1053</v>
      </c>
      <c r="C57" s="3">
        <v>1.8189</v>
      </c>
      <c r="D57" s="513">
        <v>5.5136040500000002E-12</v>
      </c>
      <c r="E57" s="3">
        <v>0.13454987534999999</v>
      </c>
      <c r="F57" s="3">
        <v>0.135849</v>
      </c>
      <c r="G57" s="3">
        <v>2.0407155E-3</v>
      </c>
      <c r="H57" s="513">
        <v>6.01501935E-9</v>
      </c>
      <c r="I57" s="3">
        <v>7.9654902999999992E-3</v>
      </c>
      <c r="J57" s="3">
        <v>33.046900000000001</v>
      </c>
      <c r="K57" s="513">
        <v>3.6339133279399998E-9</v>
      </c>
      <c r="L57" s="3">
        <v>0.13454987534999999</v>
      </c>
      <c r="M57" s="3">
        <v>0.27</v>
      </c>
      <c r="N57" s="3">
        <v>1.2024992836299999</v>
      </c>
      <c r="O57" s="3">
        <v>4.9534919398000001</v>
      </c>
      <c r="P57" s="3">
        <v>4.4893883180699996</v>
      </c>
      <c r="Q57" s="99">
        <v>7.26</v>
      </c>
      <c r="R57" s="512">
        <v>3.73753</v>
      </c>
      <c r="S57" s="510">
        <v>37</v>
      </c>
    </row>
    <row r="58" spans="1:19" x14ac:dyDescent="0.25">
      <c r="A58" s="3">
        <v>21</v>
      </c>
      <c r="B58" s="3" t="s">
        <v>1054</v>
      </c>
      <c r="C58" s="3">
        <v>0.80492600000000003</v>
      </c>
      <c r="D58" s="513">
        <v>1.9053118262399998E-12</v>
      </c>
      <c r="E58" s="3">
        <v>0.232169662143</v>
      </c>
      <c r="F58" s="3">
        <v>0.22228654290300001</v>
      </c>
      <c r="G58" s="3">
        <v>2.06578528341E-3</v>
      </c>
      <c r="H58" s="513">
        <v>6.4238646378699998E-10</v>
      </c>
      <c r="I58" s="3">
        <v>2.21084692726E-2</v>
      </c>
      <c r="J58" s="3">
        <v>26.205500000000001</v>
      </c>
      <c r="K58" s="513">
        <v>1.97754740126E-9</v>
      </c>
      <c r="L58" s="3">
        <v>0.232169662143</v>
      </c>
      <c r="M58" s="3">
        <v>0.23</v>
      </c>
      <c r="N58" s="3">
        <v>1.24708888638</v>
      </c>
      <c r="O58" s="3">
        <v>6.4273198170899999</v>
      </c>
      <c r="P58" s="3">
        <v>5.8251299999999997</v>
      </c>
      <c r="Q58" s="99">
        <v>6.47</v>
      </c>
      <c r="R58" s="512">
        <v>5.8251299999999997</v>
      </c>
      <c r="S58" s="510">
        <v>18</v>
      </c>
    </row>
    <row r="59" spans="1:19" x14ac:dyDescent="0.25">
      <c r="A59" s="3">
        <v>22</v>
      </c>
      <c r="B59" s="3" t="s">
        <v>1055</v>
      </c>
      <c r="C59" s="3">
        <v>1.7557100000000001</v>
      </c>
      <c r="D59" s="513">
        <v>2.3908057151599999E-12</v>
      </c>
      <c r="E59" s="3">
        <v>0.234444862881</v>
      </c>
      <c r="F59" s="3">
        <v>0.19645591870500001</v>
      </c>
      <c r="G59" s="3">
        <v>2.0611101036899998E-3</v>
      </c>
      <c r="H59" s="513">
        <v>8.6989019560599998E-10</v>
      </c>
      <c r="I59" s="3">
        <v>2.0426260723300001E-2</v>
      </c>
      <c r="J59" s="3">
        <v>18.204999999999998</v>
      </c>
      <c r="K59" s="513">
        <v>1.9185582248900002E-9</v>
      </c>
      <c r="L59" s="3">
        <v>0.234444862881</v>
      </c>
      <c r="M59" s="3">
        <v>0.09</v>
      </c>
      <c r="N59" s="3">
        <v>1.20563068215</v>
      </c>
      <c r="O59" s="3">
        <v>3.9462090596100001</v>
      </c>
      <c r="P59" s="3">
        <v>3.5764800000000001</v>
      </c>
      <c r="Q59" s="99">
        <v>7.57</v>
      </c>
      <c r="R59" s="512">
        <v>3.5764800000000001</v>
      </c>
      <c r="S59" s="510">
        <v>19</v>
      </c>
    </row>
    <row r="60" spans="1:19" x14ac:dyDescent="0.25">
      <c r="A60" s="3">
        <v>23</v>
      </c>
      <c r="B60" s="3" t="s">
        <v>1056</v>
      </c>
      <c r="C60" s="3">
        <v>2.0263300000000002</v>
      </c>
      <c r="D60" s="513">
        <v>5.5136040500000002E-12</v>
      </c>
      <c r="E60" s="3">
        <v>0.13454987534999999</v>
      </c>
      <c r="F60" s="3">
        <v>0.135849</v>
      </c>
      <c r="G60" s="3">
        <v>2.0407155E-3</v>
      </c>
      <c r="H60" s="513">
        <v>6.01501935E-9</v>
      </c>
      <c r="I60" s="3">
        <v>7.9654902999999992E-3</v>
      </c>
      <c r="J60" s="3">
        <v>49.1</v>
      </c>
      <c r="K60" s="513">
        <v>1.7042061331499999E-9</v>
      </c>
      <c r="L60" s="3">
        <v>0.13454987534999999</v>
      </c>
      <c r="M60" s="3">
        <v>0.28000000000000003</v>
      </c>
      <c r="N60" s="3">
        <v>1.2014680826999999</v>
      </c>
      <c r="O60" s="3">
        <v>7.3597358373799997</v>
      </c>
      <c r="P60" s="3">
        <v>6.6701858999499999</v>
      </c>
      <c r="Q60" s="99">
        <v>7.12</v>
      </c>
      <c r="R60" s="512">
        <v>5.1386399999999997</v>
      </c>
      <c r="S60" s="510">
        <v>42</v>
      </c>
    </row>
    <row r="61" spans="1:19" x14ac:dyDescent="0.25">
      <c r="A61" s="3">
        <v>24</v>
      </c>
      <c r="B61" s="3" t="s">
        <v>1057</v>
      </c>
      <c r="C61" s="3">
        <v>0.53548200000000001</v>
      </c>
      <c r="D61" s="513">
        <v>5.5136040500000002E-12</v>
      </c>
      <c r="E61" s="3">
        <v>0.13454987534999999</v>
      </c>
      <c r="F61" s="3">
        <v>0.135849</v>
      </c>
      <c r="G61" s="3">
        <v>2.0407155E-3</v>
      </c>
      <c r="H61" s="513">
        <v>6.01501935E-9</v>
      </c>
      <c r="I61" s="3">
        <v>7.9654902999999992E-3</v>
      </c>
      <c r="J61" s="3">
        <v>26.759399999999999</v>
      </c>
      <c r="K61" s="513">
        <v>4.86282075117E-9</v>
      </c>
      <c r="L61" s="3">
        <v>0.13454987534999999</v>
      </c>
      <c r="M61" s="3">
        <v>0.21</v>
      </c>
      <c r="N61" s="3">
        <v>1.27720189567</v>
      </c>
      <c r="O61" s="3">
        <v>4.0110410420899996</v>
      </c>
      <c r="P61" s="3">
        <v>3.6352377305700001</v>
      </c>
      <c r="Q61" s="99">
        <v>8.3800000000000008</v>
      </c>
      <c r="R61" s="512">
        <v>3.0220799999999999</v>
      </c>
      <c r="S61" s="510">
        <v>38</v>
      </c>
    </row>
    <row r="62" spans="1:19" x14ac:dyDescent="0.25">
      <c r="A62" s="3">
        <v>25</v>
      </c>
      <c r="B62" s="3" t="s">
        <v>1058</v>
      </c>
      <c r="C62" s="3">
        <v>4.02189</v>
      </c>
      <c r="D62" s="513">
        <v>5.5136040500000002E-12</v>
      </c>
      <c r="E62" s="3">
        <v>0.13454987534999999</v>
      </c>
      <c r="F62" s="3">
        <v>0.135849</v>
      </c>
      <c r="G62" s="3">
        <v>2.0407155E-3</v>
      </c>
      <c r="H62" s="513">
        <v>6.01501935E-9</v>
      </c>
      <c r="I62" s="3">
        <v>7.9654902999999992E-3</v>
      </c>
      <c r="J62" s="3">
        <v>46.598300000000002</v>
      </c>
      <c r="K62" s="513">
        <v>1.2884292254599999E-9</v>
      </c>
      <c r="L62" s="3">
        <v>0.13454987534999999</v>
      </c>
      <c r="M62" s="3">
        <v>0.2</v>
      </c>
      <c r="N62" s="3">
        <v>1.1730973632399999</v>
      </c>
      <c r="O62" s="3">
        <v>6.9847490523599998</v>
      </c>
      <c r="P62" s="3">
        <v>6.3303324566499999</v>
      </c>
      <c r="Q62" s="99">
        <v>7.5</v>
      </c>
      <c r="R62" s="512">
        <v>4.9240599999999999</v>
      </c>
      <c r="S62" s="510">
        <v>41</v>
      </c>
    </row>
    <row r="63" spans="1:19" x14ac:dyDescent="0.25">
      <c r="A63" s="3">
        <v>26</v>
      </c>
      <c r="B63" s="3" t="s">
        <v>1059</v>
      </c>
      <c r="C63" s="3">
        <v>1.88123</v>
      </c>
      <c r="D63" s="513">
        <v>5.5136040500000002E-12</v>
      </c>
      <c r="E63" s="3">
        <v>0.13454987534999999</v>
      </c>
      <c r="F63" s="3">
        <v>0.135849</v>
      </c>
      <c r="G63" s="3">
        <v>2.0407155E-3</v>
      </c>
      <c r="H63" s="513">
        <v>6.01501935E-9</v>
      </c>
      <c r="I63" s="3">
        <v>7.9654902999999992E-3</v>
      </c>
      <c r="J63" s="3">
        <v>44.228200000000001</v>
      </c>
      <c r="K63" s="513">
        <v>1.76772266679E-9</v>
      </c>
      <c r="L63" s="3">
        <v>0.13454987534999999</v>
      </c>
      <c r="M63" s="3">
        <v>0.23</v>
      </c>
      <c r="N63" s="3">
        <v>1.2161611109299999</v>
      </c>
      <c r="O63" s="3">
        <v>6.6294881581</v>
      </c>
      <c r="P63" s="3">
        <v>6.0083567417500001</v>
      </c>
      <c r="Q63" s="99">
        <v>7.61</v>
      </c>
      <c r="R63" s="512">
        <v>5.1493099999999998</v>
      </c>
      <c r="S63" s="510">
        <v>35</v>
      </c>
    </row>
    <row r="64" spans="1:19" x14ac:dyDescent="0.25">
      <c r="A64" s="3">
        <v>27</v>
      </c>
      <c r="B64" s="3" t="s">
        <v>1060</v>
      </c>
      <c r="C64" s="3">
        <v>1.9421999999999999</v>
      </c>
      <c r="D64" s="513">
        <v>5.5136040500000002E-12</v>
      </c>
      <c r="E64" s="3">
        <v>0.13454987534999999</v>
      </c>
      <c r="F64" s="3">
        <v>0.135849</v>
      </c>
      <c r="G64" s="3">
        <v>2.0407155E-3</v>
      </c>
      <c r="H64" s="513">
        <v>6.01501935E-9</v>
      </c>
      <c r="I64" s="3">
        <v>7.9654902999999992E-3</v>
      </c>
      <c r="J64" s="3">
        <v>48.262599999999999</v>
      </c>
      <c r="K64" s="513">
        <v>1.55401453028E-9</v>
      </c>
      <c r="L64" s="3">
        <v>0.13454987534999999</v>
      </c>
      <c r="M64" s="3">
        <v>0.24</v>
      </c>
      <c r="N64" s="3">
        <v>1.21809547809</v>
      </c>
      <c r="O64" s="3">
        <v>7.2342156176200003</v>
      </c>
      <c r="P64" s="3">
        <v>6.5564259473500002</v>
      </c>
      <c r="Q64" s="99">
        <v>7.83</v>
      </c>
      <c r="R64" s="512">
        <v>4.8314599999999999</v>
      </c>
      <c r="S64" s="510">
        <v>45</v>
      </c>
    </row>
    <row r="65" spans="1:19" x14ac:dyDescent="0.25">
      <c r="A65" s="3">
        <v>28</v>
      </c>
      <c r="B65" s="3" t="s">
        <v>1061</v>
      </c>
      <c r="C65" s="3">
        <v>0.684002</v>
      </c>
      <c r="D65" s="513">
        <v>1.6114762042E-12</v>
      </c>
      <c r="E65" s="3">
        <v>0.23358927500000001</v>
      </c>
      <c r="F65" s="3">
        <v>0.43614599999999998</v>
      </c>
      <c r="G65" s="3">
        <v>8.3788498999999995E-4</v>
      </c>
      <c r="H65" s="513">
        <v>6.2382031959999996E-10</v>
      </c>
      <c r="I65" s="3">
        <v>6.2319882999999996E-3</v>
      </c>
      <c r="J65" s="3">
        <v>4.9536800000000003</v>
      </c>
      <c r="K65" s="513">
        <v>1.3295237110600001E-8</v>
      </c>
      <c r="L65" s="3">
        <v>0.23358927500000001</v>
      </c>
      <c r="M65" s="3">
        <v>0.21</v>
      </c>
      <c r="N65" s="3">
        <v>1.2551351502899999</v>
      </c>
      <c r="O65" s="3">
        <v>2.3838785765399999</v>
      </c>
      <c r="P65" s="3">
        <v>2.1605277172699999</v>
      </c>
      <c r="Q65" s="99">
        <v>8.66</v>
      </c>
      <c r="R65" s="512">
        <v>3.5615299999999999</v>
      </c>
      <c r="S65" s="510">
        <v>4</v>
      </c>
    </row>
    <row r="66" spans="1:19" x14ac:dyDescent="0.25">
      <c r="A66" s="3">
        <v>29</v>
      </c>
      <c r="B66" s="3" t="s">
        <v>1062</v>
      </c>
      <c r="C66" s="3">
        <v>1.3325400000000001</v>
      </c>
      <c r="D66" s="513">
        <v>5.5136040500000002E-12</v>
      </c>
      <c r="E66" s="3">
        <v>0.13454987534999999</v>
      </c>
      <c r="F66" s="3">
        <v>0.135849</v>
      </c>
      <c r="G66" s="3">
        <v>2.0407155E-3</v>
      </c>
      <c r="H66" s="513">
        <v>6.01501935E-9</v>
      </c>
      <c r="I66" s="3">
        <v>7.9654902999999992E-3</v>
      </c>
      <c r="J66" s="3">
        <v>26.420100000000001</v>
      </c>
      <c r="K66" s="513">
        <v>3.9343633375500003E-9</v>
      </c>
      <c r="L66" s="3">
        <v>0.13454987534999999</v>
      </c>
      <c r="M66" s="3">
        <v>0.18</v>
      </c>
      <c r="N66" s="3">
        <v>1.2251355342900001</v>
      </c>
      <c r="O66" s="3">
        <v>3.9601824194900002</v>
      </c>
      <c r="P66" s="3">
        <v>3.58914416487</v>
      </c>
      <c r="Q66" s="99">
        <v>5.77</v>
      </c>
      <c r="R66" s="512">
        <v>2.34083</v>
      </c>
      <c r="S66" s="510">
        <v>59</v>
      </c>
    </row>
    <row r="67" spans="1:19" x14ac:dyDescent="0.25">
      <c r="A67" s="3">
        <v>30</v>
      </c>
      <c r="B67" s="3" t="s">
        <v>1063</v>
      </c>
      <c r="C67" s="3">
        <v>5.3</v>
      </c>
      <c r="D67" s="513">
        <v>2.5178814714200001E-12</v>
      </c>
      <c r="E67" s="3">
        <v>0.23401071087700001</v>
      </c>
      <c r="F67" s="3">
        <v>0.33009708738100002</v>
      </c>
      <c r="G67" s="3">
        <v>2.04094332432E-3</v>
      </c>
      <c r="H67" s="513">
        <v>8.2385754856600003E-10</v>
      </c>
      <c r="I67" s="3">
        <v>2.2551958953800001E-2</v>
      </c>
      <c r="J67" s="3">
        <v>20.6</v>
      </c>
      <c r="K67" s="513">
        <v>1.00904331443E-9</v>
      </c>
      <c r="L67" s="3">
        <v>0.23401071087700001</v>
      </c>
      <c r="M67" s="3">
        <v>0.19</v>
      </c>
      <c r="N67" s="3">
        <v>1.1441402676600001</v>
      </c>
      <c r="O67" s="3">
        <v>7.5029698489400003</v>
      </c>
      <c r="P67" s="3">
        <v>6.8</v>
      </c>
      <c r="Q67" s="99">
        <v>5.7</v>
      </c>
      <c r="R67" s="512">
        <v>6.8</v>
      </c>
      <c r="S67" s="510">
        <v>12</v>
      </c>
    </row>
    <row r="68" spans="1:19" x14ac:dyDescent="0.25">
      <c r="A68" s="3">
        <v>31</v>
      </c>
      <c r="B68" s="3" t="s">
        <v>1064</v>
      </c>
      <c r="C68" s="3">
        <v>27</v>
      </c>
      <c r="D68" s="513">
        <v>6.8223456575500004E-12</v>
      </c>
      <c r="E68" s="3">
        <v>3.4154102231499998E-2</v>
      </c>
      <c r="F68" s="3">
        <v>0.13034188034300001</v>
      </c>
      <c r="G68" s="3">
        <v>2.03497892986E-3</v>
      </c>
      <c r="H68" s="513">
        <v>8.5068443051999995E-9</v>
      </c>
      <c r="I68" s="3">
        <v>6.26174175446E-3</v>
      </c>
      <c r="J68" s="3">
        <v>46.8</v>
      </c>
      <c r="K68" s="513">
        <v>2.9052593326700002E-10</v>
      </c>
      <c r="L68" s="3">
        <v>3.4154102231499998E-2</v>
      </c>
      <c r="M68" s="3">
        <v>0.05</v>
      </c>
      <c r="N68" s="3">
        <v>1.07356795365</v>
      </c>
      <c r="O68" s="3">
        <v>6.7306053056700001</v>
      </c>
      <c r="P68" s="3">
        <v>6.1</v>
      </c>
      <c r="Q68" s="99">
        <v>3.34</v>
      </c>
      <c r="R68" s="512">
        <v>6.1</v>
      </c>
      <c r="S68" s="510">
        <v>30</v>
      </c>
    </row>
    <row r="69" spans="1:19" x14ac:dyDescent="0.25">
      <c r="A69" s="3">
        <v>32</v>
      </c>
      <c r="B69" s="3" t="s">
        <v>1066</v>
      </c>
      <c r="C69" s="3">
        <v>1.53</v>
      </c>
      <c r="D69" s="513">
        <v>2.4454409360899998E-12</v>
      </c>
      <c r="E69" s="3">
        <v>0.23461490039300001</v>
      </c>
      <c r="F69" s="3">
        <v>0.200998185119</v>
      </c>
      <c r="G69" s="3">
        <v>2.0638926187099998E-3</v>
      </c>
      <c r="H69" s="513">
        <v>8.7663187644300001E-10</v>
      </c>
      <c r="I69" s="3">
        <v>2.07705597693E-2</v>
      </c>
      <c r="J69" s="3">
        <v>22.04</v>
      </c>
      <c r="K69" s="513">
        <v>4.0601160868300003E-9</v>
      </c>
      <c r="L69" s="3">
        <v>0.23461490039300001</v>
      </c>
      <c r="M69" s="3">
        <v>0.28999999999999998</v>
      </c>
      <c r="N69" s="3">
        <v>1.2102252414500001</v>
      </c>
      <c r="O69" s="3">
        <v>4.8879641810000001</v>
      </c>
      <c r="P69" s="3">
        <v>4.43</v>
      </c>
      <c r="Q69" s="99">
        <v>5.81</v>
      </c>
      <c r="R69" s="512">
        <v>4.43</v>
      </c>
    </row>
    <row r="70" spans="1:19" x14ac:dyDescent="0.25">
      <c r="A70" s="3">
        <v>33</v>
      </c>
      <c r="B70" s="3" t="s">
        <v>1065</v>
      </c>
      <c r="C70" s="3">
        <v>4.0640700000000001</v>
      </c>
      <c r="D70" s="513">
        <v>5.5136040500000002E-12</v>
      </c>
      <c r="E70" s="3">
        <v>0.13454987534999999</v>
      </c>
      <c r="F70" s="3">
        <v>0.135849</v>
      </c>
      <c r="G70" s="3">
        <v>2.0407155E-3</v>
      </c>
      <c r="H70" s="513">
        <v>6.01501935E-9</v>
      </c>
      <c r="I70" s="3">
        <v>7.9654902999999992E-3</v>
      </c>
      <c r="J70" s="3">
        <v>36.603200000000001</v>
      </c>
      <c r="K70" s="513">
        <v>1.62929758501E-9</v>
      </c>
      <c r="L70" s="3">
        <v>0.13454987534999999</v>
      </c>
      <c r="M70" s="3">
        <v>0.16</v>
      </c>
      <c r="N70" s="3">
        <v>1.15853182962</v>
      </c>
      <c r="O70" s="3">
        <v>5.4865556579000003</v>
      </c>
      <c r="P70" s="3">
        <v>4.9725081167600003</v>
      </c>
      <c r="Q70" s="99">
        <v>5.9</v>
      </c>
      <c r="R70" s="512">
        <v>3.6018400000000002</v>
      </c>
      <c r="S70" s="510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"/>
  <sheetViews>
    <sheetView workbookViewId="0">
      <selection activeCell="J46" sqref="J46"/>
    </sheetView>
  </sheetViews>
  <sheetFormatPr defaultRowHeight="15" x14ac:dyDescent="0.25"/>
  <cols>
    <col min="1" max="1" width="4.28515625" style="3" customWidth="1"/>
    <col min="2" max="2" width="12.28515625" customWidth="1"/>
    <col min="3" max="3" width="13.7109375" style="3" customWidth="1"/>
    <col min="4" max="12" width="10.42578125" style="3" customWidth="1"/>
    <col min="13" max="14" width="10.5703125" style="3" customWidth="1"/>
    <col min="15" max="16" width="13.7109375" style="3" customWidth="1"/>
    <col min="17" max="21" width="11.42578125" style="3" customWidth="1"/>
  </cols>
  <sheetData>
    <row r="1" spans="1:21" x14ac:dyDescent="0.25">
      <c r="A1" s="3" t="s">
        <v>1117</v>
      </c>
      <c r="B1" s="290" t="s">
        <v>1090</v>
      </c>
      <c r="C1" s="3" t="s">
        <v>1089</v>
      </c>
      <c r="D1" s="3" t="s">
        <v>39</v>
      </c>
      <c r="E1" s="3" t="s">
        <v>74</v>
      </c>
      <c r="F1" s="3" t="s">
        <v>1088</v>
      </c>
      <c r="G1" s="3" t="s">
        <v>1087</v>
      </c>
      <c r="H1" s="3" t="s">
        <v>72</v>
      </c>
      <c r="I1" s="3" t="s">
        <v>1086</v>
      </c>
      <c r="J1" s="3" t="s">
        <v>1085</v>
      </c>
      <c r="K1" s="3" t="s">
        <v>1084</v>
      </c>
      <c r="L1" s="3" t="s">
        <v>76</v>
      </c>
      <c r="M1" s="3" t="s">
        <v>1083</v>
      </c>
      <c r="N1" s="3" t="s">
        <v>1082</v>
      </c>
      <c r="O1" s="3" t="s">
        <v>1081</v>
      </c>
      <c r="P1" s="3" t="s">
        <v>1080</v>
      </c>
      <c r="Q1" s="3" t="s">
        <v>1078</v>
      </c>
      <c r="R1" s="3" t="s">
        <v>1079</v>
      </c>
      <c r="S1" s="3" t="s">
        <v>1118</v>
      </c>
      <c r="T1" s="3" t="s">
        <v>1119</v>
      </c>
      <c r="U1" s="3" t="s">
        <v>1120</v>
      </c>
    </row>
    <row r="2" spans="1:21" x14ac:dyDescent="0.25">
      <c r="A2" s="3">
        <v>0</v>
      </c>
      <c r="B2" s="290" t="s">
        <v>1076</v>
      </c>
      <c r="C2" s="558">
        <v>2.7582200000000001</v>
      </c>
      <c r="D2" s="558">
        <v>1.62E-12</v>
      </c>
      <c r="E2" s="558">
        <v>0.23113331300000001</v>
      </c>
      <c r="F2" s="558">
        <v>0.16965844099999999</v>
      </c>
      <c r="G2" s="558">
        <v>2.0556110000000002E-3</v>
      </c>
      <c r="H2" s="558">
        <v>6.7299999999999995E-10</v>
      </c>
      <c r="I2" s="558">
        <v>1.8034474000000002E-2</v>
      </c>
      <c r="J2" s="558">
        <v>10.3584</v>
      </c>
      <c r="K2" s="558">
        <v>8.4100000000000005E-9</v>
      </c>
      <c r="L2" s="558">
        <v>0.23113331300000001</v>
      </c>
      <c r="M2" s="558">
        <v>0.1</v>
      </c>
      <c r="N2" s="558">
        <v>1.176344802</v>
      </c>
      <c r="O2" s="558">
        <v>1.939065321</v>
      </c>
      <c r="P2" s="558">
        <v>1.75739</v>
      </c>
      <c r="Q2" s="558">
        <v>1.75739</v>
      </c>
      <c r="R2" s="558">
        <v>1.1499999999999999</v>
      </c>
      <c r="S2" s="558">
        <v>2.7294510000000001E-2</v>
      </c>
      <c r="T2" s="558">
        <v>7.3599800000000007E-2</v>
      </c>
      <c r="U2" s="558">
        <v>2.696505589</v>
      </c>
    </row>
    <row r="3" spans="1:21" x14ac:dyDescent="0.25">
      <c r="A3" s="3">
        <v>1</v>
      </c>
      <c r="B3" s="290" t="s">
        <v>1075</v>
      </c>
      <c r="C3" s="558">
        <v>1.51728</v>
      </c>
      <c r="D3" s="558">
        <v>4.4399999999999997E-12</v>
      </c>
      <c r="E3" s="558">
        <v>0.21664031</v>
      </c>
      <c r="F3" s="558">
        <v>0.14035199700000001</v>
      </c>
      <c r="G3" s="558">
        <v>2.045406E-3</v>
      </c>
      <c r="H3" s="558">
        <v>3.9799999999999999E-9</v>
      </c>
      <c r="I3" s="558">
        <v>9.3585909999999994E-3</v>
      </c>
      <c r="J3" s="558">
        <v>14.102399999999999</v>
      </c>
      <c r="K3" s="558">
        <v>3.5499999999999999E-9</v>
      </c>
      <c r="L3" s="558">
        <v>0.21664031</v>
      </c>
      <c r="M3" s="558">
        <v>0.05</v>
      </c>
      <c r="N3" s="558">
        <v>1.21788049</v>
      </c>
      <c r="O3" s="558">
        <v>2.183915915</v>
      </c>
      <c r="P3" s="558">
        <v>1.9793000000000001</v>
      </c>
      <c r="Q3" s="558">
        <v>1.9793000000000001</v>
      </c>
      <c r="R3" s="558">
        <v>3.21</v>
      </c>
      <c r="S3" s="558">
        <v>1.8705320679999999</v>
      </c>
      <c r="T3" s="558">
        <v>41.871200000000002</v>
      </c>
      <c r="U3" s="558">
        <v>22.384646969999999</v>
      </c>
    </row>
    <row r="4" spans="1:21" x14ac:dyDescent="0.25">
      <c r="A4" s="3">
        <v>2</v>
      </c>
      <c r="B4" s="290" t="s">
        <v>1074</v>
      </c>
      <c r="C4" s="558">
        <v>1.1796500000000001</v>
      </c>
      <c r="D4" s="558">
        <v>5.5099999999999997E-12</v>
      </c>
      <c r="E4" s="558">
        <v>0.13454987500000001</v>
      </c>
      <c r="F4" s="558">
        <v>0.135849</v>
      </c>
      <c r="G4" s="558">
        <v>2.0407160000000001E-3</v>
      </c>
      <c r="H4" s="558">
        <v>6.0200000000000003E-9</v>
      </c>
      <c r="I4" s="558">
        <v>7.9654900000000004E-3</v>
      </c>
      <c r="J4" s="558">
        <v>12.777900000000001</v>
      </c>
      <c r="K4" s="558">
        <v>1.3000000000000001E-8</v>
      </c>
      <c r="L4" s="558">
        <v>0.13454987500000001</v>
      </c>
      <c r="M4" s="558">
        <v>0.14000000000000001</v>
      </c>
      <c r="N4" s="558">
        <v>1.222079167</v>
      </c>
      <c r="O4" s="558">
        <v>1.915315042</v>
      </c>
      <c r="P4" s="558">
        <v>1.7358649370000001</v>
      </c>
      <c r="Q4" s="558">
        <v>1.30958</v>
      </c>
      <c r="R4" s="558">
        <v>5.37</v>
      </c>
      <c r="S4" s="558">
        <v>5.0255043710000002</v>
      </c>
      <c r="T4" s="558">
        <v>61.1203</v>
      </c>
      <c r="U4" s="558">
        <v>12.16202305</v>
      </c>
    </row>
    <row r="5" spans="1:21" x14ac:dyDescent="0.25">
      <c r="A5" s="3">
        <v>3</v>
      </c>
      <c r="B5" s="290" t="s">
        <v>1073</v>
      </c>
      <c r="C5" s="558">
        <v>7.3607300000000001E-2</v>
      </c>
      <c r="D5" s="558">
        <v>6.2299999999999999E-12</v>
      </c>
      <c r="E5" s="558">
        <v>7.9354566000000001E-2</v>
      </c>
      <c r="F5" s="558">
        <v>0.132821311</v>
      </c>
      <c r="G5" s="558">
        <v>2.0375620000000001E-3</v>
      </c>
      <c r="H5" s="558">
        <v>7.3799999999999997E-9</v>
      </c>
      <c r="I5" s="558">
        <v>7.0288080000000001E-3</v>
      </c>
      <c r="J5" s="558">
        <v>8.9110700000000005</v>
      </c>
      <c r="K5" s="558">
        <v>4.4599999999999999E-9</v>
      </c>
      <c r="L5" s="558">
        <v>7.9354566000000001E-2</v>
      </c>
      <c r="M5" s="558">
        <v>0.14000000000000001</v>
      </c>
      <c r="N5" s="558">
        <v>0.48753948499999999</v>
      </c>
      <c r="O5" s="558">
        <v>1.3059360369999999</v>
      </c>
      <c r="P5" s="558">
        <v>1.1835800000000001</v>
      </c>
      <c r="Q5" s="558">
        <v>1.1835800000000001</v>
      </c>
      <c r="R5" s="558">
        <v>5.73</v>
      </c>
      <c r="S5" s="558">
        <v>73.106661099999997</v>
      </c>
      <c r="T5" s="558">
        <v>2240000000000</v>
      </c>
      <c r="U5" s="558">
        <v>30628946341</v>
      </c>
    </row>
    <row r="6" spans="1:21" x14ac:dyDescent="0.25">
      <c r="A6" s="3">
        <v>4</v>
      </c>
      <c r="B6" s="290" t="s">
        <v>1072</v>
      </c>
      <c r="C6" s="558">
        <v>4.1158200000000003</v>
      </c>
      <c r="D6" s="558">
        <v>2.2100000000000001E-12</v>
      </c>
      <c r="E6" s="558">
        <v>0.23381585299999999</v>
      </c>
      <c r="F6" s="558">
        <v>0.18711791</v>
      </c>
      <c r="G6" s="558">
        <v>2.0562470000000002E-3</v>
      </c>
      <c r="H6" s="558">
        <v>8.3200000000000002E-10</v>
      </c>
      <c r="I6" s="558">
        <v>1.9707848E-2</v>
      </c>
      <c r="J6" s="558">
        <v>13.4916</v>
      </c>
      <c r="K6" s="558">
        <v>4.3699999999999996E-9</v>
      </c>
      <c r="L6" s="558">
        <v>0.23381585299999999</v>
      </c>
      <c r="M6" s="558">
        <v>0.11</v>
      </c>
      <c r="N6" s="558">
        <v>1.1623133919999999</v>
      </c>
      <c r="O6" s="558">
        <v>2.7854996239999998</v>
      </c>
      <c r="P6" s="558">
        <v>2.5245199999999999</v>
      </c>
      <c r="Q6" s="558">
        <v>2.5245199999999999</v>
      </c>
      <c r="R6" s="558">
        <v>4.0999999999999996</v>
      </c>
      <c r="S6" s="558">
        <v>1.1924780049999999</v>
      </c>
      <c r="T6" s="558">
        <v>2.8407900000000001</v>
      </c>
      <c r="U6" s="558">
        <v>2.3822577759999999</v>
      </c>
    </row>
    <row r="7" spans="1:21" x14ac:dyDescent="0.25">
      <c r="A7" s="3">
        <v>5</v>
      </c>
      <c r="B7" s="290" t="s">
        <v>1071</v>
      </c>
      <c r="C7" s="558">
        <v>1.0544800000000001</v>
      </c>
      <c r="D7" s="558">
        <v>1.61E-12</v>
      </c>
      <c r="E7" s="558">
        <v>0.23358927500000001</v>
      </c>
      <c r="F7" s="558">
        <v>0.43614599999999998</v>
      </c>
      <c r="G7" s="558">
        <v>8.3788500000000002E-4</v>
      </c>
      <c r="H7" s="558">
        <v>6.2400000000000002E-10</v>
      </c>
      <c r="I7" s="558">
        <v>6.2319879999999999E-3</v>
      </c>
      <c r="J7" s="558">
        <v>3.2160500000000001</v>
      </c>
      <c r="K7" s="558">
        <v>2.6000000000000001E-8</v>
      </c>
      <c r="L7" s="558">
        <v>0.23358927500000001</v>
      </c>
      <c r="M7" s="558">
        <v>0.18</v>
      </c>
      <c r="N7" s="558">
        <v>1.231026513</v>
      </c>
      <c r="O7" s="558">
        <v>1.5476721739999999</v>
      </c>
      <c r="P7" s="558">
        <v>1.4026673430000001</v>
      </c>
      <c r="Q7" s="558">
        <v>3.3755799999999998</v>
      </c>
      <c r="R7" s="558">
        <v>3.72</v>
      </c>
      <c r="S7" s="558">
        <v>0.27994535300000001</v>
      </c>
      <c r="T7" s="558">
        <v>171220</v>
      </c>
      <c r="U7" s="558">
        <v>611619.36930000002</v>
      </c>
    </row>
    <row r="8" spans="1:21" x14ac:dyDescent="0.25">
      <c r="A8" s="3">
        <v>6</v>
      </c>
      <c r="B8" s="290" t="s">
        <v>1070</v>
      </c>
      <c r="C8" s="558">
        <v>2.54589</v>
      </c>
      <c r="D8" s="558">
        <v>2.9299999999999998E-12</v>
      </c>
      <c r="E8" s="558">
        <v>0.25136471900000001</v>
      </c>
      <c r="F8" s="558">
        <v>0.14943716400000001</v>
      </c>
      <c r="G8" s="558">
        <v>2.0515170000000001E-3</v>
      </c>
      <c r="H8" s="558">
        <v>1.9300000000000002E-9</v>
      </c>
      <c r="I8" s="558">
        <v>1.2604011E-2</v>
      </c>
      <c r="J8" s="558">
        <v>14.0627</v>
      </c>
      <c r="K8" s="558">
        <v>9.6799999999999997E-9</v>
      </c>
      <c r="L8" s="558">
        <v>0.25136471900000001</v>
      </c>
      <c r="M8" s="558">
        <v>0.16</v>
      </c>
      <c r="N8" s="558">
        <v>1.193189023</v>
      </c>
      <c r="O8" s="558">
        <v>2.3187376629999998</v>
      </c>
      <c r="P8" s="558">
        <v>2.1014900000000001</v>
      </c>
      <c r="Q8" s="558">
        <v>2.1014900000000001</v>
      </c>
      <c r="R8" s="558">
        <v>5.03</v>
      </c>
      <c r="S8" s="558">
        <v>2.4625382519999999</v>
      </c>
      <c r="T8" s="558">
        <v>5.4614900000000004</v>
      </c>
      <c r="U8" s="558">
        <v>2.2178295079999999</v>
      </c>
    </row>
    <row r="9" spans="1:21" x14ac:dyDescent="0.25">
      <c r="A9" s="3">
        <v>7</v>
      </c>
      <c r="B9" s="290" t="s">
        <v>1043</v>
      </c>
      <c r="C9" s="558">
        <v>0.925037</v>
      </c>
      <c r="D9" s="558">
        <v>5.5099999999999997E-12</v>
      </c>
      <c r="E9" s="558">
        <v>0.13454987500000001</v>
      </c>
      <c r="F9" s="558">
        <v>0.135849</v>
      </c>
      <c r="G9" s="558">
        <v>2.0407160000000001E-3</v>
      </c>
      <c r="H9" s="558">
        <v>6.0200000000000003E-9</v>
      </c>
      <c r="I9" s="558">
        <v>7.9654900000000004E-3</v>
      </c>
      <c r="J9" s="558">
        <v>17.433800000000002</v>
      </c>
      <c r="K9" s="558">
        <v>1.16E-8</v>
      </c>
      <c r="L9" s="558">
        <v>0.13454987500000001</v>
      </c>
      <c r="M9" s="558">
        <v>0.22</v>
      </c>
      <c r="N9" s="558">
        <v>1.255229003</v>
      </c>
      <c r="O9" s="558">
        <v>2.6132008679999998</v>
      </c>
      <c r="P9" s="558">
        <v>2.3683642960000002</v>
      </c>
      <c r="Q9" s="558">
        <v>2.0217499999999999</v>
      </c>
      <c r="R9" s="558">
        <v>5.52</v>
      </c>
      <c r="S9" s="558">
        <v>7.5822155049999997</v>
      </c>
      <c r="T9" s="558">
        <v>488.93099999999998</v>
      </c>
      <c r="U9" s="558">
        <v>64.483922890000002</v>
      </c>
    </row>
    <row r="10" spans="1:21" x14ac:dyDescent="0.25">
      <c r="A10" s="3">
        <v>8</v>
      </c>
      <c r="B10" s="290" t="s">
        <v>1069</v>
      </c>
      <c r="C10" s="558">
        <v>0.54577399999999998</v>
      </c>
      <c r="D10" s="558">
        <v>1.8399999999999998E-12</v>
      </c>
      <c r="E10" s="558">
        <v>0.23242707100000001</v>
      </c>
      <c r="F10" s="558">
        <v>0.25400314299999999</v>
      </c>
      <c r="G10" s="558">
        <v>2.0538430000000001E-3</v>
      </c>
      <c r="H10" s="558">
        <v>5.98E-10</v>
      </c>
      <c r="I10" s="558">
        <v>2.2840177999999999E-2</v>
      </c>
      <c r="J10" s="558">
        <v>14.0627</v>
      </c>
      <c r="K10" s="558">
        <v>6.6800000000000001E-9</v>
      </c>
      <c r="L10" s="558">
        <v>0.23242707100000001</v>
      </c>
      <c r="M10" s="558">
        <v>0.28000000000000003</v>
      </c>
      <c r="N10" s="558">
        <v>1.27389961</v>
      </c>
      <c r="O10" s="558">
        <v>3.9412328250000002</v>
      </c>
      <c r="P10" s="558">
        <v>3.5719699999999999</v>
      </c>
      <c r="Q10" s="558">
        <v>3.5719699999999999</v>
      </c>
      <c r="R10" s="558">
        <v>5.03</v>
      </c>
      <c r="S10" s="558">
        <v>1.7023964650000001</v>
      </c>
      <c r="T10" s="558">
        <v>2.5230800000000002</v>
      </c>
      <c r="U10" s="558">
        <v>1.4820754460000001</v>
      </c>
    </row>
    <row r="11" spans="1:21" x14ac:dyDescent="0.25">
      <c r="A11" s="3">
        <v>9</v>
      </c>
      <c r="B11" s="290" t="s">
        <v>1044</v>
      </c>
      <c r="C11" s="558">
        <v>10.087999999999999</v>
      </c>
      <c r="D11" s="558">
        <v>2.0499999999999999E-12</v>
      </c>
      <c r="E11" s="558">
        <v>0.23302636600000001</v>
      </c>
      <c r="F11" s="558">
        <v>0.18271962899999999</v>
      </c>
      <c r="G11" s="558">
        <v>2.0556110000000002E-3</v>
      </c>
      <c r="H11" s="558">
        <v>7.8599999999999997E-10</v>
      </c>
      <c r="I11" s="558">
        <v>1.9348985999999999E-2</v>
      </c>
      <c r="J11" s="558">
        <v>18.315000000000001</v>
      </c>
      <c r="K11" s="558">
        <v>1.03E-9</v>
      </c>
      <c r="L11" s="558">
        <v>0.23302636600000001</v>
      </c>
      <c r="M11" s="558">
        <v>0.05</v>
      </c>
      <c r="N11" s="558">
        <v>1.111032507</v>
      </c>
      <c r="O11" s="558">
        <v>3.6924652400000002</v>
      </c>
      <c r="P11" s="558">
        <v>3.3465099999999999</v>
      </c>
      <c r="Q11" s="558">
        <v>3.3465099999999999</v>
      </c>
      <c r="R11" s="558">
        <v>5.65</v>
      </c>
      <c r="S11" s="558">
        <v>158.01655260000001</v>
      </c>
      <c r="T11" s="558">
        <v>39.040700000000001</v>
      </c>
      <c r="U11" s="558">
        <v>0.24706715400000001</v>
      </c>
    </row>
    <row r="12" spans="1:21" x14ac:dyDescent="0.25">
      <c r="A12" s="3">
        <v>10</v>
      </c>
      <c r="B12" s="290" t="s">
        <v>1068</v>
      </c>
      <c r="C12" s="558">
        <v>0.50603900000000002</v>
      </c>
      <c r="D12" s="558">
        <v>1.9E-12</v>
      </c>
      <c r="E12" s="558">
        <v>0.23280120800000001</v>
      </c>
      <c r="F12" s="558">
        <v>0.25694131999999997</v>
      </c>
      <c r="G12" s="558">
        <v>2.0553730000000001E-3</v>
      </c>
      <c r="H12" s="558">
        <v>6.1800000000000004E-10</v>
      </c>
      <c r="I12" s="558">
        <v>2.2848982E-2</v>
      </c>
      <c r="J12" s="558">
        <v>20.669699999999999</v>
      </c>
      <c r="K12" s="558">
        <v>2.16E-9</v>
      </c>
      <c r="L12" s="558">
        <v>0.23280120800000001</v>
      </c>
      <c r="M12" s="558">
        <v>0.2</v>
      </c>
      <c r="N12" s="558">
        <v>1.275176506</v>
      </c>
      <c r="O12" s="558">
        <v>5.8599297899999998</v>
      </c>
      <c r="P12" s="558">
        <v>5.3109000000000002</v>
      </c>
      <c r="Q12" s="558">
        <v>5.3109000000000002</v>
      </c>
      <c r="R12" s="558">
        <v>4.8499999999999996</v>
      </c>
      <c r="S12" s="558">
        <v>7.992985</v>
      </c>
      <c r="T12" s="558">
        <v>11.914300000000001</v>
      </c>
      <c r="U12" s="558">
        <v>1.4905945650000001</v>
      </c>
    </row>
    <row r="13" spans="1:21" x14ac:dyDescent="0.25">
      <c r="A13" s="3">
        <v>11</v>
      </c>
      <c r="B13" s="290" t="s">
        <v>1045</v>
      </c>
      <c r="C13" s="558">
        <v>3.2484799999999998</v>
      </c>
      <c r="D13" s="558">
        <v>5.5099999999999997E-12</v>
      </c>
      <c r="E13" s="558">
        <v>0.13454987500000001</v>
      </c>
      <c r="F13" s="558">
        <v>0.135849</v>
      </c>
      <c r="G13" s="558">
        <v>2.0407160000000001E-3</v>
      </c>
      <c r="H13" s="558">
        <v>6.0200000000000003E-9</v>
      </c>
      <c r="I13" s="558">
        <v>7.9654900000000004E-3</v>
      </c>
      <c r="J13" s="558">
        <v>16.5016</v>
      </c>
      <c r="K13" s="558">
        <v>1.02E-8</v>
      </c>
      <c r="L13" s="558">
        <v>0.13454987500000001</v>
      </c>
      <c r="M13" s="558">
        <v>0.2</v>
      </c>
      <c r="N13" s="558">
        <v>1.1674453520000001</v>
      </c>
      <c r="O13" s="558">
        <v>2.473470813</v>
      </c>
      <c r="P13" s="558">
        <v>2.2417258580000001</v>
      </c>
      <c r="Q13" s="558">
        <v>1.74533</v>
      </c>
      <c r="R13" s="558">
        <v>7.48</v>
      </c>
      <c r="S13" s="558">
        <v>240.42735540000001</v>
      </c>
      <c r="T13" s="558">
        <v>15661.5</v>
      </c>
      <c r="U13" s="558">
        <v>65.140258149999994</v>
      </c>
    </row>
    <row r="14" spans="1:21" x14ac:dyDescent="0.25">
      <c r="A14" s="3">
        <v>12</v>
      </c>
      <c r="B14" s="290" t="s">
        <v>1046</v>
      </c>
      <c r="C14" s="558">
        <v>1.53512</v>
      </c>
      <c r="D14" s="558">
        <v>1.7699999999999999E-12</v>
      </c>
      <c r="E14" s="558">
        <v>0.231984575</v>
      </c>
      <c r="F14" s="558">
        <v>0.25052812800000002</v>
      </c>
      <c r="G14" s="558">
        <v>2.052033E-3</v>
      </c>
      <c r="H14" s="558">
        <v>5.7499999999999998E-10</v>
      </c>
      <c r="I14" s="558">
        <v>2.2829764999999998E-2</v>
      </c>
      <c r="J14" s="558">
        <v>15.857900000000001</v>
      </c>
      <c r="K14" s="558">
        <v>4.9200000000000004E-9</v>
      </c>
      <c r="L14" s="558">
        <v>0.231984575</v>
      </c>
      <c r="M14" s="558">
        <v>0.28000000000000003</v>
      </c>
      <c r="N14" s="558">
        <v>1.2162790109999999</v>
      </c>
      <c r="O14" s="558">
        <v>4.3835549650000001</v>
      </c>
      <c r="P14" s="558">
        <v>3.9728500000000002</v>
      </c>
      <c r="Q14" s="558">
        <v>3.9728500000000002</v>
      </c>
      <c r="R14" s="558">
        <v>5.73</v>
      </c>
      <c r="S14" s="558">
        <v>7.5441244770000004</v>
      </c>
      <c r="T14" s="558">
        <v>13.8156</v>
      </c>
      <c r="U14" s="558">
        <v>1.8313059439999999</v>
      </c>
    </row>
    <row r="15" spans="1:21" x14ac:dyDescent="0.25">
      <c r="A15" s="3">
        <v>13</v>
      </c>
      <c r="B15" s="290" t="s">
        <v>1047</v>
      </c>
      <c r="C15" s="558">
        <v>1.88907</v>
      </c>
      <c r="D15" s="558">
        <v>2.4299999999999999E-12</v>
      </c>
      <c r="E15" s="558">
        <v>0.23442392000000001</v>
      </c>
      <c r="F15" s="558">
        <v>0.34430633500000002</v>
      </c>
      <c r="G15" s="558">
        <v>2.0335560000000002E-3</v>
      </c>
      <c r="H15" s="558">
        <v>7.9800000000000004E-10</v>
      </c>
      <c r="I15" s="558">
        <v>2.2446112000000001E-2</v>
      </c>
      <c r="J15" s="558">
        <v>15.511100000000001</v>
      </c>
      <c r="K15" s="558">
        <v>2.7099999999999999E-9</v>
      </c>
      <c r="L15" s="558">
        <v>0.23442392000000001</v>
      </c>
      <c r="M15" s="558">
        <v>0.28000000000000003</v>
      </c>
      <c r="N15" s="558">
        <v>1.2138688909999999</v>
      </c>
      <c r="O15" s="558">
        <v>5.8926670129999996</v>
      </c>
      <c r="P15" s="558">
        <v>5.3405699999999996</v>
      </c>
      <c r="Q15" s="558">
        <v>5.3405699999999996</v>
      </c>
      <c r="R15" s="558">
        <v>5.12</v>
      </c>
      <c r="S15" s="558">
        <v>8.4756284669999999</v>
      </c>
      <c r="T15" s="558">
        <v>11.712300000000001</v>
      </c>
      <c r="U15" s="558">
        <v>1.3818798269999999</v>
      </c>
    </row>
    <row r="16" spans="1:21" x14ac:dyDescent="0.25">
      <c r="A16" s="3">
        <v>14</v>
      </c>
      <c r="B16" s="290" t="s">
        <v>1067</v>
      </c>
      <c r="C16" s="558">
        <v>5.2148599999999998</v>
      </c>
      <c r="D16" s="558">
        <v>1.6799999999999999E-12</v>
      </c>
      <c r="E16" s="558">
        <v>0.23194525799999999</v>
      </c>
      <c r="F16" s="558">
        <v>0.166952355</v>
      </c>
      <c r="G16" s="558">
        <v>2.0556110000000002E-3</v>
      </c>
      <c r="H16" s="558">
        <v>7.19E-10</v>
      </c>
      <c r="I16" s="558">
        <v>1.7494243999999999E-2</v>
      </c>
      <c r="J16" s="558">
        <v>17.5716</v>
      </c>
      <c r="K16" s="558">
        <v>5.69E-9</v>
      </c>
      <c r="L16" s="558">
        <v>0.23194525799999999</v>
      </c>
      <c r="M16" s="558">
        <v>0.2</v>
      </c>
      <c r="N16" s="558">
        <v>1.142475766</v>
      </c>
      <c r="O16" s="558">
        <v>3.2368915309999999</v>
      </c>
      <c r="P16" s="558">
        <v>2.9336199999999999</v>
      </c>
      <c r="Q16" s="558">
        <v>2.9336199999999999</v>
      </c>
      <c r="R16" s="558">
        <v>6.61</v>
      </c>
      <c r="S16" s="558">
        <v>39.007149269999999</v>
      </c>
      <c r="T16" s="558">
        <v>220.23599999999999</v>
      </c>
      <c r="U16" s="558">
        <v>5.64604192</v>
      </c>
    </row>
    <row r="17" spans="1:21" x14ac:dyDescent="0.25">
      <c r="A17" s="3">
        <v>15</v>
      </c>
      <c r="B17" s="290" t="s">
        <v>1048</v>
      </c>
      <c r="C17" s="558">
        <v>1.79148</v>
      </c>
      <c r="D17" s="558">
        <v>5.5099999999999997E-12</v>
      </c>
      <c r="E17" s="558">
        <v>0.13454987500000001</v>
      </c>
      <c r="F17" s="558">
        <v>0.135849</v>
      </c>
      <c r="G17" s="558">
        <v>2.0407160000000001E-3</v>
      </c>
      <c r="H17" s="558">
        <v>6.0200000000000003E-9</v>
      </c>
      <c r="I17" s="558">
        <v>7.9654900000000004E-3</v>
      </c>
      <c r="J17" s="558">
        <v>32.362499999999997</v>
      </c>
      <c r="K17" s="558">
        <v>4.1100000000000001E-9</v>
      </c>
      <c r="L17" s="558">
        <v>0.13454987500000001</v>
      </c>
      <c r="M17" s="558">
        <v>0.28999999999999998</v>
      </c>
      <c r="N17" s="558">
        <v>1.2083665809999999</v>
      </c>
      <c r="O17" s="558">
        <v>4.8509053160000004</v>
      </c>
      <c r="P17" s="558">
        <v>4.3964132620000003</v>
      </c>
      <c r="Q17" s="558">
        <v>3.2660900000000002</v>
      </c>
      <c r="R17" s="558">
        <v>7.02</v>
      </c>
      <c r="S17" s="558">
        <v>633.93051490000005</v>
      </c>
      <c r="T17" s="558">
        <v>51558.6</v>
      </c>
      <c r="U17" s="558">
        <v>81.331626720000003</v>
      </c>
    </row>
    <row r="18" spans="1:21" x14ac:dyDescent="0.25">
      <c r="A18" s="3">
        <v>16</v>
      </c>
      <c r="B18" s="290" t="s">
        <v>1049</v>
      </c>
      <c r="C18" s="558">
        <v>3.5445099999999998</v>
      </c>
      <c r="D18" s="558">
        <v>1.61E-12</v>
      </c>
      <c r="E18" s="558">
        <v>0.23358927500000001</v>
      </c>
      <c r="F18" s="558">
        <v>0.43614599999999998</v>
      </c>
      <c r="G18" s="558">
        <v>8.3788500000000002E-4</v>
      </c>
      <c r="H18" s="558">
        <v>6.2400000000000002E-10</v>
      </c>
      <c r="I18" s="558">
        <v>6.2319879999999999E-3</v>
      </c>
      <c r="J18" s="558">
        <v>12.341100000000001</v>
      </c>
      <c r="K18" s="558">
        <v>2.5099999999999998E-9</v>
      </c>
      <c r="L18" s="558">
        <v>0.23358927500000001</v>
      </c>
      <c r="M18" s="558">
        <v>0.28000000000000003</v>
      </c>
      <c r="N18" s="558">
        <v>1.1766377029999999</v>
      </c>
      <c r="O18" s="558">
        <v>5.9389552620000003</v>
      </c>
      <c r="P18" s="558">
        <v>5.382521401</v>
      </c>
      <c r="Q18" s="558">
        <v>5.4746699999999997</v>
      </c>
      <c r="R18" s="558">
        <v>5.96</v>
      </c>
      <c r="S18" s="558">
        <v>187.71716649999999</v>
      </c>
      <c r="T18" s="558">
        <v>210000000</v>
      </c>
      <c r="U18" s="558">
        <v>1116179.2180000001</v>
      </c>
    </row>
    <row r="19" spans="1:21" x14ac:dyDescent="0.25">
      <c r="A19" s="3">
        <v>17</v>
      </c>
      <c r="B19" s="290" t="s">
        <v>1050</v>
      </c>
      <c r="C19" s="558">
        <v>1.90944</v>
      </c>
      <c r="D19" s="558">
        <v>5.5099999999999997E-12</v>
      </c>
      <c r="E19" s="558">
        <v>0.13454987500000001</v>
      </c>
      <c r="F19" s="558">
        <v>0.135849</v>
      </c>
      <c r="G19" s="558">
        <v>2.0407160000000001E-3</v>
      </c>
      <c r="H19" s="558">
        <v>6.0200000000000003E-9</v>
      </c>
      <c r="I19" s="558">
        <v>7.9654900000000004E-3</v>
      </c>
      <c r="J19" s="558">
        <v>28.066199999999998</v>
      </c>
      <c r="K19" s="558">
        <v>5.0099999999999999E-9</v>
      </c>
      <c r="L19" s="558">
        <v>0.13454987500000001</v>
      </c>
      <c r="M19" s="558">
        <v>0.27</v>
      </c>
      <c r="N19" s="558">
        <v>1.1988510189999999</v>
      </c>
      <c r="O19" s="558">
        <v>4.2069209360000004</v>
      </c>
      <c r="P19" s="558">
        <v>3.8127652040000002</v>
      </c>
      <c r="Q19" s="558">
        <v>3.18072</v>
      </c>
      <c r="R19" s="558">
        <v>7.17</v>
      </c>
      <c r="S19" s="558">
        <v>557.96796949999998</v>
      </c>
      <c r="T19" s="558">
        <v>53361.4</v>
      </c>
      <c r="U19" s="558">
        <v>95.635238790000002</v>
      </c>
    </row>
    <row r="20" spans="1:21" x14ac:dyDescent="0.25">
      <c r="A20" s="3">
        <v>18</v>
      </c>
      <c r="B20" s="290" t="s">
        <v>1051</v>
      </c>
      <c r="C20" s="558">
        <v>2.6154600000000001</v>
      </c>
      <c r="D20" s="558">
        <v>2.1400000000000002E-12</v>
      </c>
      <c r="E20" s="558">
        <v>0.23414954099999999</v>
      </c>
      <c r="F20" s="558">
        <v>0.26862768799999998</v>
      </c>
      <c r="G20" s="558">
        <v>2.0556110000000002E-3</v>
      </c>
      <c r="H20" s="558">
        <v>6.9499999999999998E-10</v>
      </c>
      <c r="I20" s="558">
        <v>2.287436E-2</v>
      </c>
      <c r="J20" s="558">
        <v>19.856999999999999</v>
      </c>
      <c r="K20" s="558">
        <v>2.6200000000000001E-9</v>
      </c>
      <c r="L20" s="558">
        <v>0.23414954099999999</v>
      </c>
      <c r="M20" s="558">
        <v>0.28000000000000003</v>
      </c>
      <c r="N20" s="558">
        <v>1.1905482629999999</v>
      </c>
      <c r="O20" s="558">
        <v>5.8855722930000001</v>
      </c>
      <c r="P20" s="558">
        <v>5.3341399999999997</v>
      </c>
      <c r="Q20" s="558">
        <v>5.3341399999999997</v>
      </c>
      <c r="R20" s="558">
        <v>6.17</v>
      </c>
      <c r="S20" s="558">
        <v>47.930002690000002</v>
      </c>
      <c r="T20" s="558">
        <v>71.922799999999995</v>
      </c>
      <c r="U20" s="558">
        <v>1.5005799280000001</v>
      </c>
    </row>
    <row r="21" spans="1:21" x14ac:dyDescent="0.25">
      <c r="A21" s="3">
        <v>19</v>
      </c>
      <c r="B21" s="290" t="s">
        <v>1052</v>
      </c>
      <c r="C21" s="558">
        <v>0.956901</v>
      </c>
      <c r="D21" s="558">
        <v>1.7699999999999999E-12</v>
      </c>
      <c r="E21" s="558">
        <v>0.231568203</v>
      </c>
      <c r="F21" s="558">
        <v>0.226700345</v>
      </c>
      <c r="G21" s="558">
        <v>2.0588889999999999E-3</v>
      </c>
      <c r="H21" s="558">
        <v>5.8900000000000003E-10</v>
      </c>
      <c r="I21" s="558">
        <v>2.2327394E-2</v>
      </c>
      <c r="J21" s="558">
        <v>18.587399999999999</v>
      </c>
      <c r="K21" s="558">
        <v>3.8700000000000001E-9</v>
      </c>
      <c r="L21" s="558">
        <v>0.231568203</v>
      </c>
      <c r="M21" s="558">
        <v>0.24</v>
      </c>
      <c r="N21" s="558">
        <v>1.2358553139999999</v>
      </c>
      <c r="O21" s="558">
        <v>4.6493807739999999</v>
      </c>
      <c r="P21" s="558">
        <v>4.2137700000000002</v>
      </c>
      <c r="Q21" s="558">
        <v>4.2137700000000002</v>
      </c>
      <c r="R21" s="558">
        <v>6.76</v>
      </c>
      <c r="S21" s="558">
        <v>65.617400180000004</v>
      </c>
      <c r="T21" s="558">
        <v>53.096400000000003</v>
      </c>
      <c r="U21" s="558">
        <v>0.80918170899999997</v>
      </c>
    </row>
    <row r="22" spans="1:21" x14ac:dyDescent="0.25">
      <c r="A22" s="3">
        <v>20</v>
      </c>
      <c r="B22" s="290" t="s">
        <v>1053</v>
      </c>
      <c r="C22" s="558">
        <v>1.8189</v>
      </c>
      <c r="D22" s="558">
        <v>5.5099999999999997E-12</v>
      </c>
      <c r="E22" s="558">
        <v>0.13454987500000001</v>
      </c>
      <c r="F22" s="558">
        <v>0.135849</v>
      </c>
      <c r="G22" s="558">
        <v>2.0407160000000001E-3</v>
      </c>
      <c r="H22" s="558">
        <v>6.0200000000000003E-9</v>
      </c>
      <c r="I22" s="558">
        <v>7.9654900000000004E-3</v>
      </c>
      <c r="J22" s="558">
        <v>33.046900000000001</v>
      </c>
      <c r="K22" s="558">
        <v>3.6300000000000001E-9</v>
      </c>
      <c r="L22" s="558">
        <v>0.13454987500000001</v>
      </c>
      <c r="M22" s="558">
        <v>0.27</v>
      </c>
      <c r="N22" s="558">
        <v>1.2024992839999999</v>
      </c>
      <c r="O22" s="558">
        <v>4.9534919400000001</v>
      </c>
      <c r="P22" s="558">
        <v>4.4893883179999996</v>
      </c>
      <c r="Q22" s="558">
        <v>3.73753</v>
      </c>
      <c r="R22" s="558">
        <v>7.26</v>
      </c>
      <c r="S22" s="558">
        <v>1244.195954</v>
      </c>
      <c r="T22" s="558">
        <v>159421</v>
      </c>
      <c r="U22" s="558">
        <v>128.13174599999999</v>
      </c>
    </row>
    <row r="23" spans="1:21" x14ac:dyDescent="0.25">
      <c r="A23" s="3">
        <v>21</v>
      </c>
      <c r="B23" s="290" t="s">
        <v>1054</v>
      </c>
      <c r="C23" s="558">
        <v>0.80492600000000003</v>
      </c>
      <c r="D23" s="558">
        <v>1.9100000000000001E-12</v>
      </c>
      <c r="E23" s="558">
        <v>0.232169662</v>
      </c>
      <c r="F23" s="558">
        <v>0.222286543</v>
      </c>
      <c r="G23" s="558">
        <v>2.0657850000000001E-3</v>
      </c>
      <c r="H23" s="558">
        <v>6.4199999999999995E-10</v>
      </c>
      <c r="I23" s="558">
        <v>2.2108468999999999E-2</v>
      </c>
      <c r="J23" s="558">
        <v>26.205500000000001</v>
      </c>
      <c r="K23" s="558">
        <v>1.9800000000000002E-9</v>
      </c>
      <c r="L23" s="558">
        <v>0.232169662</v>
      </c>
      <c r="M23" s="558">
        <v>0.23</v>
      </c>
      <c r="N23" s="558">
        <v>1.247088886</v>
      </c>
      <c r="O23" s="558">
        <v>6.4273198169999999</v>
      </c>
      <c r="P23" s="558">
        <v>5.8251299999999997</v>
      </c>
      <c r="Q23" s="558">
        <v>5.8251299999999997</v>
      </c>
      <c r="R23" s="558">
        <v>6.47</v>
      </c>
      <c r="S23" s="558">
        <v>145.93277090000001</v>
      </c>
      <c r="T23" s="558">
        <v>329.45600000000002</v>
      </c>
      <c r="U23" s="558">
        <v>2.257587504</v>
      </c>
    </row>
    <row r="24" spans="1:21" x14ac:dyDescent="0.25">
      <c r="A24" s="3">
        <v>22</v>
      </c>
      <c r="B24" s="290" t="s">
        <v>1055</v>
      </c>
      <c r="C24" s="558">
        <v>1.7557100000000001</v>
      </c>
      <c r="D24" s="558">
        <v>2.3900000000000001E-12</v>
      </c>
      <c r="E24" s="558">
        <v>0.234444863</v>
      </c>
      <c r="F24" s="558">
        <v>0.19645591900000001</v>
      </c>
      <c r="G24" s="558">
        <v>2.0611100000000001E-3</v>
      </c>
      <c r="H24" s="558">
        <v>8.6999999999999999E-10</v>
      </c>
      <c r="I24" s="558">
        <v>2.0426261000000001E-2</v>
      </c>
      <c r="J24" s="558">
        <v>18.204999999999998</v>
      </c>
      <c r="K24" s="558">
        <v>1.92E-9</v>
      </c>
      <c r="L24" s="558">
        <v>0.234444863</v>
      </c>
      <c r="M24" s="558">
        <v>0.09</v>
      </c>
      <c r="N24" s="558">
        <v>1.205630682</v>
      </c>
      <c r="O24" s="558">
        <v>3.9462090600000002</v>
      </c>
      <c r="P24" s="558">
        <v>3.5764800000000001</v>
      </c>
      <c r="Q24" s="558">
        <v>3.5764800000000001</v>
      </c>
      <c r="R24" s="558">
        <v>7.57</v>
      </c>
      <c r="S24" s="558">
        <v>1290.263148</v>
      </c>
      <c r="T24" s="558">
        <v>1586.21</v>
      </c>
      <c r="U24" s="558">
        <v>1.2293693750000001</v>
      </c>
    </row>
    <row r="25" spans="1:21" x14ac:dyDescent="0.25">
      <c r="A25" s="3">
        <v>23</v>
      </c>
      <c r="B25" s="290" t="s">
        <v>1056</v>
      </c>
      <c r="C25" s="558">
        <v>2.0263300000000002</v>
      </c>
      <c r="D25" s="558">
        <v>5.5099999999999997E-12</v>
      </c>
      <c r="E25" s="558">
        <v>0.13454987500000001</v>
      </c>
      <c r="F25" s="558">
        <v>0.135849</v>
      </c>
      <c r="G25" s="558">
        <v>2.0407160000000001E-3</v>
      </c>
      <c r="H25" s="558">
        <v>6.0200000000000003E-9</v>
      </c>
      <c r="I25" s="558">
        <v>7.9654900000000004E-3</v>
      </c>
      <c r="J25" s="558">
        <v>49.1</v>
      </c>
      <c r="K25" s="558">
        <v>1.6999999999999999E-9</v>
      </c>
      <c r="L25" s="558">
        <v>0.13454987500000001</v>
      </c>
      <c r="M25" s="558">
        <v>0.28000000000000003</v>
      </c>
      <c r="N25" s="558">
        <v>1.201468083</v>
      </c>
      <c r="O25" s="558">
        <v>7.3597358369999997</v>
      </c>
      <c r="P25" s="558">
        <v>6.6701858999999999</v>
      </c>
      <c r="Q25" s="558">
        <v>5.1386399999999997</v>
      </c>
      <c r="R25" s="558">
        <v>7.12</v>
      </c>
      <c r="S25" s="558">
        <v>4768.5289860000003</v>
      </c>
      <c r="T25" s="558">
        <v>370201</v>
      </c>
      <c r="U25" s="558">
        <v>77.634214049999997</v>
      </c>
    </row>
    <row r="26" spans="1:21" x14ac:dyDescent="0.25">
      <c r="A26" s="3">
        <v>24</v>
      </c>
      <c r="B26" s="290" t="s">
        <v>1057</v>
      </c>
      <c r="C26" s="558">
        <v>0.53548200000000001</v>
      </c>
      <c r="D26" s="558">
        <v>5.5099999999999997E-12</v>
      </c>
      <c r="E26" s="558">
        <v>0.13454987500000001</v>
      </c>
      <c r="F26" s="558">
        <v>0.135849</v>
      </c>
      <c r="G26" s="558">
        <v>2.0407160000000001E-3</v>
      </c>
      <c r="H26" s="558">
        <v>6.0200000000000003E-9</v>
      </c>
      <c r="I26" s="558">
        <v>7.9654900000000004E-3</v>
      </c>
      <c r="J26" s="558">
        <v>26.759399999999999</v>
      </c>
      <c r="K26" s="558">
        <v>4.8600000000000002E-9</v>
      </c>
      <c r="L26" s="558">
        <v>0.13454987500000001</v>
      </c>
      <c r="M26" s="558">
        <v>0.21</v>
      </c>
      <c r="N26" s="558">
        <v>1.277201896</v>
      </c>
      <c r="O26" s="558">
        <v>4.0110410419999996</v>
      </c>
      <c r="P26" s="558">
        <v>3.6352377310000001</v>
      </c>
      <c r="Q26" s="558">
        <v>3.0220799999999999</v>
      </c>
      <c r="R26" s="558">
        <v>8.3800000000000008</v>
      </c>
      <c r="S26" s="558">
        <v>5217.235823</v>
      </c>
      <c r="T26" s="558">
        <v>346.53300000000002</v>
      </c>
      <c r="U26" s="558">
        <v>6.6420804E-2</v>
      </c>
    </row>
    <row r="27" spans="1:21" x14ac:dyDescent="0.25">
      <c r="A27" s="3">
        <v>25</v>
      </c>
      <c r="B27" s="290" t="s">
        <v>1058</v>
      </c>
      <c r="C27" s="558">
        <v>4.02189</v>
      </c>
      <c r="D27" s="558">
        <v>5.5099999999999997E-12</v>
      </c>
      <c r="E27" s="558">
        <v>0.13454987500000001</v>
      </c>
      <c r="F27" s="558">
        <v>0.135849</v>
      </c>
      <c r="G27" s="558">
        <v>2.0407160000000001E-3</v>
      </c>
      <c r="H27" s="558">
        <v>6.0200000000000003E-9</v>
      </c>
      <c r="I27" s="558">
        <v>7.9654900000000004E-3</v>
      </c>
      <c r="J27" s="558">
        <v>46.598300000000002</v>
      </c>
      <c r="K27" s="558">
        <v>1.2900000000000001E-9</v>
      </c>
      <c r="L27" s="558">
        <v>0.13454987500000001</v>
      </c>
      <c r="M27" s="558">
        <v>0.2</v>
      </c>
      <c r="N27" s="558">
        <v>1.1730973629999999</v>
      </c>
      <c r="O27" s="558">
        <v>6.9847490519999997</v>
      </c>
      <c r="P27" s="558">
        <v>6.3303324569999999</v>
      </c>
      <c r="Q27" s="558">
        <v>4.9240599999999999</v>
      </c>
      <c r="R27" s="558">
        <v>7.5</v>
      </c>
      <c r="S27" s="558">
        <v>18293.15165</v>
      </c>
      <c r="T27" s="558">
        <v>463016</v>
      </c>
      <c r="U27" s="558">
        <v>25.31089279</v>
      </c>
    </row>
    <row r="28" spans="1:21" x14ac:dyDescent="0.25">
      <c r="A28" s="3">
        <v>26</v>
      </c>
      <c r="B28" s="290" t="s">
        <v>1059</v>
      </c>
      <c r="C28" s="558">
        <v>1.88123</v>
      </c>
      <c r="D28" s="558">
        <v>5.5099999999999997E-12</v>
      </c>
      <c r="E28" s="558">
        <v>0.13454987500000001</v>
      </c>
      <c r="F28" s="558">
        <v>0.135849</v>
      </c>
      <c r="G28" s="558">
        <v>2.0407160000000001E-3</v>
      </c>
      <c r="H28" s="558">
        <v>6.0200000000000003E-9</v>
      </c>
      <c r="I28" s="558">
        <v>7.9654900000000004E-3</v>
      </c>
      <c r="J28" s="558">
        <v>44.228200000000001</v>
      </c>
      <c r="K28" s="558">
        <v>1.7700000000000001E-9</v>
      </c>
      <c r="L28" s="558">
        <v>0.13454987500000001</v>
      </c>
      <c r="M28" s="558">
        <v>0.23</v>
      </c>
      <c r="N28" s="558">
        <v>1.2161611109999999</v>
      </c>
      <c r="O28" s="558">
        <v>6.629488158</v>
      </c>
      <c r="P28" s="558">
        <v>6.0083567420000001</v>
      </c>
      <c r="Q28" s="558">
        <v>5.1493099999999998</v>
      </c>
      <c r="R28" s="558">
        <v>7.61</v>
      </c>
      <c r="S28" s="558">
        <v>10635.19802</v>
      </c>
      <c r="T28" s="558">
        <v>863690</v>
      </c>
      <c r="U28" s="558">
        <v>81.210523589999994</v>
      </c>
    </row>
    <row r="29" spans="1:21" x14ac:dyDescent="0.25">
      <c r="A29" s="3">
        <v>27</v>
      </c>
      <c r="B29" s="290" t="s">
        <v>1060</v>
      </c>
      <c r="C29" s="558">
        <v>1.9421999999999999</v>
      </c>
      <c r="D29" s="558">
        <v>5.5099999999999997E-12</v>
      </c>
      <c r="E29" s="558">
        <v>0.13454987500000001</v>
      </c>
      <c r="F29" s="558">
        <v>0.135849</v>
      </c>
      <c r="G29" s="558">
        <v>2.0407160000000001E-3</v>
      </c>
      <c r="H29" s="558">
        <v>6.0200000000000003E-9</v>
      </c>
      <c r="I29" s="558">
        <v>7.9654900000000004E-3</v>
      </c>
      <c r="J29" s="558">
        <v>48.262599999999999</v>
      </c>
      <c r="K29" s="558">
        <v>1.55E-9</v>
      </c>
      <c r="L29" s="558">
        <v>0.13454987500000001</v>
      </c>
      <c r="M29" s="558">
        <v>0.24</v>
      </c>
      <c r="N29" s="558">
        <v>1.218095478</v>
      </c>
      <c r="O29" s="558">
        <v>7.2342156180000003</v>
      </c>
      <c r="P29" s="558">
        <v>6.5564259470000001</v>
      </c>
      <c r="Q29" s="558">
        <v>4.8314599999999999</v>
      </c>
      <c r="R29" s="558">
        <v>7.83</v>
      </c>
      <c r="S29" s="558">
        <v>21241.076580000001</v>
      </c>
      <c r="T29" s="558">
        <v>1900000</v>
      </c>
      <c r="U29" s="558">
        <v>89.494993019999995</v>
      </c>
    </row>
    <row r="30" spans="1:21" x14ac:dyDescent="0.25">
      <c r="A30" s="3">
        <v>28</v>
      </c>
      <c r="B30" s="290" t="s">
        <v>1061</v>
      </c>
      <c r="C30" s="558">
        <v>0.684002</v>
      </c>
      <c r="D30" s="558">
        <v>1.61E-12</v>
      </c>
      <c r="E30" s="558">
        <v>0.23358927500000001</v>
      </c>
      <c r="F30" s="558">
        <v>0.43614599999999998</v>
      </c>
      <c r="G30" s="558">
        <v>8.3788500000000002E-4</v>
      </c>
      <c r="H30" s="558">
        <v>6.2400000000000002E-10</v>
      </c>
      <c r="I30" s="558">
        <v>6.2319879999999999E-3</v>
      </c>
      <c r="J30" s="558">
        <v>4.9536800000000003</v>
      </c>
      <c r="K30" s="558">
        <v>1.33E-8</v>
      </c>
      <c r="L30" s="558">
        <v>0.23358927500000001</v>
      </c>
      <c r="M30" s="558">
        <v>0.21</v>
      </c>
      <c r="N30" s="558">
        <v>1.2551351500000001</v>
      </c>
      <c r="O30" s="558">
        <v>2.3838785769999999</v>
      </c>
      <c r="P30" s="558">
        <v>2.1605277169999999</v>
      </c>
      <c r="Q30" s="558">
        <v>3.5615299999999999</v>
      </c>
      <c r="R30" s="558">
        <v>8.66</v>
      </c>
      <c r="S30" s="558">
        <v>886.46548340000004</v>
      </c>
      <c r="T30" s="558">
        <v>41600000</v>
      </c>
      <c r="U30" s="558">
        <v>46920.608619999999</v>
      </c>
    </row>
    <row r="31" spans="1:21" x14ac:dyDescent="0.25">
      <c r="A31" s="3">
        <v>29</v>
      </c>
      <c r="B31" s="290" t="s">
        <v>1062</v>
      </c>
      <c r="C31" s="558">
        <v>1.3325400000000001</v>
      </c>
      <c r="D31" s="558">
        <v>5.5099999999999997E-12</v>
      </c>
      <c r="E31" s="558">
        <v>0.13454987500000001</v>
      </c>
      <c r="F31" s="558">
        <v>0.135849</v>
      </c>
      <c r="G31" s="558">
        <v>2.0407160000000001E-3</v>
      </c>
      <c r="H31" s="558">
        <v>6.0200000000000003E-9</v>
      </c>
      <c r="I31" s="558">
        <v>7.9654900000000004E-3</v>
      </c>
      <c r="J31" s="558">
        <v>26.420100000000001</v>
      </c>
      <c r="K31" s="558">
        <v>3.9300000000000003E-9</v>
      </c>
      <c r="L31" s="558">
        <v>0.13454987500000001</v>
      </c>
      <c r="M31" s="558">
        <v>0.18</v>
      </c>
      <c r="N31" s="558">
        <v>1.2251355340000001</v>
      </c>
      <c r="O31" s="558">
        <v>3.9601824190000001</v>
      </c>
      <c r="P31" s="558">
        <v>3.589144165</v>
      </c>
      <c r="Q31" s="558">
        <v>2.34083</v>
      </c>
      <c r="R31" s="558">
        <v>5.77</v>
      </c>
      <c r="S31" s="558">
        <v>80.62031503</v>
      </c>
      <c r="T31" s="558">
        <v>6868.44</v>
      </c>
      <c r="U31" s="558">
        <v>85.194903999999994</v>
      </c>
    </row>
    <row r="32" spans="1:21" x14ac:dyDescent="0.25">
      <c r="A32" s="3">
        <v>30</v>
      </c>
      <c r="B32" s="290" t="s">
        <v>1063</v>
      </c>
      <c r="C32" s="558">
        <v>5.3</v>
      </c>
      <c r="D32" s="558">
        <v>2.5200000000000002E-12</v>
      </c>
      <c r="E32" s="558">
        <v>0.23401071100000001</v>
      </c>
      <c r="F32" s="558">
        <v>0.33009708700000001</v>
      </c>
      <c r="G32" s="558">
        <v>2.0409429999999999E-3</v>
      </c>
      <c r="H32" s="558">
        <v>8.2400000000000005E-10</v>
      </c>
      <c r="I32" s="558">
        <v>2.2551959E-2</v>
      </c>
      <c r="J32" s="558">
        <v>20.6</v>
      </c>
      <c r="K32" s="558">
        <v>1.01E-9</v>
      </c>
      <c r="L32" s="558">
        <v>0.23401071100000001</v>
      </c>
      <c r="M32" s="558">
        <v>0.19</v>
      </c>
      <c r="N32" s="558">
        <v>1.1441402679999999</v>
      </c>
      <c r="O32" s="558">
        <v>7.5029698490000003</v>
      </c>
      <c r="P32" s="558">
        <v>6.8</v>
      </c>
      <c r="Q32" s="558">
        <v>6.8</v>
      </c>
      <c r="R32" s="558">
        <v>5.7</v>
      </c>
      <c r="S32" s="558">
        <v>134.61277179999999</v>
      </c>
      <c r="T32" s="558">
        <v>69.020499999999998</v>
      </c>
      <c r="U32" s="558">
        <v>0.51273366600000003</v>
      </c>
    </row>
    <row r="33" spans="1:21" x14ac:dyDescent="0.25">
      <c r="A33" s="3">
        <v>31</v>
      </c>
      <c r="B33" s="290" t="s">
        <v>1064</v>
      </c>
      <c r="C33" s="558">
        <v>27</v>
      </c>
      <c r="D33" s="558">
        <v>6.8199999999999996E-12</v>
      </c>
      <c r="E33" s="558">
        <v>3.4154101999999999E-2</v>
      </c>
      <c r="F33" s="558">
        <v>0.13034187999999999</v>
      </c>
      <c r="G33" s="558">
        <v>2.0349790000000001E-3</v>
      </c>
      <c r="H33" s="558">
        <v>8.5099999999999998E-9</v>
      </c>
      <c r="I33" s="558">
        <v>6.2617419999999998E-3</v>
      </c>
      <c r="J33" s="558">
        <v>46.8</v>
      </c>
      <c r="K33" s="558">
        <v>2.9099999999999998E-10</v>
      </c>
      <c r="L33" s="558">
        <v>3.4154101999999999E-2</v>
      </c>
      <c r="M33" s="558">
        <v>0.05</v>
      </c>
      <c r="N33" s="558">
        <v>1.073567954</v>
      </c>
      <c r="O33" s="558">
        <v>6.7306053060000002</v>
      </c>
      <c r="P33" s="558">
        <v>6.1</v>
      </c>
      <c r="Q33" s="558">
        <v>6.1</v>
      </c>
      <c r="R33" s="558">
        <v>3.34</v>
      </c>
      <c r="S33" s="558">
        <v>-57.351753989999999</v>
      </c>
      <c r="T33" s="558">
        <v>45925.7</v>
      </c>
      <c r="U33" s="558">
        <v>-800.77237049999997</v>
      </c>
    </row>
    <row r="34" spans="1:21" x14ac:dyDescent="0.25">
      <c r="A34" s="3">
        <v>32</v>
      </c>
      <c r="B34" s="290" t="s">
        <v>1066</v>
      </c>
      <c r="C34" s="558">
        <v>1.53</v>
      </c>
      <c r="D34" s="558">
        <v>2.4499999999999999E-12</v>
      </c>
      <c r="E34" s="558">
        <v>0.23461489999999999</v>
      </c>
      <c r="F34" s="558">
        <v>0.200998185</v>
      </c>
      <c r="G34" s="558">
        <v>2.0638929999999998E-3</v>
      </c>
      <c r="H34" s="558">
        <v>8.7699999999999997E-10</v>
      </c>
      <c r="I34" s="558">
        <v>2.077056E-2</v>
      </c>
      <c r="J34" s="558">
        <v>22.04</v>
      </c>
      <c r="K34" s="558">
        <v>4.0599999999999996E-9</v>
      </c>
      <c r="L34" s="558">
        <v>0.23461489999999999</v>
      </c>
      <c r="M34" s="558">
        <v>0.28999999999999998</v>
      </c>
      <c r="N34" s="558">
        <v>1.2102252410000001</v>
      </c>
      <c r="O34" s="558">
        <v>4.8879641810000001</v>
      </c>
      <c r="P34" s="558">
        <v>4.43</v>
      </c>
      <c r="Q34" s="558">
        <v>4.43</v>
      </c>
      <c r="R34" s="558">
        <v>5.81</v>
      </c>
      <c r="S34" s="558">
        <v>14.30915214</v>
      </c>
      <c r="T34" s="558">
        <v>15.4754</v>
      </c>
      <c r="U34" s="558">
        <v>1.0815036309999999</v>
      </c>
    </row>
    <row r="35" spans="1:21" x14ac:dyDescent="0.25">
      <c r="A35" s="3">
        <v>33</v>
      </c>
      <c r="B35" s="290" t="s">
        <v>1065</v>
      </c>
      <c r="C35" s="558">
        <v>4.0640700000000001</v>
      </c>
      <c r="D35" s="558">
        <v>5.5099999999999997E-12</v>
      </c>
      <c r="E35" s="558">
        <v>0.13454987500000001</v>
      </c>
      <c r="F35" s="558">
        <v>0.135849</v>
      </c>
      <c r="G35" s="558">
        <v>2.0407160000000001E-3</v>
      </c>
      <c r="H35" s="558">
        <v>6.0200000000000003E-9</v>
      </c>
      <c r="I35" s="558">
        <v>7.9654900000000004E-3</v>
      </c>
      <c r="J35" s="558">
        <v>36.603200000000001</v>
      </c>
      <c r="K35" s="558">
        <v>1.63E-9</v>
      </c>
      <c r="L35" s="558">
        <v>0.13454987500000001</v>
      </c>
      <c r="M35" s="558">
        <v>0.16</v>
      </c>
      <c r="N35" s="558">
        <v>1.15853183</v>
      </c>
      <c r="O35" s="558">
        <v>5.4865556580000003</v>
      </c>
      <c r="P35" s="558">
        <v>4.9725081170000003</v>
      </c>
      <c r="Q35" s="558">
        <v>3.6018400000000002</v>
      </c>
      <c r="R35" s="558">
        <v>5.9</v>
      </c>
      <c r="S35" s="558">
        <v>615.51564050000002</v>
      </c>
      <c r="T35" s="558">
        <v>47801.5</v>
      </c>
      <c r="U35" s="558">
        <v>77.66090226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82</vt:i4>
      </vt:variant>
    </vt:vector>
  </HeadingPairs>
  <TitlesOfParts>
    <vt:vector size="95" baseType="lpstr">
      <vt:lpstr>Version log</vt:lpstr>
      <vt:lpstr>Photometry</vt:lpstr>
      <vt:lpstr>TAYF</vt:lpstr>
      <vt:lpstr>RV Prime</vt:lpstr>
      <vt:lpstr>RV Pl Traub</vt:lpstr>
      <vt:lpstr>Coronagraph</vt:lpstr>
      <vt:lpstr>Constants</vt:lpstr>
      <vt:lpstr>Spectra</vt:lpstr>
      <vt:lpstr>Throughput</vt:lpstr>
      <vt:lpstr>Design</vt:lpstr>
      <vt:lpstr>Transmission (Wave)</vt:lpstr>
      <vt:lpstr>Comparison</vt:lpstr>
      <vt:lpstr>res2</vt:lpstr>
      <vt:lpstr>Al</vt:lpstr>
      <vt:lpstr>arcsec</vt:lpstr>
      <vt:lpstr>AU</vt:lpstr>
      <vt:lpstr>availStellarTypes</vt:lpstr>
      <vt:lpstr>BBARx2</vt:lpstr>
      <vt:lpstr>c_light</vt:lpstr>
      <vt:lpstr>CIC</vt:lpstr>
      <vt:lpstr>CIC_noise</vt:lpstr>
      <vt:lpstr>Col_area</vt:lpstr>
      <vt:lpstr>Color_filter</vt:lpstr>
      <vt:lpstr>Coronagraph_Specs</vt:lpstr>
      <vt:lpstr>dark_current</vt:lpstr>
      <vt:lpstr>darkcurrent_noise</vt:lpstr>
      <vt:lpstr>deg</vt:lpstr>
      <vt:lpstr>Detector_Table</vt:lpstr>
      <vt:lpstr>diff_limit</vt:lpstr>
      <vt:lpstr>ENF</vt:lpstr>
      <vt:lpstr>erg</vt:lpstr>
      <vt:lpstr>f_pp</vt:lpstr>
      <vt:lpstr>f_SR</vt:lpstr>
      <vt:lpstr>fluxTable</vt:lpstr>
      <vt:lpstr>Focal_plane_table</vt:lpstr>
      <vt:lpstr>frame_rate</vt:lpstr>
      <vt:lpstr>frame_time</vt:lpstr>
      <vt:lpstr>FSS99_600</vt:lpstr>
      <vt:lpstr>gain</vt:lpstr>
      <vt:lpstr>gen_phot_flux</vt:lpstr>
      <vt:lpstr>h_planck</vt:lpstr>
      <vt:lpstr>HLC_Coronagraph</vt:lpstr>
      <vt:lpstr>HLCdesignBW</vt:lpstr>
      <vt:lpstr>HRC</vt:lpstr>
      <vt:lpstr>HRC_R</vt:lpstr>
      <vt:lpstr>hrs</vt:lpstr>
      <vt:lpstr>JupiterAlbedoTable</vt:lpstr>
      <vt:lpstr>Masktype</vt:lpstr>
      <vt:lpstr>min</vt:lpstr>
      <vt:lpstr>mpix</vt:lpstr>
      <vt:lpstr>N_spectra</vt:lpstr>
      <vt:lpstr>nm</vt:lpstr>
      <vt:lpstr>Noise</vt:lpstr>
      <vt:lpstr>noise_rate_total</vt:lpstr>
      <vt:lpstr>pc</vt:lpstr>
      <vt:lpstr>phaseAngle</vt:lpstr>
      <vt:lpstr>phFun</vt:lpstr>
      <vt:lpstr>phot_flux</vt:lpstr>
      <vt:lpstr>pl_contrast</vt:lpstr>
      <vt:lpstr>pl_rate</vt:lpstr>
      <vt:lpstr>Polarizer</vt:lpstr>
      <vt:lpstr>QE</vt:lpstr>
      <vt:lpstr>R_Earth</vt:lpstr>
      <vt:lpstr>R_jupiter</vt:lpstr>
      <vt:lpstr>read_noise</vt:lpstr>
      <vt:lpstr>req_time</vt:lpstr>
      <vt:lpstr>RVp4List</vt:lpstr>
      <vt:lpstr>RVPrime</vt:lpstr>
      <vt:lpstr>scenario_table</vt:lpstr>
      <vt:lpstr>shot_noise</vt:lpstr>
      <vt:lpstr>Signal</vt:lpstr>
      <vt:lpstr>SNR</vt:lpstr>
      <vt:lpstr>SPC_Coronagraph</vt:lpstr>
      <vt:lpstr>SPCdesignBW</vt:lpstr>
      <vt:lpstr>spec_rate</vt:lpstr>
      <vt:lpstr>speckle_noise</vt:lpstr>
      <vt:lpstr>specklestruc_noise</vt:lpstr>
      <vt:lpstr>SpecTable</vt:lpstr>
      <vt:lpstr>stellarClass</vt:lpstr>
      <vt:lpstr>SunAbsMag</vt:lpstr>
      <vt:lpstr>tcor</vt:lpstr>
      <vt:lpstr>tfil</vt:lpstr>
      <vt:lpstr>Throughput_types</vt:lpstr>
      <vt:lpstr>tobs</vt:lpstr>
      <vt:lpstr>tocc</vt:lpstr>
      <vt:lpstr>tpl</vt:lpstr>
      <vt:lpstr>tpol</vt:lpstr>
      <vt:lpstr>tpup</vt:lpstr>
      <vt:lpstr>tref</vt:lpstr>
      <vt:lpstr>tspec</vt:lpstr>
      <vt:lpstr>tzodi</vt:lpstr>
      <vt:lpstr>uas</vt:lpstr>
      <vt:lpstr>um</vt:lpstr>
      <vt:lpstr>zodi_noise</vt:lpstr>
      <vt:lpstr>zodi_rate</vt:lpstr>
    </vt:vector>
  </TitlesOfParts>
  <Company>JPL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Nemati, Bijan (383B)</dc:creator>
  <cp:lastModifiedBy>Nemati, Bijan (383B)</cp:lastModifiedBy>
  <dcterms:created xsi:type="dcterms:W3CDTF">2016-05-25T22:48:03Z</dcterms:created>
  <dcterms:modified xsi:type="dcterms:W3CDTF">2016-11-02T19:26:19Z</dcterms:modified>
</cp:coreProperties>
</file>