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emati\Desktop\"/>
    </mc:Choice>
  </mc:AlternateContent>
  <bookViews>
    <workbookView xWindow="0" yWindow="0" windowWidth="21570" windowHeight="9405" activeTab="3"/>
  </bookViews>
  <sheets>
    <sheet name="Log" sheetId="1" r:id="rId1"/>
    <sheet name="Modes" sheetId="2" r:id="rId2"/>
    <sheet name="Acquisition" sheetId="3" r:id="rId3"/>
    <sheet name="Mission Counts" sheetId="5" r:id="rId4"/>
    <sheet name="Constants" sheetId="8" r:id="rId5"/>
    <sheet name="Parameters" sheetId="4" r:id="rId6"/>
  </sheets>
  <definedNames>
    <definedName name="Acol">Acquisition!$Q$9</definedName>
    <definedName name="arcsec">Parameters!$K$24</definedName>
    <definedName name="AU">Parameters!$K$19</definedName>
    <definedName name="c_light">Parameters!$K$13</definedName>
    <definedName name="clight">Acquisition!$Q$16</definedName>
    <definedName name="Dcol">Acquisition!$Q$7</definedName>
    <definedName name="deg">Parameters!$K$26</definedName>
    <definedName name="E_ph">Acquisition!$Q$11</definedName>
    <definedName name="erg">Parameters!$K$30</definedName>
    <definedName name="fluxTable">Constants!$C$5:$I$18</definedName>
    <definedName name="FWC">Acquisition!$Q$14</definedName>
    <definedName name="h_planck">Parameters!$K$12</definedName>
    <definedName name="hplanck">Acquisition!$Q$15</definedName>
    <definedName name="hrs">Parameters!$K$27</definedName>
    <definedName name="lambda">Acquisition!$Q$10</definedName>
    <definedName name="mas">Parameters!$K$25</definedName>
    <definedName name="min">Parameters!$K$28</definedName>
    <definedName name="Mpix">Acquisition!$Q$13</definedName>
    <definedName name="pc">Parameters!$K$20</definedName>
    <definedName name="QE">Acquisition!$Q$21</definedName>
    <definedName name="R_Earth">Parameters!$K$18</definedName>
    <definedName name="uas">Parameters!$K$29</definedName>
    <definedName name="zeroMagFlux">Acquisition!$Q$17</definedName>
  </definedNames>
  <calcPr calcId="162913"/>
</workbook>
</file>

<file path=xl/calcChain.xml><?xml version="1.0" encoding="utf-8"?>
<calcChain xmlns="http://schemas.openxmlformats.org/spreadsheetml/2006/main">
  <c r="E12" i="4" l="1"/>
  <c r="K21" i="4"/>
  <c r="K24" i="4"/>
  <c r="K20" i="4" s="1"/>
  <c r="K26" i="4"/>
  <c r="K29" i="4"/>
  <c r="E8" i="4" l="1"/>
  <c r="E10" i="4" s="1"/>
  <c r="E13" i="4" s="1"/>
  <c r="K25" i="4"/>
  <c r="E9" i="4" s="1"/>
  <c r="D27" i="8"/>
  <c r="I18" i="8"/>
  <c r="F18" i="8"/>
  <c r="H18" i="8" s="1"/>
  <c r="I17" i="8"/>
  <c r="F17" i="8"/>
  <c r="H17" i="8" s="1"/>
  <c r="I16" i="8"/>
  <c r="F16" i="8"/>
  <c r="H16" i="8" s="1"/>
  <c r="I15" i="8"/>
  <c r="F15" i="8"/>
  <c r="G15" i="8" s="1"/>
  <c r="I14" i="8"/>
  <c r="F14" i="8"/>
  <c r="G14" i="8" s="1"/>
  <c r="I13" i="8"/>
  <c r="F13" i="8"/>
  <c r="H13" i="8" s="1"/>
  <c r="I12" i="8"/>
  <c r="F12" i="8"/>
  <c r="G12" i="8" s="1"/>
  <c r="I11" i="8"/>
  <c r="F11" i="8"/>
  <c r="H11" i="8" s="1"/>
  <c r="I10" i="8"/>
  <c r="F10" i="8"/>
  <c r="H10" i="8" s="1"/>
  <c r="I9" i="8"/>
  <c r="F9" i="8"/>
  <c r="H9" i="8" s="1"/>
  <c r="I8" i="8"/>
  <c r="F8" i="8"/>
  <c r="H8" i="8" s="1"/>
  <c r="I7" i="8"/>
  <c r="F7" i="8"/>
  <c r="H7" i="8" s="1"/>
  <c r="I6" i="8"/>
  <c r="F6" i="8"/>
  <c r="G6" i="8" s="1"/>
  <c r="I5" i="8"/>
  <c r="F5" i="8"/>
  <c r="H5" i="8" s="1"/>
  <c r="H12" i="8" l="1"/>
  <c r="G9" i="8"/>
  <c r="H14" i="8"/>
  <c r="G16" i="8"/>
  <c r="G17" i="8"/>
  <c r="G10" i="8"/>
  <c r="H6" i="8"/>
  <c r="H15" i="8"/>
  <c r="G13" i="8"/>
  <c r="G5" i="8"/>
  <c r="G7" i="8"/>
  <c r="G8" i="8"/>
  <c r="G11" i="8"/>
  <c r="G18" i="8"/>
  <c r="K9" i="4" l="1"/>
  <c r="K8" i="4"/>
  <c r="G4" i="2" s="1"/>
  <c r="D14" i="5"/>
  <c r="D16" i="5" s="1"/>
  <c r="D11" i="5"/>
  <c r="D18" i="5" s="1"/>
  <c r="D20" i="5" s="1"/>
  <c r="D7" i="5"/>
  <c r="S28" i="3"/>
  <c r="R28" i="3"/>
  <c r="Q28" i="3"/>
  <c r="G9" i="3" s="1"/>
  <c r="Q13" i="3"/>
  <c r="Q11" i="3"/>
  <c r="E17" i="3" s="1"/>
  <c r="Q9" i="3"/>
  <c r="E8" i="3"/>
  <c r="G10" i="2"/>
  <c r="G5" i="2"/>
  <c r="E12" i="3" l="1"/>
  <c r="E9" i="3"/>
  <c r="E7" i="3"/>
  <c r="E20" i="3"/>
  <c r="E13" i="3"/>
  <c r="E18" i="3"/>
  <c r="M26" i="3"/>
  <c r="H9" i="3"/>
  <c r="I9" i="3" s="1"/>
  <c r="J9" i="3" s="1"/>
  <c r="G19" i="3"/>
  <c r="G14" i="3"/>
  <c r="E6" i="3"/>
  <c r="G20" i="3"/>
  <c r="H20" i="3" s="1"/>
  <c r="I20" i="3" s="1"/>
  <c r="G12" i="3"/>
  <c r="H12" i="3" s="1"/>
  <c r="I12" i="3" s="1"/>
  <c r="G17" i="3"/>
  <c r="H17" i="3" s="1"/>
  <c r="I17" i="3" s="1"/>
  <c r="G18" i="3"/>
  <c r="E5" i="3"/>
  <c r="H5" i="3" s="1"/>
  <c r="I5" i="3" s="1"/>
  <c r="G5" i="3"/>
  <c r="E14" i="3"/>
  <c r="H14" i="3" s="1"/>
  <c r="I14" i="3" s="1"/>
  <c r="E10" i="3"/>
  <c r="G10" i="3"/>
  <c r="E19" i="3"/>
  <c r="H19" i="3" s="1"/>
  <c r="I19" i="3" s="1"/>
  <c r="G6" i="3"/>
  <c r="E15" i="3"/>
  <c r="H15" i="3" s="1"/>
  <c r="I15" i="3" s="1"/>
  <c r="G15" i="3"/>
  <c r="E11" i="3"/>
  <c r="H11" i="3" s="1"/>
  <c r="I11" i="3" s="1"/>
  <c r="G11" i="3"/>
  <c r="G7" i="3"/>
  <c r="H7" i="3" s="1"/>
  <c r="I7" i="3" s="1"/>
  <c r="E16" i="3"/>
  <c r="H16" i="3" s="1"/>
  <c r="I16" i="3" s="1"/>
  <c r="G16" i="3"/>
  <c r="G8" i="3"/>
  <c r="H8" i="3" s="1"/>
  <c r="I8" i="3" s="1"/>
  <c r="G13" i="3"/>
  <c r="L9" i="3" l="1"/>
  <c r="M9" i="3" s="1"/>
  <c r="H18" i="3"/>
  <c r="I18" i="3" s="1"/>
  <c r="H13" i="3"/>
  <c r="I13" i="3" s="1"/>
  <c r="H6" i="3"/>
  <c r="I6" i="3" s="1"/>
  <c r="H10" i="3"/>
  <c r="I10" i="3" s="1"/>
  <c r="J7" i="3"/>
  <c r="L7" i="3"/>
  <c r="M7" i="3" s="1"/>
  <c r="J12" i="3"/>
  <c r="L12" i="3"/>
  <c r="M12" i="3" s="1"/>
  <c r="L8" i="3"/>
  <c r="M8" i="3" s="1"/>
  <c r="J8" i="3"/>
  <c r="L18" i="3"/>
  <c r="M18" i="3" s="1"/>
  <c r="J18" i="3"/>
  <c r="L13" i="3"/>
  <c r="M13" i="3" s="1"/>
  <c r="J13" i="3"/>
  <c r="L20" i="3"/>
  <c r="M20" i="3" s="1"/>
  <c r="J20" i="3"/>
  <c r="L17" i="3"/>
  <c r="M17" i="3" s="1"/>
  <c r="J17" i="3"/>
  <c r="L15" i="3"/>
  <c r="M15" i="3" s="1"/>
  <c r="J15" i="3"/>
  <c r="L6" i="3"/>
  <c r="M6" i="3" s="1"/>
  <c r="J6" i="3"/>
  <c r="L10" i="3"/>
  <c r="M10" i="3" s="1"/>
  <c r="J10" i="3"/>
  <c r="L14" i="3"/>
  <c r="M14" i="3" s="1"/>
  <c r="J14" i="3"/>
  <c r="L5" i="3"/>
  <c r="M5" i="3" s="1"/>
  <c r="J5" i="3"/>
  <c r="L19" i="3"/>
  <c r="M19" i="3" s="1"/>
  <c r="J19" i="3"/>
  <c r="L11" i="3"/>
  <c r="M11" i="3" s="1"/>
  <c r="J11" i="3"/>
  <c r="L16" i="3"/>
  <c r="M16" i="3" s="1"/>
  <c r="J16" i="3"/>
</calcChain>
</file>

<file path=xl/sharedStrings.xml><?xml version="1.0" encoding="utf-8"?>
<sst xmlns="http://schemas.openxmlformats.org/spreadsheetml/2006/main" count="284" uniqueCount="222">
  <si>
    <t>Luis: can you please make the Vflux function work again as a private function and let me know what was wrong? Thanks.</t>
  </si>
  <si>
    <t>Observing Step</t>
  </si>
  <si>
    <t>Short Name</t>
  </si>
  <si>
    <t>Sensing</t>
  </si>
  <si>
    <t>Control</t>
  </si>
  <si>
    <t>Comments</t>
  </si>
  <si>
    <t>Parameter</t>
  </si>
  <si>
    <t>Units</t>
  </si>
  <si>
    <t>ACS brings star to within imager FOV</t>
  </si>
  <si>
    <t>ACS Bright ACQ</t>
  </si>
  <si>
    <t>ST + FGS?</t>
  </si>
  <si>
    <t>S/C via FSM</t>
  </si>
  <si>
    <t>Imager FOV has diameter:</t>
  </si>
  <si>
    <t>arcsec</t>
  </si>
  <si>
    <t>Bring star to within LOWFS capture range</t>
  </si>
  <si>
    <t>IMG ACQ</t>
  </si>
  <si>
    <t>Imager</t>
  </si>
  <si>
    <t>LOWFS capture range diameter:</t>
  </si>
  <si>
    <t>mas</t>
  </si>
  <si>
    <t>LOWFS/C finalizes pointing</t>
  </si>
  <si>
    <t>LOWFS ACQ</t>
  </si>
  <si>
    <t>LOWFS</t>
  </si>
  <si>
    <t>FSM</t>
  </si>
  <si>
    <t>Range: 300mas LOWFS,  3as FSM</t>
  </si>
  <si>
    <t>Dark Hole Generation</t>
  </si>
  <si>
    <t>DARK HOLE</t>
  </si>
  <si>
    <t>DM1 DM2</t>
  </si>
  <si>
    <t>(poke, integrate, actuate) x N</t>
  </si>
  <si>
    <t>Star Tracker brings science star to imager FOV</t>
  </si>
  <si>
    <t>ST Sci ACQ</t>
  </si>
  <si>
    <t>Star Trk Cam</t>
  </si>
  <si>
    <t>S/C</t>
  </si>
  <si>
    <t>Frame times and Centroiding Precision</t>
  </si>
  <si>
    <t>&gt; 10 msec</t>
  </si>
  <si>
    <t>&lt; FWC</t>
  </si>
  <si>
    <t>&lt; 30 mas</t>
  </si>
  <si>
    <t>Star Mag</t>
  </si>
  <si>
    <t>FS Filter</t>
  </si>
  <si>
    <t>Bandpass</t>
  </si>
  <si>
    <r>
      <t xml:space="preserve">Flux, </t>
    </r>
    <r>
      <rPr>
        <sz val="9"/>
        <color rgb="FF000000"/>
        <rFont val="Calibri"/>
        <family val="2"/>
      </rPr>
      <t>ph/m2/s</t>
    </r>
  </si>
  <si>
    <t>Filter Trans.</t>
  </si>
  <si>
    <t>Transm</t>
  </si>
  <si>
    <t>Ph/s/pix</t>
  </si>
  <si>
    <t>elec. rate</t>
  </si>
  <si>
    <t>t_fullwell, s</t>
  </si>
  <si>
    <t>t_frame, s</t>
  </si>
  <si>
    <t>e-/pix/frm</t>
  </si>
  <si>
    <r>
      <t xml:space="preserve">Centroid, </t>
    </r>
    <r>
      <rPr>
        <i/>
        <sz val="11"/>
        <color rgb="FF000000"/>
        <rFont val="Calibri"/>
        <family val="2"/>
      </rPr>
      <t>mas</t>
    </r>
  </si>
  <si>
    <t>ND4</t>
  </si>
  <si>
    <t>Item</t>
  </si>
  <si>
    <t>Value</t>
  </si>
  <si>
    <t>Cog E</t>
  </si>
  <si>
    <t>Tel Prim D</t>
  </si>
  <si>
    <t>m</t>
  </si>
  <si>
    <t>Hong/Gary K</t>
  </si>
  <si>
    <t>Obsc</t>
  </si>
  <si>
    <t>Area</t>
  </si>
  <si>
    <t>m2</t>
  </si>
  <si>
    <t>Acol</t>
  </si>
  <si>
    <t>lambda</t>
  </si>
  <si>
    <t>Photon Energy</t>
  </si>
  <si>
    <t>J</t>
  </si>
  <si>
    <t>sampling</t>
  </si>
  <si>
    <t>pix/lam/D</t>
  </si>
  <si>
    <t>mpix</t>
  </si>
  <si>
    <t>pixels in core</t>
  </si>
  <si>
    <t>full well</t>
  </si>
  <si>
    <t>FWC</t>
  </si>
  <si>
    <t>Leon Harding</t>
  </si>
  <si>
    <t>Open</t>
  </si>
  <si>
    <t>planck constant</t>
  </si>
  <si>
    <t>Js</t>
  </si>
  <si>
    <t>speed of light</t>
  </si>
  <si>
    <t>m/s</t>
  </si>
  <si>
    <t>E0V</t>
  </si>
  <si>
    <t>W/(m2 * m)</t>
  </si>
  <si>
    <t>Milan</t>
  </si>
  <si>
    <t>Electron Conversion Efficiency</t>
  </si>
  <si>
    <t>ND3 config</t>
  </si>
  <si>
    <t>open config</t>
  </si>
  <si>
    <t>QE</t>
  </si>
  <si>
    <t>rad</t>
  </si>
  <si>
    <t>HLC</t>
  </si>
  <si>
    <t>SPC</t>
  </si>
  <si>
    <t>PIAA</t>
  </si>
  <si>
    <t>Optical Transm.</t>
  </si>
  <si>
    <t>Polarizer</t>
  </si>
  <si>
    <t>Occ Transmission</t>
  </si>
  <si>
    <t>3 CG masks</t>
  </si>
  <si>
    <t>PSF encl. energy</t>
  </si>
  <si>
    <t>within Core</t>
  </si>
  <si>
    <t>Tot Thput to Core</t>
  </si>
  <si>
    <t>lam/D</t>
  </si>
  <si>
    <t>Imager Region Width</t>
  </si>
  <si>
    <t>pix</t>
  </si>
  <si>
    <t>LOWFS pickoff radius</t>
  </si>
  <si>
    <t>Sampling</t>
  </si>
  <si>
    <t>mas/pix</t>
  </si>
  <si>
    <t>Imager FOV</t>
  </si>
  <si>
    <t>Sampling of PSF</t>
  </si>
  <si>
    <t>pix/(lam/D)</t>
  </si>
  <si>
    <t>Acquisitions</t>
  </si>
  <si>
    <t>Systems Observerd</t>
  </si>
  <si>
    <t>rate</t>
  </si>
  <si>
    <t>e/s</t>
  </si>
  <si>
    <t>Duration</t>
  </si>
  <si>
    <t>s</t>
  </si>
  <si>
    <t>Integration</t>
  </si>
  <si>
    <t>Zodi</t>
  </si>
  <si>
    <t>All else</t>
  </si>
  <si>
    <t>Electrons per Observation</t>
  </si>
  <si>
    <t xml:space="preserve">Incl. dark hole gen and </t>
  </si>
  <si>
    <t>Dark Hole Gen</t>
  </si>
  <si>
    <t>duration</t>
  </si>
  <si>
    <t>total</t>
  </si>
  <si>
    <t xml:space="preserve">e </t>
  </si>
  <si>
    <t>e</t>
  </si>
  <si>
    <t>Total Per Mission</t>
  </si>
  <si>
    <t>How many electrons over the whole mission, assuming no over illumination mishaps?</t>
  </si>
  <si>
    <t>Imaging, IFS, Disk, other total</t>
  </si>
  <si>
    <t>Much of the acq with LOWFS; need ~&lt; 1 per obs</t>
  </si>
  <si>
    <t>rate (inc ND)</t>
  </si>
  <si>
    <t>Some back of the envelop calculations</t>
  </si>
  <si>
    <t>The cs layer of a photocathode is one atom/molecule thick. Once its</t>
  </si>
  <si>
    <t>contaminated that part of the photocathode has zero QE.  The question</t>
  </si>
  <si>
    <t>is how fast does it get contaminated.</t>
  </si>
  <si>
    <t>The contamination comes from a side effect of the electron multiplication</t>
  </si>
  <si>
    <t>process in the microchannel plate/phosphor. Each electron produced in the</t>
  </si>
  <si>
    <t>multiplication process has enough energy to liberate an oxygen atom from the phosphor.</t>
  </si>
  <si>
    <t>Many of these atoms nevery make it to the photocathode, they stick somewhere else.</t>
  </si>
  <si>
    <t>What fraction of 1e6 get back to the cathode? I don't know but one can assume</t>
  </si>
  <si>
    <t>10% and see what happens. Also assume the photocathode is 1cm^2 or 1e8 atoms</t>
  </si>
  <si>
    <t>wide, the surface has ~1e16 atoms. (One can change the assumptions later.)</t>
  </si>
  <si>
    <t xml:space="preserve">For an order of magnitude 1 detected photon produces 1e6 electrons= 1e5 contamination </t>
  </si>
  <si>
    <t xml:space="preserve">molecules. So the detection of 1e11 photons can under these </t>
  </si>
  <si>
    <t>assumptions poison the cathode. (give or take an order of magnitude)</t>
  </si>
  <si>
    <t>If the detector only looks at zodi background and planet photons, there's</t>
  </si>
  <si>
    <t>no problem. (you should check this) I calculate ~2000 zodi photons/sec</t>
  </si>
  <si>
    <t>into the 10arcsec^2 area of the detector. This would result in a life</t>
  </si>
  <si>
    <t>time of ~10 years.  (and if only 1% of electrons results in a contamination,</t>
  </si>
  <si>
    <t>100yrs)</t>
  </si>
  <si>
    <t>But if you put a bright star on the detector, this can shorten the life</t>
  </si>
  <si>
    <t>time significantly. The total zodi flux (22mag/arcsec^2) over a 10*10 arcsec</t>
  </si>
  <si>
    <t>box is equal to a 17 mag star. A 7 mag star is 10,000 times brighter.</t>
  </si>
  <si>
    <t>So the detector can be exposed to a 7 mag star for 1/1000 year ~ 8hrs.</t>
  </si>
  <si>
    <t>Note that these calculations could easily be off by 10X maybe more.</t>
  </si>
  <si>
    <t>But it does put you in the ball park or at least the right zip code.</t>
  </si>
  <si>
    <t>So if this device is used the star should almost always be behind the</t>
  </si>
  <si>
    <t>coronagraphic mask.</t>
  </si>
  <si>
    <t>These devices are used as night vision goggles, but in that application</t>
  </si>
  <si>
    <t>the gain could be lower. (1e4 vs 1e6 gain)</t>
  </si>
  <si>
    <t>Image Area</t>
  </si>
  <si>
    <t>lam/D ^2</t>
  </si>
  <si>
    <t>lam</t>
  </si>
  <si>
    <t xml:space="preserve">D </t>
  </si>
  <si>
    <t>arcsec^2</t>
  </si>
  <si>
    <t>DH Diam</t>
  </si>
  <si>
    <t>DH Area</t>
  </si>
  <si>
    <t>as^2</t>
  </si>
  <si>
    <t>Constants and Tables</t>
  </si>
  <si>
    <t>0 mag Photon Rates per spectral band (P. Lena and Joint Astronomy Centre Website)</t>
  </si>
  <si>
    <t>Physical Constants</t>
  </si>
  <si>
    <t>Band</t>
  </si>
  <si>
    <r>
      <t>l (m</t>
    </r>
    <r>
      <rPr>
        <sz val="10"/>
        <rFont val="Arial"/>
        <family val="2"/>
      </rPr>
      <t>m</t>
    </r>
    <r>
      <rPr>
        <sz val="10"/>
        <rFont val="Symbol"/>
        <family val="1"/>
        <charset val="2"/>
      </rPr>
      <t>)</t>
    </r>
  </si>
  <si>
    <r>
      <t>Dl (m</t>
    </r>
    <r>
      <rPr>
        <sz val="10"/>
        <rFont val="Arial"/>
        <family val="2"/>
      </rPr>
      <t>m)</t>
    </r>
  </si>
  <si>
    <r>
      <t xml:space="preserve">E0 
</t>
    </r>
    <r>
      <rPr>
        <sz val="8"/>
        <color theme="1"/>
        <rFont val="Calibri"/>
        <family val="2"/>
        <scheme val="minor"/>
      </rPr>
      <t xml:space="preserve">W m-2 </t>
    </r>
    <r>
      <rPr>
        <sz val="8"/>
        <rFont val="Symbol"/>
        <family val="1"/>
        <charset val="2"/>
      </rPr>
      <t>m</t>
    </r>
    <r>
      <rPr>
        <sz val="8"/>
        <color theme="1"/>
        <rFont val="Calibri"/>
        <family val="2"/>
        <scheme val="minor"/>
      </rPr>
      <t>m-1</t>
    </r>
  </si>
  <si>
    <t>Photons 
sec-1 m-2</t>
  </si>
  <si>
    <r>
      <t xml:space="preserve">a
</t>
    </r>
    <r>
      <rPr>
        <sz val="8"/>
        <color theme="1"/>
        <rFont val="Calibri"/>
        <family val="2"/>
        <scheme val="minor"/>
      </rPr>
      <t>=log10(E0)</t>
    </r>
  </si>
  <si>
    <t>h</t>
  </si>
  <si>
    <t>J-s</t>
  </si>
  <si>
    <t>Plank constant</t>
  </si>
  <si>
    <t>U</t>
  </si>
  <si>
    <t>c</t>
  </si>
  <si>
    <t>B</t>
  </si>
  <si>
    <t>q</t>
  </si>
  <si>
    <t>C</t>
  </si>
  <si>
    <t>electron charge</t>
  </si>
  <si>
    <t>V</t>
  </si>
  <si>
    <t>k</t>
  </si>
  <si>
    <t>J/K</t>
  </si>
  <si>
    <t>Boltzmann constant</t>
  </si>
  <si>
    <t>R</t>
  </si>
  <si>
    <t>VIS</t>
  </si>
  <si>
    <t>Astronomical Constants</t>
  </si>
  <si>
    <t>I</t>
  </si>
  <si>
    <t>R_E</t>
  </si>
  <si>
    <t>radius of the Earth</t>
  </si>
  <si>
    <t>Y</t>
  </si>
  <si>
    <t>AU</t>
  </si>
  <si>
    <t>Astronomical Unit</t>
  </si>
  <si>
    <t>pc</t>
  </si>
  <si>
    <t>H</t>
  </si>
  <si>
    <t>w_azim</t>
  </si>
  <si>
    <t>rad/sec</t>
  </si>
  <si>
    <t>azimuthal angular velocity at geosync</t>
  </si>
  <si>
    <t>K</t>
  </si>
  <si>
    <t>L</t>
  </si>
  <si>
    <t>Units of Spectial Interest</t>
  </si>
  <si>
    <t>M</t>
  </si>
  <si>
    <t>N</t>
  </si>
  <si>
    <t>deg</t>
  </si>
  <si>
    <t>Q</t>
  </si>
  <si>
    <t>hr</t>
  </si>
  <si>
    <t>sec</t>
  </si>
  <si>
    <t>"Observational Astrophysics", P. Lena, pp. 91</t>
  </si>
  <si>
    <t>min</t>
  </si>
  <si>
    <t>http://www.jach.hawaii.edu/UKIRT/astronomy/calib/phot_cal/conver.html</t>
  </si>
  <si>
    <t>uas</t>
  </si>
  <si>
    <t>erg</t>
  </si>
  <si>
    <r>
      <t xml:space="preserve">*Note:   flux paramter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</rPr>
      <t xml:space="preserve"> allows smooth interpolation of flux for arbitrary bands: </t>
    </r>
  </si>
  <si>
    <t>E0 = 10^a    and    E(mag) = 10^(a - 0.4*mag) in W/m2/um</t>
  </si>
  <si>
    <t>Zodiacal Light brightness (Astrophysical Quantities 4th ed. p. 329)</t>
  </si>
  <si>
    <t>zodi (anti sun ecliptic)</t>
  </si>
  <si>
    <t>#10mag stars/deg^2</t>
  </si>
  <si>
    <t>zodi(90deg ecliptic)</t>
  </si>
  <si>
    <t>mag</t>
  </si>
  <si>
    <t>E(mag)</t>
  </si>
  <si>
    <t>zodi (anti-sun, 75 deg lat)</t>
  </si>
  <si>
    <t>Choose 'typical' Zodi</t>
  </si>
  <si>
    <t>Quantity</t>
  </si>
  <si>
    <r>
      <t xml:space="preserve">Phot sec-1 
m-2 </t>
    </r>
    <r>
      <rPr>
        <sz val="10"/>
        <rFont val="Symbol"/>
        <family val="1"/>
        <charset val="2"/>
      </rPr>
      <t>m</t>
    </r>
    <r>
      <rPr>
        <sz val="10"/>
        <color rgb="FF000000"/>
        <rFont val="Calibri"/>
        <family val="2"/>
      </rPr>
      <t>m-1</t>
    </r>
  </si>
  <si>
    <t>Phot sec-1 
cm-2 nm-1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</si>
</sst>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E+00"/>
    <numFmt numFmtId="165" formatCode="#,##0.0"/>
    <numFmt numFmtId="166" formatCode="0.0E+00"/>
    <numFmt numFmtId="167" formatCode="0.000"/>
    <numFmt numFmtId="168" formatCode="0.0%"/>
    <numFmt numFmtId="169" formatCode="[$$-409]#,##0.00;[Red]&quot;-&quot;[$$-409]#,##0.00"/>
    <numFmt numFmtId="170" formatCode="0.000E+00"/>
  </numFmts>
  <fonts count="39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Liberation Sans"/>
    </font>
    <font>
      <b/>
      <sz val="11"/>
      <color rgb="FF000000"/>
      <name val="Liberation Sans"/>
    </font>
    <font>
      <b/>
      <sz val="11"/>
      <color rgb="FF0066CC"/>
      <name val="Liberation Sans"/>
    </font>
    <font>
      <b/>
      <sz val="14"/>
      <color rgb="FFFFFFFF"/>
      <name val="Calibri"/>
      <family val="2"/>
    </font>
    <font>
      <sz val="13"/>
      <color rgb="FF800000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CC00"/>
      <name val="Calibri"/>
      <family val="2"/>
    </font>
    <font>
      <b/>
      <sz val="16"/>
      <color theme="4" tint="0.79998168889431442"/>
      <name val="Calibri"/>
      <family val="2"/>
      <scheme val="minor"/>
    </font>
    <font>
      <b/>
      <i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0"/>
      <color theme="9" tint="-0.249977111117893"/>
      <name val="Arial"/>
      <family val="2"/>
    </font>
    <font>
      <sz val="10"/>
      <color theme="1"/>
      <name val="Calibri"/>
      <family val="2"/>
      <scheme val="minor"/>
    </font>
    <font>
      <sz val="11"/>
      <color theme="2" tint="-0.749992370372631"/>
      <name val="Calibri"/>
      <family val="2"/>
    </font>
    <font>
      <sz val="11"/>
      <name val="Calibri"/>
      <family val="2"/>
    </font>
    <font>
      <i/>
      <sz val="11"/>
      <color theme="9" tint="-0.249977111117893"/>
      <name val="Calibri"/>
      <family val="2"/>
    </font>
    <font>
      <i/>
      <sz val="11"/>
      <color theme="9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</font>
    <font>
      <sz val="11"/>
      <color theme="5" tint="-0.499984740745262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EEF4D9"/>
        <bgColor rgb="FFEEF4D9"/>
      </patternFill>
    </fill>
    <fill>
      <patternFill patternType="solid">
        <fgColor rgb="FFE7E2CF"/>
        <bgColor rgb="FFE7E2CF"/>
      </patternFill>
    </fill>
    <fill>
      <patternFill patternType="solid">
        <fgColor rgb="FFFFFF99"/>
        <bgColor rgb="FFFFFF99"/>
      </patternFill>
    </fill>
    <fill>
      <patternFill patternType="solid">
        <fgColor rgb="FFD9E9F4"/>
        <bgColor rgb="FFD9E9F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9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9" fontId="6" fillId="0" borderId="0"/>
    <xf numFmtId="0" fontId="2" fillId="0" borderId="0"/>
    <xf numFmtId="0" fontId="1" fillId="0" borderId="0"/>
  </cellStyleXfs>
  <cellXfs count="106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11" fillId="3" borderId="0" xfId="0" applyFont="1" applyFill="1"/>
    <xf numFmtId="0" fontId="1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9" fontId="0" fillId="0" borderId="0" xfId="0" applyNumberFormat="1" applyAlignment="1">
      <alignment horizontal="center"/>
    </xf>
    <xf numFmtId="9" fontId="0" fillId="7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8" borderId="1" xfId="0" applyFill="1" applyBorder="1" applyAlignment="1">
      <alignment horizontal="center"/>
    </xf>
    <xf numFmtId="168" fontId="16" fillId="0" borderId="0" xfId="0" applyNumberFormat="1" applyFont="1" applyAlignment="1">
      <alignment horizontal="left"/>
    </xf>
    <xf numFmtId="11" fontId="0" fillId="0" borderId="0" xfId="0" applyNumberFormat="1"/>
    <xf numFmtId="168" fontId="0" fillId="0" borderId="0" xfId="0" applyNumberFormat="1" applyAlignment="1">
      <alignment horizontal="center"/>
    </xf>
    <xf numFmtId="168" fontId="15" fillId="0" borderId="0" xfId="0" applyNumberFormat="1" applyFont="1" applyAlignment="1">
      <alignment horizontal="center"/>
    </xf>
    <xf numFmtId="2" fontId="0" fillId="0" borderId="0" xfId="0" applyNumberFormat="1"/>
    <xf numFmtId="0" fontId="17" fillId="9" borderId="0" xfId="7" applyFont="1" applyFill="1"/>
    <xf numFmtId="0" fontId="1" fillId="0" borderId="0" xfId="7"/>
    <xf numFmtId="0" fontId="1" fillId="0" borderId="0" xfId="7" applyAlignment="1">
      <alignment horizontal="center" vertical="center"/>
    </xf>
    <xf numFmtId="0" fontId="18" fillId="0" borderId="0" xfId="7" applyFont="1"/>
    <xf numFmtId="0" fontId="3" fillId="0" borderId="0" xfId="7" applyFont="1"/>
    <xf numFmtId="0" fontId="1" fillId="0" borderId="0" xfId="7" applyAlignment="1">
      <alignment horizontal="center"/>
    </xf>
    <xf numFmtId="167" fontId="1" fillId="0" borderId="0" xfId="7" applyNumberFormat="1"/>
    <xf numFmtId="0" fontId="1" fillId="0" borderId="0" xfId="7" applyAlignment="1">
      <alignment horizontal="center" vertical="center" wrapText="1"/>
    </xf>
    <xf numFmtId="0" fontId="19" fillId="0" borderId="0" xfId="7" applyFont="1" applyAlignment="1">
      <alignment horizontal="center" vertical="center" wrapText="1"/>
    </xf>
    <xf numFmtId="0" fontId="23" fillId="0" borderId="0" xfId="7" applyFont="1" applyAlignment="1">
      <alignment horizontal="right"/>
    </xf>
    <xf numFmtId="11" fontId="1" fillId="0" borderId="0" xfId="7" applyNumberFormat="1" applyAlignment="1">
      <alignment horizontal="right"/>
    </xf>
    <xf numFmtId="0" fontId="24" fillId="0" borderId="0" xfId="7" applyFont="1" applyAlignment="1"/>
    <xf numFmtId="0" fontId="25" fillId="0" borderId="0" xfId="7" applyFont="1" applyAlignment="1">
      <alignment horizontal="center"/>
    </xf>
    <xf numFmtId="2" fontId="25" fillId="0" borderId="0" xfId="7" applyNumberFormat="1" applyFont="1" applyAlignment="1">
      <alignment horizontal="center" vertical="center"/>
    </xf>
    <xf numFmtId="167" fontId="25" fillId="0" borderId="0" xfId="7" applyNumberFormat="1" applyFont="1" applyAlignment="1">
      <alignment horizontal="center" vertical="center"/>
    </xf>
    <xf numFmtId="11" fontId="25" fillId="0" borderId="0" xfId="7" applyNumberFormat="1" applyFont="1" applyAlignment="1">
      <alignment horizontal="center" vertical="center"/>
    </xf>
    <xf numFmtId="0" fontId="26" fillId="0" borderId="0" xfId="7" applyFont="1" applyAlignment="1">
      <alignment horizontal="center"/>
    </xf>
    <xf numFmtId="2" fontId="26" fillId="0" borderId="0" xfId="7" applyNumberFormat="1" applyFont="1" applyAlignment="1">
      <alignment horizontal="center" vertical="center"/>
    </xf>
    <xf numFmtId="167" fontId="26" fillId="0" borderId="0" xfId="7" applyNumberFormat="1" applyFont="1" applyAlignment="1">
      <alignment horizontal="center" vertical="center"/>
    </xf>
    <xf numFmtId="11" fontId="26" fillId="0" borderId="0" xfId="7" applyNumberFormat="1" applyFont="1" applyAlignment="1">
      <alignment horizontal="center" vertical="center"/>
    </xf>
    <xf numFmtId="0" fontId="27" fillId="0" borderId="0" xfId="7" applyFont="1" applyAlignment="1">
      <alignment horizontal="center"/>
    </xf>
    <xf numFmtId="2" fontId="27" fillId="0" borderId="0" xfId="7" applyNumberFormat="1" applyFont="1" applyAlignment="1">
      <alignment horizontal="center" vertical="center"/>
    </xf>
    <xf numFmtId="167" fontId="27" fillId="0" borderId="0" xfId="7" applyNumberFormat="1" applyFont="1" applyAlignment="1">
      <alignment horizontal="center" vertical="center"/>
    </xf>
    <xf numFmtId="11" fontId="27" fillId="0" borderId="0" xfId="7" applyNumberFormat="1" applyFont="1" applyAlignment="1">
      <alignment horizontal="center" vertical="center"/>
    </xf>
    <xf numFmtId="0" fontId="28" fillId="0" borderId="0" xfId="7" applyFont="1" applyAlignment="1">
      <alignment horizontal="center"/>
    </xf>
    <xf numFmtId="2" fontId="28" fillId="0" borderId="0" xfId="7" applyNumberFormat="1" applyFont="1" applyAlignment="1">
      <alignment horizontal="center" vertical="center"/>
    </xf>
    <xf numFmtId="167" fontId="28" fillId="0" borderId="0" xfId="7" applyNumberFormat="1" applyFont="1" applyAlignment="1">
      <alignment horizontal="center" vertical="center"/>
    </xf>
    <xf numFmtId="11" fontId="28" fillId="0" borderId="0" xfId="7" applyNumberFormat="1" applyFont="1" applyAlignment="1">
      <alignment horizontal="center" vertical="center"/>
    </xf>
    <xf numFmtId="2" fontId="28" fillId="0" borderId="0" xfId="7" applyNumberFormat="1" applyFont="1" applyFill="1" applyAlignment="1">
      <alignment horizontal="center" vertical="center"/>
    </xf>
    <xf numFmtId="11" fontId="1" fillId="0" borderId="0" xfId="7" applyNumberFormat="1" applyAlignment="1">
      <alignment horizontal="right" vertical="center"/>
    </xf>
    <xf numFmtId="0" fontId="29" fillId="0" borderId="0" xfId="7" applyFont="1" applyAlignment="1">
      <alignment horizontal="center"/>
    </xf>
    <xf numFmtId="2" fontId="29" fillId="0" borderId="0" xfId="7" applyNumberFormat="1" applyFont="1" applyAlignment="1">
      <alignment horizontal="center" vertical="center"/>
    </xf>
    <xf numFmtId="167" fontId="29" fillId="0" borderId="0" xfId="7" applyNumberFormat="1" applyFont="1" applyAlignment="1">
      <alignment horizontal="center" vertical="center"/>
    </xf>
    <xf numFmtId="11" fontId="29" fillId="0" borderId="0" xfId="7" applyNumberFormat="1" applyFont="1" applyAlignment="1">
      <alignment horizontal="center" vertical="center"/>
    </xf>
    <xf numFmtId="0" fontId="1" fillId="0" borderId="0" xfId="7" applyBorder="1" applyAlignment="1">
      <alignment horizontal="center" wrapText="1"/>
    </xf>
    <xf numFmtId="0" fontId="30" fillId="0" borderId="0" xfId="7" applyFont="1" applyAlignment="1">
      <alignment horizontal="center" vertical="center" wrapText="1"/>
    </xf>
    <xf numFmtId="0" fontId="21" fillId="0" borderId="0" xfId="7" applyFont="1" applyAlignment="1">
      <alignment horizontal="center" vertical="center" wrapText="1"/>
    </xf>
    <xf numFmtId="0" fontId="31" fillId="0" borderId="0" xfId="7" applyFont="1" applyAlignment="1">
      <alignment horizontal="center"/>
    </xf>
    <xf numFmtId="2" fontId="31" fillId="0" borderId="0" xfId="7" applyNumberFormat="1" applyFont="1" applyAlignment="1">
      <alignment horizontal="center" vertical="center"/>
    </xf>
    <xf numFmtId="167" fontId="31" fillId="0" borderId="0" xfId="7" applyNumberFormat="1" applyFont="1" applyAlignment="1">
      <alignment horizontal="center" vertical="center"/>
    </xf>
    <xf numFmtId="11" fontId="31" fillId="0" borderId="0" xfId="7" applyNumberFormat="1" applyFont="1" applyAlignment="1">
      <alignment horizontal="center" vertical="center"/>
    </xf>
    <xf numFmtId="170" fontId="25" fillId="0" borderId="0" xfId="7" applyNumberFormat="1" applyFont="1" applyAlignment="1">
      <alignment horizontal="center" vertical="center"/>
    </xf>
    <xf numFmtId="0" fontId="20" fillId="0" borderId="0" xfId="7" applyFont="1" applyAlignment="1">
      <alignment horizontal="center"/>
    </xf>
    <xf numFmtId="2" fontId="20" fillId="0" borderId="0" xfId="7" applyNumberFormat="1" applyFont="1" applyAlignment="1">
      <alignment horizontal="center" vertical="center"/>
    </xf>
    <xf numFmtId="167" fontId="20" fillId="0" borderId="0" xfId="7" applyNumberFormat="1" applyFont="1" applyAlignment="1">
      <alignment horizontal="center" vertical="center"/>
    </xf>
    <xf numFmtId="11" fontId="20" fillId="0" borderId="0" xfId="7" applyNumberFormat="1" applyFont="1" applyAlignment="1">
      <alignment horizontal="center" vertical="center"/>
    </xf>
    <xf numFmtId="170" fontId="26" fillId="0" borderId="0" xfId="7" applyNumberFormat="1" applyFont="1" applyAlignment="1">
      <alignment horizontal="center" vertical="center"/>
    </xf>
    <xf numFmtId="170" fontId="27" fillId="0" borderId="0" xfId="7" applyNumberFormat="1" applyFont="1" applyAlignment="1">
      <alignment horizontal="center" vertical="center"/>
    </xf>
    <xf numFmtId="2" fontId="20" fillId="0" borderId="0" xfId="7" applyNumberFormat="1" applyFont="1" applyFill="1" applyAlignment="1">
      <alignment horizontal="center" vertical="center"/>
    </xf>
    <xf numFmtId="170" fontId="28" fillId="0" borderId="0" xfId="7" applyNumberFormat="1" applyFont="1" applyAlignment="1">
      <alignment horizontal="center" vertical="center"/>
    </xf>
    <xf numFmtId="170" fontId="20" fillId="0" borderId="0" xfId="7" applyNumberFormat="1" applyFont="1" applyAlignment="1">
      <alignment horizontal="center" vertical="center"/>
    </xf>
    <xf numFmtId="0" fontId="32" fillId="0" borderId="0" xfId="7" applyFont="1" applyAlignment="1">
      <alignment horizontal="center"/>
    </xf>
    <xf numFmtId="2" fontId="32" fillId="0" borderId="0" xfId="7" applyNumberFormat="1" applyFont="1" applyAlignment="1">
      <alignment horizontal="center" vertical="center"/>
    </xf>
    <xf numFmtId="167" fontId="32" fillId="0" borderId="0" xfId="7" applyNumberFormat="1" applyFont="1" applyAlignment="1">
      <alignment horizontal="center" vertical="center"/>
    </xf>
    <xf numFmtId="11" fontId="32" fillId="0" borderId="0" xfId="7" applyNumberFormat="1" applyFont="1" applyAlignment="1">
      <alignment horizontal="center" vertical="center"/>
    </xf>
    <xf numFmtId="0" fontId="1" fillId="0" borderId="0" xfId="7" applyBorder="1" applyAlignment="1">
      <alignment horizontal="center"/>
    </xf>
    <xf numFmtId="1" fontId="1" fillId="0" borderId="0" xfId="7" applyNumberFormat="1" applyAlignment="1">
      <alignment horizontal="right" vertical="center"/>
    </xf>
    <xf numFmtId="15" fontId="1" fillId="0" borderId="0" xfId="7" applyNumberFormat="1" applyAlignment="1">
      <alignment horizontal="left"/>
    </xf>
    <xf numFmtId="0" fontId="1" fillId="0" borderId="0" xfId="7" applyAlignment="1">
      <alignment horizontal="left"/>
    </xf>
    <xf numFmtId="0" fontId="32" fillId="0" borderId="0" xfId="7" applyFont="1"/>
    <xf numFmtId="0" fontId="33" fillId="0" borderId="0" xfId="0" applyFont="1"/>
    <xf numFmtId="0" fontId="34" fillId="0" borderId="0" xfId="7" applyFont="1"/>
    <xf numFmtId="0" fontId="34" fillId="0" borderId="0" xfId="7" applyFont="1" applyAlignment="1">
      <alignment horizontal="center" vertical="center"/>
    </xf>
    <xf numFmtId="0" fontId="34" fillId="0" borderId="0" xfId="7" applyFont="1" applyAlignment="1">
      <alignment horizontal="left" vertical="center"/>
    </xf>
    <xf numFmtId="2" fontId="33" fillId="0" borderId="0" xfId="7" applyNumberFormat="1" applyFont="1" applyBorder="1" applyAlignment="1">
      <alignment horizontal="center"/>
    </xf>
    <xf numFmtId="0" fontId="36" fillId="0" borderId="0" xfId="0" applyFont="1"/>
    <xf numFmtId="0" fontId="37" fillId="0" borderId="0" xfId="7" applyFont="1"/>
    <xf numFmtId="0" fontId="35" fillId="0" borderId="0" xfId="7" applyFont="1" applyAlignment="1">
      <alignment horizontal="center"/>
    </xf>
    <xf numFmtId="0" fontId="37" fillId="0" borderId="0" xfId="7" applyFont="1" applyAlignment="1">
      <alignment horizontal="center" vertical="center"/>
    </xf>
    <xf numFmtId="167" fontId="36" fillId="0" borderId="0" xfId="7" applyNumberFormat="1" applyFont="1" applyBorder="1" applyAlignment="1">
      <alignment horizontal="center"/>
    </xf>
  </cellXfs>
  <cellStyles count="8">
    <cellStyle name="Excel_BuiltIn_Percent" xfId="1"/>
    <cellStyle name="Heading" xfId="2"/>
    <cellStyle name="Heading1" xfId="3"/>
    <cellStyle name="Normal" xfId="0" builtinId="0" customBuiltin="1"/>
    <cellStyle name="Normal 2" xfId="6"/>
    <cellStyle name="Normal 3" xfId="7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67843" y="4957572"/>
    <xdr:ext cx="5742305" cy="284721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267843" y="4957572"/>
          <a:ext cx="5742305" cy="2847213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494178</xdr:colOff>
      <xdr:row>47</xdr:row>
      <xdr:rowOff>118782</xdr:rowOff>
    </xdr:from>
    <xdr:to>
      <xdr:col>7</xdr:col>
      <xdr:colOff>321194</xdr:colOff>
      <xdr:row>64</xdr:row>
      <xdr:rowOff>90207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928" y="9338982"/>
          <a:ext cx="4170416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/>
  </sheetViews>
  <sheetFormatPr defaultRowHeight="15"/>
  <cols>
    <col min="1" max="1" width="12.140625" customWidth="1"/>
    <col min="2" max="2" width="54" style="1" customWidth="1"/>
  </cols>
  <sheetData>
    <row r="2" spans="2:2" ht="45">
      <c r="B2" s="1" t="s">
        <v>0</v>
      </c>
    </row>
  </sheetData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J10"/>
  <sheetViews>
    <sheetView workbookViewId="0"/>
  </sheetViews>
  <sheetFormatPr defaultRowHeight="15"/>
  <cols>
    <col min="1" max="1" width="4.42578125" style="2" customWidth="1"/>
    <col min="2" max="2" width="48.42578125" style="2" customWidth="1"/>
    <col min="3" max="5" width="19.42578125" style="2" customWidth="1"/>
    <col min="6" max="6" width="43.42578125" style="2" customWidth="1"/>
    <col min="7" max="8" width="19.42578125" style="2" customWidth="1"/>
    <col min="9" max="1024" width="12.140625" style="2" customWidth="1"/>
  </cols>
  <sheetData>
    <row r="3" spans="2:8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2:8">
      <c r="B4" s="2" t="s">
        <v>8</v>
      </c>
      <c r="C4" s="5" t="s">
        <v>9</v>
      </c>
      <c r="D4" s="6" t="s">
        <v>10</v>
      </c>
      <c r="E4" s="6" t="s">
        <v>11</v>
      </c>
      <c r="F4" s="6" t="s">
        <v>12</v>
      </c>
      <c r="G4" s="6">
        <f>Parameters!K8/1000</f>
        <v>5.12</v>
      </c>
      <c r="H4" s="6" t="s">
        <v>13</v>
      </c>
    </row>
    <row r="5" spans="2:8">
      <c r="B5" s="2" t="s">
        <v>14</v>
      </c>
      <c r="C5" s="5" t="s">
        <v>15</v>
      </c>
      <c r="D5" s="6" t="s">
        <v>16</v>
      </c>
      <c r="E5" s="6" t="s">
        <v>11</v>
      </c>
      <c r="F5" s="6" t="s">
        <v>17</v>
      </c>
      <c r="G5" s="6">
        <f>2*Parameters!K6*Parameters!K4</f>
        <v>0</v>
      </c>
      <c r="H5" s="6" t="s">
        <v>18</v>
      </c>
    </row>
    <row r="6" spans="2:8">
      <c r="B6" s="2" t="s">
        <v>19</v>
      </c>
      <c r="C6" s="5" t="s">
        <v>20</v>
      </c>
      <c r="D6" s="6" t="s">
        <v>21</v>
      </c>
      <c r="E6" s="6" t="s">
        <v>22</v>
      </c>
      <c r="F6" s="6" t="s">
        <v>23</v>
      </c>
      <c r="G6" s="6"/>
      <c r="H6" s="6"/>
    </row>
    <row r="7" spans="2:8">
      <c r="B7" s="2" t="s">
        <v>24</v>
      </c>
      <c r="C7" s="5" t="s">
        <v>25</v>
      </c>
      <c r="D7" s="6" t="s">
        <v>16</v>
      </c>
      <c r="E7" s="6" t="s">
        <v>26</v>
      </c>
      <c r="F7" s="6" t="s">
        <v>27</v>
      </c>
      <c r="G7" s="6"/>
      <c r="H7" s="6"/>
    </row>
    <row r="8" spans="2:8">
      <c r="B8" s="2" t="s">
        <v>28</v>
      </c>
      <c r="C8" s="5" t="s">
        <v>29</v>
      </c>
      <c r="D8" s="6" t="s">
        <v>30</v>
      </c>
      <c r="E8" s="6" t="s">
        <v>31</v>
      </c>
      <c r="F8" s="6"/>
      <c r="G8" s="6"/>
      <c r="H8" s="6"/>
    </row>
    <row r="10" spans="2:8">
      <c r="G10" s="2">
        <f>0.3/5</f>
        <v>0.06</v>
      </c>
    </row>
  </sheetData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8"/>
  <sheetViews>
    <sheetView zoomScale="190" zoomScaleNormal="190" workbookViewId="0">
      <selection activeCell="Q7" sqref="Q7"/>
    </sheetView>
  </sheetViews>
  <sheetFormatPr defaultRowHeight="15"/>
  <cols>
    <col min="1" max="1" width="1.28515625" customWidth="1"/>
    <col min="2" max="2" width="10.28515625" customWidth="1"/>
    <col min="3" max="3" width="10.7109375" customWidth="1"/>
    <col min="4" max="12" width="12.140625" customWidth="1"/>
    <col min="13" max="13" width="14.5703125" customWidth="1"/>
    <col min="14" max="14" width="5" customWidth="1"/>
    <col min="15" max="15" width="12.140625" customWidth="1"/>
    <col min="16" max="16" width="17.5703125" customWidth="1"/>
    <col min="17" max="1023" width="12.140625" customWidth="1"/>
  </cols>
  <sheetData>
    <row r="1" spans="1:1023" ht="18.75">
      <c r="A1" s="7"/>
      <c r="B1" s="7" t="s">
        <v>32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</row>
    <row r="2" spans="1:1023">
      <c r="A2" s="8"/>
      <c r="B2" s="8"/>
      <c r="C2" s="8"/>
      <c r="D2" s="8"/>
      <c r="E2" s="8"/>
      <c r="F2" s="8"/>
      <c r="G2" s="8"/>
      <c r="H2" s="8"/>
      <c r="I2" s="8"/>
      <c r="J2" s="8"/>
      <c r="K2" s="9"/>
      <c r="L2" s="9"/>
      <c r="M2" s="8"/>
      <c r="N2" s="8"/>
    </row>
    <row r="3" spans="1:1023" ht="17.25">
      <c r="A3" s="8"/>
      <c r="B3" s="10" t="s">
        <v>32</v>
      </c>
      <c r="C3" s="8"/>
      <c r="D3" s="8"/>
      <c r="E3" s="8"/>
      <c r="F3" s="8"/>
      <c r="G3" s="8"/>
      <c r="H3" s="8"/>
      <c r="I3" s="8"/>
      <c r="J3" s="8"/>
      <c r="K3" s="9" t="s">
        <v>33</v>
      </c>
      <c r="L3" s="9" t="s">
        <v>34</v>
      </c>
      <c r="M3" s="9" t="s">
        <v>35</v>
      </c>
      <c r="N3" s="8"/>
    </row>
    <row r="4" spans="1:1023" ht="15.75">
      <c r="A4" s="8"/>
      <c r="B4" s="11" t="s">
        <v>36</v>
      </c>
      <c r="C4" s="11" t="s">
        <v>37</v>
      </c>
      <c r="D4" s="11" t="s">
        <v>38</v>
      </c>
      <c r="E4" s="11" t="s">
        <v>39</v>
      </c>
      <c r="F4" s="11" t="s">
        <v>40</v>
      </c>
      <c r="G4" s="11" t="s">
        <v>41</v>
      </c>
      <c r="H4" s="11" t="s">
        <v>42</v>
      </c>
      <c r="I4" s="11" t="s">
        <v>43</v>
      </c>
      <c r="J4" s="11" t="s">
        <v>44</v>
      </c>
      <c r="K4" s="11" t="s">
        <v>45</v>
      </c>
      <c r="L4" s="11" t="s">
        <v>46</v>
      </c>
      <c r="M4" s="11" t="s">
        <v>47</v>
      </c>
      <c r="N4" s="8"/>
    </row>
    <row r="5" spans="1:1023">
      <c r="A5" s="8"/>
      <c r="B5" s="12">
        <v>-1</v>
      </c>
      <c r="C5" s="13" t="s">
        <v>48</v>
      </c>
      <c r="D5" s="14">
        <v>0.05</v>
      </c>
      <c r="E5" s="15">
        <f>(zeroMagFlux/E_ph)*10^(-0.4*B5)*(lambda*D5)</f>
        <v>7497324739.714386</v>
      </c>
      <c r="F5" s="16">
        <v>1E-4</v>
      </c>
      <c r="G5" s="15">
        <f>$Q$28*F5</f>
        <v>1.0297793999999999E-6</v>
      </c>
      <c r="H5" s="15">
        <f>E5*G5*Acol/Mpix</f>
        <v>5723.5520288054549</v>
      </c>
      <c r="I5" s="15">
        <f t="shared" ref="I5:I20" si="0">H5*QE</f>
        <v>5151.1968259249097</v>
      </c>
      <c r="J5" s="17">
        <f t="shared" ref="J5:J20" si="1">FWC/I5</f>
        <v>0.19412964283702119</v>
      </c>
      <c r="K5" s="12">
        <v>0.1</v>
      </c>
      <c r="L5" s="18">
        <f t="shared" ref="L5:L20" si="2">K5*I5</f>
        <v>515.11968259249102</v>
      </c>
      <c r="M5" s="19">
        <f>lambda/Dcol/SQRT(Mpix*L5)/mas</f>
        <v>0.95595356713458002</v>
      </c>
      <c r="N5" s="8"/>
    </row>
    <row r="6" spans="1:1023">
      <c r="A6" s="8"/>
      <c r="B6" s="12">
        <v>0</v>
      </c>
      <c r="C6" s="13" t="s">
        <v>48</v>
      </c>
      <c r="D6" s="14">
        <v>0.05</v>
      </c>
      <c r="E6" s="15">
        <f>(zeroMagFlux/E_ph)*10^(-0.4*B6)*(lambda*D6)</f>
        <v>2984738738.8484287</v>
      </c>
      <c r="F6" s="16">
        <v>1E-4</v>
      </c>
      <c r="G6" s="15">
        <f>$Q$28*F6</f>
        <v>1.0297793999999999E-6</v>
      </c>
      <c r="H6" s="15">
        <f>E6*G6*Acol/Mpix</f>
        <v>2278.5871037034681</v>
      </c>
      <c r="I6" s="15">
        <f t="shared" si="0"/>
        <v>2050.7283933331214</v>
      </c>
      <c r="J6" s="17">
        <f t="shared" si="1"/>
        <v>0.48763161579611458</v>
      </c>
      <c r="K6" s="12">
        <v>0.1</v>
      </c>
      <c r="L6" s="18">
        <f t="shared" si="2"/>
        <v>205.07283933331215</v>
      </c>
      <c r="M6" s="19">
        <f>lambda/Dcol/SQRT(Mpix*L6)/mas</f>
        <v>1.5150843008605139</v>
      </c>
      <c r="N6" s="8"/>
      <c r="P6" s="20" t="s">
        <v>49</v>
      </c>
      <c r="Q6" s="21" t="s">
        <v>50</v>
      </c>
      <c r="R6" s="20" t="s">
        <v>7</v>
      </c>
      <c r="S6" s="20" t="s">
        <v>5</v>
      </c>
      <c r="T6" t="s">
        <v>51</v>
      </c>
    </row>
    <row r="7" spans="1:1023">
      <c r="A7" s="8"/>
      <c r="B7" s="12">
        <v>1</v>
      </c>
      <c r="C7" s="13" t="s">
        <v>48</v>
      </c>
      <c r="D7" s="14">
        <v>0.05</v>
      </c>
      <c r="E7" s="15">
        <f>(zeroMagFlux/E_ph)*10^(-0.4*B7)*(lambda*D7)</f>
        <v>1188245894.1643617</v>
      </c>
      <c r="F7" s="16">
        <v>1E-4</v>
      </c>
      <c r="G7" s="15">
        <f>$Q$28*F7</f>
        <v>1.0297793999999999E-6</v>
      </c>
      <c r="H7" s="15">
        <f>E7*G7*Acol/Mpix</f>
        <v>907.12186471507596</v>
      </c>
      <c r="I7" s="15">
        <f t="shared" si="0"/>
        <v>816.40967824356835</v>
      </c>
      <c r="J7" s="17">
        <f t="shared" si="1"/>
        <v>1.2248752392933528</v>
      </c>
      <c r="K7" s="12">
        <v>0.1</v>
      </c>
      <c r="L7" s="18">
        <f t="shared" si="2"/>
        <v>81.640967824356835</v>
      </c>
      <c r="M7" s="19">
        <f>lambda/Dcol/SQRT(Mpix*L7)/mas</f>
        <v>2.4012467944385341</v>
      </c>
      <c r="N7" s="8"/>
      <c r="P7" t="s">
        <v>52</v>
      </c>
      <c r="Q7" s="22">
        <v>2.36</v>
      </c>
      <c r="R7" s="23" t="s">
        <v>53</v>
      </c>
      <c r="T7" t="s">
        <v>54</v>
      </c>
    </row>
    <row r="8" spans="1:1023">
      <c r="A8" s="8"/>
      <c r="B8" s="12">
        <v>2</v>
      </c>
      <c r="C8" s="13" t="s">
        <v>48</v>
      </c>
      <c r="D8" s="14">
        <v>0.05</v>
      </c>
      <c r="E8" s="15">
        <f>(zeroMagFlux/E_ph)*10^(-0.4*B8)*(lambda*D8)</f>
        <v>473049210.84758431</v>
      </c>
      <c r="F8" s="16">
        <v>1E-4</v>
      </c>
      <c r="G8" s="15">
        <f>$Q$28*F8</f>
        <v>1.0297793999999999E-6</v>
      </c>
      <c r="H8" s="15">
        <f>E8*G8*Acol/Mpix</f>
        <v>361.13171890893113</v>
      </c>
      <c r="I8" s="15">
        <f t="shared" si="0"/>
        <v>325.01854701803802</v>
      </c>
      <c r="J8" s="17">
        <f t="shared" si="1"/>
        <v>3.0767474938730235</v>
      </c>
      <c r="K8" s="12">
        <v>0.1</v>
      </c>
      <c r="L8" s="18">
        <f t="shared" si="2"/>
        <v>32.501854701803801</v>
      </c>
      <c r="M8" s="19">
        <f>lambda/Dcol/SQRT(Mpix*L8)/mas</f>
        <v>3.8057196979247037</v>
      </c>
      <c r="N8" s="8"/>
      <c r="P8" t="s">
        <v>55</v>
      </c>
      <c r="Q8" s="24">
        <v>0.41</v>
      </c>
      <c r="R8" s="23"/>
      <c r="T8" t="s">
        <v>54</v>
      </c>
    </row>
    <row r="9" spans="1:1023">
      <c r="A9" s="8"/>
      <c r="B9" s="12">
        <v>3</v>
      </c>
      <c r="C9" s="13" t="s">
        <v>48</v>
      </c>
      <c r="D9" s="25">
        <v>0.18</v>
      </c>
      <c r="E9" s="15">
        <f>(zeroMagFlux/E_ph)*10^(-0.4*B9)*(lambda*D9)</f>
        <v>677967418.30714726</v>
      </c>
      <c r="F9" s="16">
        <v>1E-4</v>
      </c>
      <c r="G9" s="15">
        <f>$Q$28*F9</f>
        <v>1.0297793999999999E-6</v>
      </c>
      <c r="H9" s="15">
        <f>E9*G9*Acol/Mpix</f>
        <v>517.56885652303947</v>
      </c>
      <c r="I9" s="15">
        <f t="shared" si="0"/>
        <v>465.81197087073554</v>
      </c>
      <c r="J9" s="17">
        <f t="shared" si="1"/>
        <v>2.1467889675113212</v>
      </c>
      <c r="K9" s="12">
        <v>0.1</v>
      </c>
      <c r="L9" s="18">
        <f t="shared" si="2"/>
        <v>46.581197087073555</v>
      </c>
      <c r="M9" s="19">
        <f>lambda/Dcol/SQRT(Mpix*L9)/mas</f>
        <v>3.1789635456061687</v>
      </c>
      <c r="N9" s="8"/>
      <c r="P9" t="s">
        <v>56</v>
      </c>
      <c r="Q9" s="26">
        <f>(PI()/4)*(1-Acquisition!Q8^2)*Acquisition!Q7^2</f>
        <v>3.6390247688731261</v>
      </c>
      <c r="R9" s="23" t="s">
        <v>57</v>
      </c>
      <c r="S9" t="s">
        <v>58</v>
      </c>
      <c r="T9" t="s">
        <v>54</v>
      </c>
    </row>
    <row r="10" spans="1:1023">
      <c r="A10" s="8"/>
      <c r="B10" s="12">
        <v>4</v>
      </c>
      <c r="C10" s="13" t="s">
        <v>48</v>
      </c>
      <c r="D10" s="25">
        <v>0.18</v>
      </c>
      <c r="E10" s="15">
        <f>(zeroMagFlux/E_ph)*10^(-0.4*B10)*(lambda*D10)</f>
        <v>269903690.62971759</v>
      </c>
      <c r="F10" s="16">
        <v>1E-4</v>
      </c>
      <c r="G10" s="15">
        <f>$Q$28*F10</f>
        <v>1.0297793999999999E-6</v>
      </c>
      <c r="H10" s="15">
        <f>E10*G10*Acol/Mpix</f>
        <v>206.04787303699618</v>
      </c>
      <c r="I10" s="15">
        <f t="shared" si="0"/>
        <v>185.44308573329656</v>
      </c>
      <c r="J10" s="17">
        <f t="shared" si="1"/>
        <v>5.3924900788061505</v>
      </c>
      <c r="K10" s="12">
        <v>0.1</v>
      </c>
      <c r="L10" s="18">
        <f t="shared" si="2"/>
        <v>18.544308573329655</v>
      </c>
      <c r="M10" s="19">
        <f>lambda/Dcol/SQRT(Mpix*L10)/mas</f>
        <v>5.0383176825132621</v>
      </c>
      <c r="N10" s="8"/>
      <c r="P10" t="s">
        <v>59</v>
      </c>
      <c r="Q10" s="27">
        <v>5.5000000000000003E-7</v>
      </c>
      <c r="R10" s="23" t="s">
        <v>53</v>
      </c>
    </row>
    <row r="11" spans="1:1023">
      <c r="A11" s="8"/>
      <c r="B11" s="12">
        <v>5</v>
      </c>
      <c r="C11" s="13" t="s">
        <v>48</v>
      </c>
      <c r="D11" s="25">
        <v>0.18</v>
      </c>
      <c r="E11" s="15">
        <f>(zeroMagFlux/E_ph)*10^(-0.4*B11)*(lambda*D11)</f>
        <v>107450594.59854344</v>
      </c>
      <c r="F11" s="16">
        <v>1E-4</v>
      </c>
      <c r="G11" s="15">
        <f>$Q$28*F11</f>
        <v>1.0297793999999999E-6</v>
      </c>
      <c r="H11" s="15">
        <f>E11*G11*Acol/Mpix</f>
        <v>82.02913573332485</v>
      </c>
      <c r="I11" s="15">
        <f t="shared" si="0"/>
        <v>73.826222159992369</v>
      </c>
      <c r="J11" s="17">
        <f t="shared" si="1"/>
        <v>13.545322661003183</v>
      </c>
      <c r="K11" s="12">
        <v>1</v>
      </c>
      <c r="L11" s="18">
        <f t="shared" si="2"/>
        <v>73.826222159992369</v>
      </c>
      <c r="M11" s="19">
        <f>lambda/Dcol/SQRT(Mpix*L11)/mas</f>
        <v>2.5251405014341897</v>
      </c>
      <c r="N11" s="8"/>
      <c r="P11" t="s">
        <v>60</v>
      </c>
      <c r="Q11" s="28">
        <f>Q15*Q16/Q10</f>
        <v>3.6117063981818178E-19</v>
      </c>
      <c r="R11" s="23" t="s">
        <v>61</v>
      </c>
    </row>
    <row r="12" spans="1:1023">
      <c r="A12" s="8"/>
      <c r="B12" s="12">
        <v>6</v>
      </c>
      <c r="C12" s="13" t="s">
        <v>48</v>
      </c>
      <c r="D12" s="25">
        <v>0.18</v>
      </c>
      <c r="E12" s="15">
        <f>(zeroMagFlux/E_ph)*10^(-0.4*B12)*(lambda*D12)</f>
        <v>42776852.189916976</v>
      </c>
      <c r="F12" s="16">
        <v>1E-4</v>
      </c>
      <c r="G12" s="15">
        <f>$Q$28*F12</f>
        <v>1.0297793999999999E-6</v>
      </c>
      <c r="H12" s="15">
        <f>E12*G12*Acol/Mpix</f>
        <v>32.656387129742697</v>
      </c>
      <c r="I12" s="15">
        <f t="shared" si="0"/>
        <v>29.390748416768428</v>
      </c>
      <c r="J12" s="17">
        <f t="shared" si="1"/>
        <v>34.024312202593173</v>
      </c>
      <c r="K12" s="12">
        <v>1</v>
      </c>
      <c r="L12" s="18">
        <f t="shared" si="2"/>
        <v>29.390748416768428</v>
      </c>
      <c r="M12" s="19">
        <f>lambda/Dcol/SQRT(Mpix*L12)/mas</f>
        <v>4.0020779907308919</v>
      </c>
      <c r="N12" s="8"/>
      <c r="P12" t="s">
        <v>62</v>
      </c>
      <c r="Q12" s="22">
        <v>2.5</v>
      </c>
      <c r="R12" s="23" t="s">
        <v>63</v>
      </c>
    </row>
    <row r="13" spans="1:1023">
      <c r="A13" s="8"/>
      <c r="B13" s="12">
        <v>7</v>
      </c>
      <c r="C13" s="13" t="s">
        <v>48</v>
      </c>
      <c r="D13" s="25">
        <v>0.18</v>
      </c>
      <c r="E13" s="15">
        <f>(zeroMagFlux/E_ph)*10^(-0.4*B13)*(lambda*D13)</f>
        <v>17029771.590513024</v>
      </c>
      <c r="F13" s="16">
        <v>1E-4</v>
      </c>
      <c r="G13" s="15">
        <f>$Q$28*F13</f>
        <v>1.0297793999999999E-6</v>
      </c>
      <c r="H13" s="15">
        <f>E13*G13*Acol/Mpix</f>
        <v>13.000741880721511</v>
      </c>
      <c r="I13" s="15">
        <f t="shared" si="0"/>
        <v>11.700667692649361</v>
      </c>
      <c r="J13" s="17">
        <f t="shared" si="1"/>
        <v>85.465208163139607</v>
      </c>
      <c r="K13" s="12">
        <v>1</v>
      </c>
      <c r="L13" s="18">
        <f t="shared" si="2"/>
        <v>11.700667692649361</v>
      </c>
      <c r="M13" s="19">
        <f>lambda/Dcol/SQRT(Mpix*L13)/mas</f>
        <v>6.3428661632078418</v>
      </c>
      <c r="N13" s="8"/>
      <c r="P13" t="s">
        <v>64</v>
      </c>
      <c r="Q13" s="29">
        <f>(PI()/4)*Acquisition!Q12^2</f>
        <v>4.908738521234052</v>
      </c>
      <c r="R13" s="23"/>
      <c r="S13" t="s">
        <v>65</v>
      </c>
    </row>
    <row r="14" spans="1:1023">
      <c r="A14" s="8"/>
      <c r="B14" s="12">
        <v>8</v>
      </c>
      <c r="C14" s="13" t="s">
        <v>48</v>
      </c>
      <c r="D14" s="25">
        <v>0.18</v>
      </c>
      <c r="E14" s="15">
        <f>(zeroMagFlux/E_ph)*10^(-0.4*B14)*(lambda*D14)</f>
        <v>6779674.1830714671</v>
      </c>
      <c r="F14" s="16">
        <v>1E-4</v>
      </c>
      <c r="G14" s="15">
        <f>$Q$28*F14</f>
        <v>1.0297793999999999E-6</v>
      </c>
      <c r="H14" s="15">
        <f>E14*G14*Acol/Mpix</f>
        <v>5.1756885652303906</v>
      </c>
      <c r="I14" s="15">
        <f t="shared" si="0"/>
        <v>4.6581197087073516</v>
      </c>
      <c r="J14" s="17">
        <f t="shared" si="1"/>
        <v>214.6788967511323</v>
      </c>
      <c r="K14" s="12">
        <v>1</v>
      </c>
      <c r="L14" s="18">
        <f t="shared" si="2"/>
        <v>4.6581197087073516</v>
      </c>
      <c r="M14" s="19">
        <f>lambda/Dcol/SQRT(Mpix*L14)/mas</f>
        <v>10.052765402760054</v>
      </c>
      <c r="N14" s="8"/>
      <c r="P14" t="s">
        <v>66</v>
      </c>
      <c r="Q14" s="22">
        <v>1000</v>
      </c>
      <c r="R14" s="23"/>
      <c r="S14" t="s">
        <v>67</v>
      </c>
      <c r="T14" t="s">
        <v>68</v>
      </c>
    </row>
    <row r="15" spans="1:1023">
      <c r="A15" s="8"/>
      <c r="B15" s="12">
        <v>9</v>
      </c>
      <c r="C15" s="30" t="s">
        <v>69</v>
      </c>
      <c r="D15" s="14">
        <v>0.05</v>
      </c>
      <c r="E15" s="15">
        <f>(zeroMagFlux/E_ph)*10^(-0.4*B15)*(lambda*D15)</f>
        <v>749732.47397143755</v>
      </c>
      <c r="F15" s="18">
        <v>1</v>
      </c>
      <c r="G15" s="15">
        <f>$Q$28*F15</f>
        <v>1.0297793999999999E-2</v>
      </c>
      <c r="H15" s="15">
        <f>E15*G15*Acol/Mpix</f>
        <v>5723.5520288054477</v>
      </c>
      <c r="I15" s="15">
        <f t="shared" si="0"/>
        <v>5151.1968259249034</v>
      </c>
      <c r="J15" s="17">
        <f t="shared" si="1"/>
        <v>0.19412964283702144</v>
      </c>
      <c r="K15" s="12">
        <v>0.1</v>
      </c>
      <c r="L15" s="18">
        <f t="shared" si="2"/>
        <v>515.11968259249034</v>
      </c>
      <c r="M15" s="19">
        <f>lambda/Dcol/SQRT(Mpix*L15)/mas</f>
        <v>0.95595356713458068</v>
      </c>
      <c r="N15" s="8"/>
      <c r="P15" t="s">
        <v>70</v>
      </c>
      <c r="Q15" s="27">
        <v>6.6261000000000003E-34</v>
      </c>
      <c r="R15" s="23" t="s">
        <v>71</v>
      </c>
    </row>
    <row r="16" spans="1:1023">
      <c r="A16" s="8"/>
      <c r="B16" s="12">
        <v>10</v>
      </c>
      <c r="C16" s="30" t="s">
        <v>69</v>
      </c>
      <c r="D16" s="14">
        <v>0.05</v>
      </c>
      <c r="E16" s="15">
        <f>(zeroMagFlux/E_ph)*10^(-0.4*B16)*(lambda*D16)</f>
        <v>298473.87388484291</v>
      </c>
      <c r="F16" s="18">
        <v>1</v>
      </c>
      <c r="G16" s="15">
        <f>$Q$28*F16</f>
        <v>1.0297793999999999E-2</v>
      </c>
      <c r="H16" s="15">
        <f>E16*G16*Acol/Mpix</f>
        <v>2278.5871037034681</v>
      </c>
      <c r="I16" s="15">
        <f t="shared" si="0"/>
        <v>2050.7283933331214</v>
      </c>
      <c r="J16" s="17">
        <f t="shared" si="1"/>
        <v>0.48763161579611458</v>
      </c>
      <c r="K16" s="12">
        <v>0.1</v>
      </c>
      <c r="L16" s="18">
        <f t="shared" si="2"/>
        <v>205.07283933331215</v>
      </c>
      <c r="M16" s="19">
        <f>lambda/Dcol/SQRT(Mpix*L16)/mas</f>
        <v>1.5150843008605139</v>
      </c>
      <c r="N16" s="8"/>
      <c r="P16" t="s">
        <v>72</v>
      </c>
      <c r="Q16" s="27">
        <v>299790000</v>
      </c>
      <c r="R16" s="23" t="s">
        <v>73</v>
      </c>
    </row>
    <row r="17" spans="1:20">
      <c r="A17" s="8"/>
      <c r="B17" s="12">
        <v>11</v>
      </c>
      <c r="C17" s="30" t="s">
        <v>69</v>
      </c>
      <c r="D17" s="14">
        <v>0.05</v>
      </c>
      <c r="E17" s="15">
        <f>(zeroMagFlux/E_ph)*10^(-0.4*B17)*(lambda*D17)</f>
        <v>118824.58941643591</v>
      </c>
      <c r="F17" s="18">
        <v>1</v>
      </c>
      <c r="G17" s="15">
        <f>$Q$28*F17</f>
        <v>1.0297793999999999E-2</v>
      </c>
      <c r="H17" s="15">
        <f>E17*G17*Acol/Mpix</f>
        <v>907.12186471507391</v>
      </c>
      <c r="I17" s="15">
        <f t="shared" si="0"/>
        <v>816.40967824356653</v>
      </c>
      <c r="J17" s="17">
        <f t="shared" si="1"/>
        <v>1.2248752392933555</v>
      </c>
      <c r="K17" s="12">
        <v>0.1</v>
      </c>
      <c r="L17" s="18">
        <f t="shared" si="2"/>
        <v>81.640967824356665</v>
      </c>
      <c r="M17" s="19">
        <f>lambda/Dcol/SQRT(Mpix*L17)/mas</f>
        <v>2.4012467944385363</v>
      </c>
      <c r="N17" s="8"/>
      <c r="P17" t="s">
        <v>74</v>
      </c>
      <c r="Q17" s="27">
        <v>3.9199999999999999E-2</v>
      </c>
      <c r="R17" s="23" t="s">
        <v>75</v>
      </c>
    </row>
    <row r="18" spans="1:20">
      <c r="A18" s="8"/>
      <c r="B18" s="12">
        <v>12</v>
      </c>
      <c r="C18" s="30" t="s">
        <v>69</v>
      </c>
      <c r="D18" s="14">
        <v>0.05</v>
      </c>
      <c r="E18" s="15">
        <f>(zeroMagFlux/E_ph)*10^(-0.4*B18)*(lambda*D18)</f>
        <v>47304.921084758338</v>
      </c>
      <c r="F18" s="18">
        <v>1</v>
      </c>
      <c r="G18" s="15">
        <f>$Q$28*F18</f>
        <v>1.0297793999999999E-2</v>
      </c>
      <c r="H18" s="15">
        <f>E18*G18*Acol/Mpix</f>
        <v>361.1317189089304</v>
      </c>
      <c r="I18" s="15">
        <f t="shared" si="0"/>
        <v>325.01854701803734</v>
      </c>
      <c r="J18" s="17">
        <f t="shared" si="1"/>
        <v>3.0767474938730301</v>
      </c>
      <c r="K18" s="12">
        <v>0.1</v>
      </c>
      <c r="L18" s="18">
        <f t="shared" si="2"/>
        <v>32.501854701803737</v>
      </c>
      <c r="M18" s="19">
        <f>lambda/Dcol/SQRT(Mpix*L18)/mas</f>
        <v>3.8057196979247077</v>
      </c>
      <c r="N18" s="8"/>
      <c r="Q18" s="22"/>
      <c r="R18" s="23"/>
      <c r="S18" t="s">
        <v>76</v>
      </c>
    </row>
    <row r="19" spans="1:20">
      <c r="A19" s="8"/>
      <c r="B19" s="12">
        <v>13</v>
      </c>
      <c r="C19" s="30" t="s">
        <v>69</v>
      </c>
      <c r="D19" s="14">
        <v>0.05</v>
      </c>
      <c r="E19" s="15">
        <f>(zeroMagFlux/E_ph)*10^(-0.4*B19)*(lambda*D19)</f>
        <v>18832.428286309623</v>
      </c>
      <c r="F19" s="18">
        <v>1</v>
      </c>
      <c r="G19" s="15">
        <f>$Q$28*F19</f>
        <v>1.0297793999999999E-2</v>
      </c>
      <c r="H19" s="15">
        <f>E19*G19*Acol/Mpix</f>
        <v>143.76912681195526</v>
      </c>
      <c r="I19" s="15">
        <f t="shared" si="0"/>
        <v>129.39221413075973</v>
      </c>
      <c r="J19" s="17">
        <f t="shared" si="1"/>
        <v>7.728440283040765</v>
      </c>
      <c r="K19" s="12">
        <v>0.1</v>
      </c>
      <c r="L19" s="18">
        <f t="shared" si="2"/>
        <v>12.939221413075973</v>
      </c>
      <c r="M19" s="19">
        <f>lambda/Dcol/SQRT(Mpix*L19)/mas</f>
        <v>6.0316592416560324</v>
      </c>
      <c r="N19" s="8"/>
      <c r="P19" t="s">
        <v>77</v>
      </c>
      <c r="Q19" s="22"/>
      <c r="R19" s="23"/>
      <c r="S19" t="s">
        <v>78</v>
      </c>
      <c r="T19" t="s">
        <v>79</v>
      </c>
    </row>
    <row r="20" spans="1:20">
      <c r="A20" s="8"/>
      <c r="B20" s="12">
        <v>14</v>
      </c>
      <c r="C20" s="30" t="s">
        <v>69</v>
      </c>
      <c r="D20" s="14">
        <v>0.05</v>
      </c>
      <c r="E20" s="15">
        <f>(zeroMagFlux/E_ph)*10^(-0.4*B20)*(lambda*D20)</f>
        <v>7497.3247397143732</v>
      </c>
      <c r="F20" s="18">
        <v>1</v>
      </c>
      <c r="G20" s="15">
        <f>$Q$28*F20</f>
        <v>1.0297793999999999E-2</v>
      </c>
      <c r="H20" s="15">
        <f>E20*G20*Acol/Mpix</f>
        <v>57.23552028805446</v>
      </c>
      <c r="I20" s="15">
        <f t="shared" si="0"/>
        <v>51.511968259249016</v>
      </c>
      <c r="J20" s="17">
        <f t="shared" si="1"/>
        <v>19.412964283702152</v>
      </c>
      <c r="K20" s="12">
        <v>0.1</v>
      </c>
      <c r="L20" s="18">
        <f t="shared" si="2"/>
        <v>5.1511968259249024</v>
      </c>
      <c r="M20" s="19">
        <f>lambda/Dcol/SQRT(Mpix*L20)/mas</f>
        <v>9.5595356713458077</v>
      </c>
      <c r="N20" s="8"/>
      <c r="Q20" s="29"/>
      <c r="R20" s="23"/>
    </row>
    <row r="21" spans="1:20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P21" t="s">
        <v>80</v>
      </c>
      <c r="Q21" s="24">
        <v>0.9</v>
      </c>
      <c r="R21" s="23"/>
    </row>
    <row r="22" spans="1:20">
      <c r="Q22" s="22"/>
      <c r="R22" s="31"/>
    </row>
    <row r="23" spans="1:20">
      <c r="P23" s="20"/>
      <c r="Q23" s="21" t="s">
        <v>82</v>
      </c>
      <c r="R23" s="21" t="s">
        <v>83</v>
      </c>
      <c r="S23" s="21" t="s">
        <v>84</v>
      </c>
    </row>
    <row r="24" spans="1:20">
      <c r="P24" s="20" t="s">
        <v>85</v>
      </c>
      <c r="Q24" s="33">
        <v>0.53</v>
      </c>
      <c r="R24" s="33">
        <v>0.39</v>
      </c>
      <c r="S24" s="33">
        <v>0.53</v>
      </c>
    </row>
    <row r="25" spans="1:20">
      <c r="P25" s="20" t="s">
        <v>86</v>
      </c>
      <c r="Q25" s="33">
        <v>0.47</v>
      </c>
      <c r="R25" s="33">
        <v>1</v>
      </c>
      <c r="S25" s="33">
        <v>0.57999999999999996</v>
      </c>
    </row>
    <row r="26" spans="1:20">
      <c r="M26" s="32">
        <f>(Q17/E_ph)*(0.000000089)</f>
        <v>9659699918.454916</v>
      </c>
      <c r="P26" s="20" t="s">
        <v>87</v>
      </c>
      <c r="Q26" s="33">
        <v>0.39</v>
      </c>
      <c r="R26" s="33">
        <v>0.27</v>
      </c>
      <c r="S26" s="33">
        <v>0.47</v>
      </c>
      <c r="T26" t="s">
        <v>88</v>
      </c>
    </row>
    <row r="27" spans="1:20">
      <c r="P27" s="20" t="s">
        <v>89</v>
      </c>
      <c r="Q27" s="33">
        <v>0.106</v>
      </c>
      <c r="R27" s="33">
        <v>0.14000000000000001</v>
      </c>
      <c r="S27" s="33">
        <v>0.22500000000000001</v>
      </c>
      <c r="T27" t="s">
        <v>90</v>
      </c>
    </row>
    <row r="28" spans="1:20">
      <c r="P28" s="20" t="s">
        <v>91</v>
      </c>
      <c r="Q28" s="34">
        <f>PRODUCT(Q24:Q27)</f>
        <v>1.0297793999999999E-2</v>
      </c>
      <c r="R28" s="34">
        <f>PRODUCT(R24:R27)</f>
        <v>1.4742000000000002E-2</v>
      </c>
      <c r="S28" s="34">
        <f>PRODUCT(S24:S27)</f>
        <v>3.2507550000000003E-2</v>
      </c>
    </row>
  </sheetData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205" zoomScaleNormal="205" workbookViewId="0">
      <selection activeCell="C6" sqref="C6"/>
    </sheetView>
  </sheetViews>
  <sheetFormatPr defaultRowHeight="15"/>
  <cols>
    <col min="1" max="1" width="2.85546875" customWidth="1"/>
    <col min="3" max="3" width="14" customWidth="1"/>
    <col min="4" max="5" width="11" customWidth="1"/>
    <col min="6" max="6" width="46" customWidth="1"/>
    <col min="7" max="7" width="11" customWidth="1"/>
  </cols>
  <sheetData>
    <row r="1" spans="1:14">
      <c r="A1" t="s">
        <v>118</v>
      </c>
    </row>
    <row r="2" spans="1:14">
      <c r="N2" t="s">
        <v>122</v>
      </c>
    </row>
    <row r="3" spans="1:14">
      <c r="B3" t="s">
        <v>102</v>
      </c>
      <c r="D3">
        <v>200</v>
      </c>
      <c r="F3" t="s">
        <v>119</v>
      </c>
    </row>
    <row r="4" spans="1:14">
      <c r="B4" t="s">
        <v>101</v>
      </c>
      <c r="N4" t="s">
        <v>123</v>
      </c>
    </row>
    <row r="5" spans="1:14">
      <c r="C5" t="s">
        <v>121</v>
      </c>
      <c r="D5" s="32">
        <v>10000</v>
      </c>
      <c r="E5" t="s">
        <v>104</v>
      </c>
      <c r="F5" t="s">
        <v>120</v>
      </c>
      <c r="N5" t="s">
        <v>124</v>
      </c>
    </row>
    <row r="6" spans="1:14">
      <c r="C6" t="s">
        <v>105</v>
      </c>
      <c r="D6">
        <v>1</v>
      </c>
      <c r="E6" t="s">
        <v>106</v>
      </c>
      <c r="N6" t="s">
        <v>125</v>
      </c>
    </row>
    <row r="7" spans="1:14">
      <c r="C7" t="s">
        <v>114</v>
      </c>
      <c r="D7">
        <f>PRODUCT(D5:D6)</f>
        <v>10000</v>
      </c>
      <c r="E7" t="s">
        <v>115</v>
      </c>
    </row>
    <row r="8" spans="1:14">
      <c r="B8" t="s">
        <v>112</v>
      </c>
      <c r="N8" t="s">
        <v>126</v>
      </c>
    </row>
    <row r="9" spans="1:14">
      <c r="C9" t="s">
        <v>103</v>
      </c>
      <c r="D9">
        <v>1</v>
      </c>
      <c r="E9" t="s">
        <v>104</v>
      </c>
      <c r="N9" t="s">
        <v>127</v>
      </c>
    </row>
    <row r="10" spans="1:14">
      <c r="C10" t="s">
        <v>113</v>
      </c>
      <c r="D10">
        <v>10000</v>
      </c>
      <c r="E10" t="s">
        <v>106</v>
      </c>
      <c r="N10" t="s">
        <v>128</v>
      </c>
    </row>
    <row r="11" spans="1:14">
      <c r="C11" t="s">
        <v>114</v>
      </c>
      <c r="D11">
        <f>PRODUCT(D9:D10)</f>
        <v>10000</v>
      </c>
      <c r="E11" t="s">
        <v>115</v>
      </c>
      <c r="N11" t="s">
        <v>129</v>
      </c>
    </row>
    <row r="12" spans="1:14">
      <c r="B12" t="s">
        <v>107</v>
      </c>
    </row>
    <row r="13" spans="1:14">
      <c r="C13" t="s">
        <v>108</v>
      </c>
      <c r="D13">
        <v>1.4999999999999999E-2</v>
      </c>
      <c r="E13" t="s">
        <v>104</v>
      </c>
      <c r="N13" t="s">
        <v>130</v>
      </c>
    </row>
    <row r="14" spans="1:14">
      <c r="C14" t="s">
        <v>109</v>
      </c>
      <c r="D14">
        <f>D13</f>
        <v>1.4999999999999999E-2</v>
      </c>
      <c r="E14" t="s">
        <v>104</v>
      </c>
      <c r="N14" t="s">
        <v>131</v>
      </c>
    </row>
    <row r="15" spans="1:14">
      <c r="C15" t="s">
        <v>105</v>
      </c>
      <c r="D15" s="32">
        <v>500000</v>
      </c>
      <c r="E15" t="s">
        <v>106</v>
      </c>
      <c r="F15" t="s">
        <v>111</v>
      </c>
      <c r="N15" t="s">
        <v>132</v>
      </c>
    </row>
    <row r="16" spans="1:14">
      <c r="C16" t="s">
        <v>114</v>
      </c>
      <c r="D16">
        <f>D15*(D13+D14)</f>
        <v>15000</v>
      </c>
      <c r="E16" t="s">
        <v>115</v>
      </c>
    </row>
    <row r="17" spans="2:14">
      <c r="N17" t="s">
        <v>133</v>
      </c>
    </row>
    <row r="18" spans="2:14">
      <c r="B18" t="s">
        <v>110</v>
      </c>
      <c r="D18">
        <f>SUM(D7,D11,D16)</f>
        <v>35000</v>
      </c>
      <c r="E18" t="s">
        <v>116</v>
      </c>
      <c r="N18" t="s">
        <v>134</v>
      </c>
    </row>
    <row r="19" spans="2:14">
      <c r="N19" t="s">
        <v>135</v>
      </c>
    </row>
    <row r="20" spans="2:14">
      <c r="B20" t="s">
        <v>117</v>
      </c>
      <c r="D20" s="32">
        <f>D3*D18</f>
        <v>7000000</v>
      </c>
      <c r="N20" t="s">
        <v>136</v>
      </c>
    </row>
    <row r="21" spans="2:14">
      <c r="N21" t="s">
        <v>137</v>
      </c>
    </row>
    <row r="22" spans="2:14">
      <c r="N22" t="s">
        <v>138</v>
      </c>
    </row>
    <row r="23" spans="2:14">
      <c r="N23" t="s">
        <v>139</v>
      </c>
    </row>
    <row r="24" spans="2:14">
      <c r="N24" t="s">
        <v>140</v>
      </c>
    </row>
    <row r="26" spans="2:14">
      <c r="N26" t="s">
        <v>141</v>
      </c>
    </row>
    <row r="27" spans="2:14">
      <c r="N27" t="s">
        <v>142</v>
      </c>
    </row>
    <row r="28" spans="2:14">
      <c r="N28" t="s">
        <v>143</v>
      </c>
    </row>
    <row r="29" spans="2:14">
      <c r="N29" t="s">
        <v>144</v>
      </c>
    </row>
    <row r="30" spans="2:14">
      <c r="N30" t="s">
        <v>145</v>
      </c>
    </row>
    <row r="31" spans="2:14">
      <c r="N31" t="s">
        <v>146</v>
      </c>
    </row>
    <row r="32" spans="2:14">
      <c r="N32" t="s">
        <v>147</v>
      </c>
    </row>
    <row r="33" spans="14:14">
      <c r="N33" t="s">
        <v>148</v>
      </c>
    </row>
    <row r="35" spans="14:14">
      <c r="N35" t="s">
        <v>149</v>
      </c>
    </row>
    <row r="36" spans="14:14">
      <c r="N36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220" zoomScaleNormal="220" workbookViewId="0">
      <selection activeCell="I23" sqref="I23"/>
    </sheetView>
  </sheetViews>
  <sheetFormatPr defaultRowHeight="15"/>
  <cols>
    <col min="1" max="1" width="4.28515625" style="37" customWidth="1"/>
    <col min="2" max="2" width="10.42578125" style="37" customWidth="1"/>
    <col min="3" max="4" width="9.5703125" style="37" customWidth="1"/>
    <col min="5" max="8" width="11.85546875" style="37" customWidth="1"/>
    <col min="9" max="9" width="9.140625" style="37"/>
    <col min="10" max="10" width="10.42578125" style="37" customWidth="1"/>
    <col min="11" max="11" width="23.28515625" style="37" customWidth="1"/>
    <col min="12" max="12" width="10.7109375" style="37" customWidth="1"/>
    <col min="13" max="13" width="9.28515625" style="37" customWidth="1"/>
    <col min="14" max="14" width="11.5703125" style="37" customWidth="1"/>
    <col min="15" max="15" width="9.140625" style="37"/>
    <col min="16" max="16" width="12.85546875" style="37" bestFit="1" customWidth="1"/>
    <col min="17" max="23" width="9.140625" style="37"/>
    <col min="24" max="24" width="10.28515625" style="37" bestFit="1" customWidth="1"/>
    <col min="25" max="16384" width="9.140625" style="37"/>
  </cols>
  <sheetData>
    <row r="1" spans="1:24" s="36" customFormat="1" ht="21">
      <c r="A1" s="36" t="s">
        <v>159</v>
      </c>
    </row>
    <row r="2" spans="1:24">
      <c r="F2" s="38"/>
    </row>
    <row r="3" spans="1:24">
      <c r="B3" s="39" t="s">
        <v>160</v>
      </c>
      <c r="C3" s="38"/>
      <c r="D3" s="38"/>
      <c r="E3" s="38"/>
      <c r="F3" s="38"/>
      <c r="G3" s="38"/>
      <c r="H3" s="38"/>
      <c r="X3" s="42"/>
    </row>
    <row r="4" spans="1:24" ht="26.25">
      <c r="B4" s="43" t="s">
        <v>162</v>
      </c>
      <c r="C4" s="44" t="s">
        <v>163</v>
      </c>
      <c r="D4" s="44" t="s">
        <v>164</v>
      </c>
      <c r="E4" s="43" t="s">
        <v>165</v>
      </c>
      <c r="F4" s="71" t="s">
        <v>220</v>
      </c>
      <c r="G4" s="71" t="s">
        <v>221</v>
      </c>
      <c r="H4" s="71" t="s">
        <v>166</v>
      </c>
      <c r="I4" s="43" t="s">
        <v>167</v>
      </c>
      <c r="J4" s="43"/>
      <c r="Q4" s="43"/>
      <c r="R4" s="43"/>
      <c r="X4" s="42"/>
    </row>
    <row r="5" spans="1:24">
      <c r="B5" s="48" t="s">
        <v>171</v>
      </c>
      <c r="C5" s="49">
        <v>0.36</v>
      </c>
      <c r="D5" s="50">
        <v>6.8000000000000005E-2</v>
      </c>
      <c r="E5" s="51">
        <v>4.3499999999999999E-8</v>
      </c>
      <c r="F5" s="51">
        <f>E5/((h_planck*c_light)/(C5*0.000001))</f>
        <v>78834387669.508423</v>
      </c>
      <c r="G5" s="51">
        <f t="shared" ref="G5:G18" si="0">F5*(1/1000)*(1/100)^2</f>
        <v>7883.4387669508433</v>
      </c>
      <c r="H5" s="51">
        <f>F5*D5</f>
        <v>5360738361.5265732</v>
      </c>
      <c r="I5" s="49">
        <f>LOG10(E5)</f>
        <v>-7.361510743045363</v>
      </c>
      <c r="J5" s="49"/>
      <c r="X5" s="42"/>
    </row>
    <row r="6" spans="1:24">
      <c r="B6" s="52" t="s">
        <v>173</v>
      </c>
      <c r="C6" s="53">
        <v>0.44</v>
      </c>
      <c r="D6" s="54">
        <v>9.8000000000000004E-2</v>
      </c>
      <c r="E6" s="55">
        <v>7.1999999999999996E-8</v>
      </c>
      <c r="F6" s="55">
        <f>E6/((h_planck*c_light)/(C6*0.000001))</f>
        <v>159481060113.0285</v>
      </c>
      <c r="G6" s="55">
        <f t="shared" si="0"/>
        <v>15948.106011302851</v>
      </c>
      <c r="H6" s="55">
        <f>F6*D6</f>
        <v>15629143891.076794</v>
      </c>
      <c r="I6" s="53">
        <f t="shared" ref="I6:I18" si="1">LOG10(E6)</f>
        <v>-7.1426675035687319</v>
      </c>
      <c r="J6" s="53"/>
      <c r="X6" s="42"/>
    </row>
    <row r="7" spans="1:24">
      <c r="B7" s="56" t="s">
        <v>177</v>
      </c>
      <c r="C7" s="57">
        <v>0.55000000000000004</v>
      </c>
      <c r="D7" s="58">
        <v>8.8999999999999996E-2</v>
      </c>
      <c r="E7" s="59">
        <v>3.92E-8</v>
      </c>
      <c r="F7" s="59">
        <f>E7/((h_planck*c_light)/(C7*0.000001))</f>
        <v>108535721465.8111</v>
      </c>
      <c r="G7" s="59">
        <f t="shared" si="0"/>
        <v>10853.572146581111</v>
      </c>
      <c r="H7" s="59">
        <f>F7*D7</f>
        <v>9659679210.4571877</v>
      </c>
      <c r="I7" s="57">
        <f t="shared" si="1"/>
        <v>-7.4067139329795424</v>
      </c>
      <c r="J7" s="57"/>
      <c r="X7" s="42"/>
    </row>
    <row r="8" spans="1:24">
      <c r="B8" s="60" t="s">
        <v>181</v>
      </c>
      <c r="C8" s="61">
        <v>0.7</v>
      </c>
      <c r="D8" s="62">
        <v>0.22</v>
      </c>
      <c r="E8" s="63">
        <v>1.7599999999999999E-8</v>
      </c>
      <c r="F8" s="63">
        <f>E8/((h_planck*c_light)/(C8*0.000001))</f>
        <v>62020412266.177757</v>
      </c>
      <c r="G8" s="63">
        <f t="shared" si="0"/>
        <v>6202.0412266177764</v>
      </c>
      <c r="H8" s="63">
        <f t="shared" ref="H8:H18" si="2">F8*D8</f>
        <v>13644490698.559107</v>
      </c>
      <c r="I8" s="64">
        <f t="shared" si="1"/>
        <v>-7.7544873321858505</v>
      </c>
      <c r="J8" s="64"/>
      <c r="X8" s="42"/>
    </row>
    <row r="9" spans="1:24">
      <c r="B9" s="66" t="s">
        <v>182</v>
      </c>
      <c r="C9" s="67">
        <v>0.8</v>
      </c>
      <c r="D9" s="68">
        <v>0.2</v>
      </c>
      <c r="E9" s="69">
        <v>1.2100000000000001E-8</v>
      </c>
      <c r="F9" s="69">
        <f>E9/((h_planck*c_light)/(C9*0.000001))</f>
        <v>48730323923.425385</v>
      </c>
      <c r="G9" s="69">
        <f t="shared" si="0"/>
        <v>4873.0323923425385</v>
      </c>
      <c r="H9" s="69">
        <f t="shared" si="2"/>
        <v>9746064784.6850777</v>
      </c>
      <c r="I9" s="67">
        <f t="shared" si="1"/>
        <v>-7.9172146296835502</v>
      </c>
      <c r="J9" s="67"/>
      <c r="Q9" s="70"/>
      <c r="R9" s="71"/>
      <c r="S9" s="72"/>
      <c r="X9" s="42"/>
    </row>
    <row r="10" spans="1:24">
      <c r="B10" s="73" t="s">
        <v>184</v>
      </c>
      <c r="C10" s="74">
        <v>0.9</v>
      </c>
      <c r="D10" s="75">
        <v>0.24</v>
      </c>
      <c r="E10" s="76">
        <v>8.2999999999999999E-9</v>
      </c>
      <c r="F10" s="76">
        <f>E10/((h_planck*c_light)/(C10*0.000001))</f>
        <v>37604909060.742523</v>
      </c>
      <c r="G10" s="76">
        <f t="shared" si="0"/>
        <v>3760.490906074253</v>
      </c>
      <c r="H10" s="76">
        <f t="shared" si="2"/>
        <v>9025178174.5782051</v>
      </c>
      <c r="I10" s="74">
        <f t="shared" si="1"/>
        <v>-8.0809219076239263</v>
      </c>
      <c r="J10" s="74"/>
      <c r="Q10" s="51"/>
      <c r="R10" s="51"/>
      <c r="S10" s="77"/>
      <c r="X10" s="42"/>
    </row>
    <row r="11" spans="1:24">
      <c r="B11" s="78" t="s">
        <v>187</v>
      </c>
      <c r="C11" s="79">
        <v>1.05</v>
      </c>
      <c r="D11" s="80">
        <v>0.2</v>
      </c>
      <c r="E11" s="81">
        <v>5.7200000000000001E-9</v>
      </c>
      <c r="F11" s="81">
        <f>E11/((h_planck*c_light)/(C11*0.000001))</f>
        <v>30234950979.761658</v>
      </c>
      <c r="G11" s="81">
        <f t="shared" si="0"/>
        <v>3023.4950979761661</v>
      </c>
      <c r="H11" s="81">
        <f t="shared" si="2"/>
        <v>6046990195.9523315</v>
      </c>
      <c r="I11" s="79">
        <f t="shared" si="1"/>
        <v>-8.2426039712069752</v>
      </c>
      <c r="J11" s="79"/>
      <c r="Q11" s="55"/>
      <c r="R11" s="55"/>
      <c r="S11" s="82"/>
      <c r="X11" s="42"/>
    </row>
    <row r="12" spans="1:24">
      <c r="B12" s="78" t="s">
        <v>61</v>
      </c>
      <c r="C12" s="79">
        <v>1.26</v>
      </c>
      <c r="D12" s="80">
        <v>0.26</v>
      </c>
      <c r="E12" s="81">
        <v>3.3999999999999998E-9</v>
      </c>
      <c r="F12" s="81">
        <f>E12/((h_planck*c_light)/(C12*0.000001))</f>
        <v>21566188810.739086</v>
      </c>
      <c r="G12" s="81">
        <f t="shared" si="0"/>
        <v>2156.6188810739086</v>
      </c>
      <c r="H12" s="81">
        <f t="shared" si="2"/>
        <v>5607209090.7921629</v>
      </c>
      <c r="I12" s="79">
        <f t="shared" si="1"/>
        <v>-8.4685210829577446</v>
      </c>
      <c r="J12" s="79"/>
      <c r="Q12" s="59"/>
      <c r="R12" s="59"/>
      <c r="S12" s="83"/>
      <c r="X12" s="42"/>
    </row>
    <row r="13" spans="1:24">
      <c r="B13" s="78" t="s">
        <v>191</v>
      </c>
      <c r="C13" s="79">
        <v>1.64</v>
      </c>
      <c r="D13" s="80">
        <v>0.33</v>
      </c>
      <c r="E13" s="81">
        <v>1.1800000000000001E-9</v>
      </c>
      <c r="F13" s="81">
        <f>E13/((h_planck*c_light)/(C13*0.000001))</f>
        <v>9742037485.1872711</v>
      </c>
      <c r="G13" s="81">
        <f t="shared" si="0"/>
        <v>974.20374851872725</v>
      </c>
      <c r="H13" s="81">
        <f t="shared" si="2"/>
        <v>3214872370.1117997</v>
      </c>
      <c r="I13" s="84">
        <f t="shared" si="1"/>
        <v>-8.9281179926938741</v>
      </c>
      <c r="J13" s="84"/>
      <c r="Q13" s="63"/>
      <c r="R13" s="63"/>
      <c r="S13" s="85"/>
      <c r="X13" s="42"/>
    </row>
    <row r="14" spans="1:24">
      <c r="B14" s="78" t="s">
        <v>195</v>
      </c>
      <c r="C14" s="79">
        <v>2.1800000000000002</v>
      </c>
      <c r="D14" s="80">
        <v>0.44</v>
      </c>
      <c r="E14" s="81">
        <v>3.9E-10</v>
      </c>
      <c r="F14" s="81">
        <f>E14/((h_planck*c_light)/(C14*0.000001))</f>
        <v>4280012541.290936</v>
      </c>
      <c r="G14" s="81">
        <f t="shared" si="0"/>
        <v>428.00125412909364</v>
      </c>
      <c r="H14" s="81">
        <f t="shared" si="2"/>
        <v>1883205518.1680119</v>
      </c>
      <c r="I14" s="79">
        <f t="shared" si="1"/>
        <v>-9.4089353929735005</v>
      </c>
      <c r="J14" s="79"/>
      <c r="Q14" s="81"/>
      <c r="R14" s="81"/>
      <c r="S14" s="86"/>
      <c r="X14" s="42"/>
    </row>
    <row r="15" spans="1:24">
      <c r="B15" s="87" t="s">
        <v>196</v>
      </c>
      <c r="C15" s="88">
        <v>3.4</v>
      </c>
      <c r="D15" s="89">
        <v>0.55000000000000004</v>
      </c>
      <c r="E15" s="90">
        <v>7.3000000000000006E-11</v>
      </c>
      <c r="F15" s="90">
        <f>E15/((h_planck*c_light)/(C15*0.000001))</f>
        <v>1249469669.1936135</v>
      </c>
      <c r="G15" s="90">
        <f t="shared" si="0"/>
        <v>124.94696691936136</v>
      </c>
      <c r="H15" s="90">
        <f t="shared" si="2"/>
        <v>687208318.05648744</v>
      </c>
      <c r="I15" s="88">
        <f t="shared" si="1"/>
        <v>-10.136677139879543</v>
      </c>
      <c r="J15" s="88"/>
      <c r="Q15" s="91"/>
      <c r="R15" s="91"/>
      <c r="S15" s="86"/>
    </row>
    <row r="16" spans="1:24">
      <c r="B16" s="87" t="s">
        <v>198</v>
      </c>
      <c r="C16" s="88">
        <v>5</v>
      </c>
      <c r="D16" s="89">
        <v>0.3</v>
      </c>
      <c r="E16" s="90">
        <v>2.1199999999999999E-11</v>
      </c>
      <c r="F16" s="90">
        <f>E16/((h_planck*c_light)/(C16*0.000001))</f>
        <v>533617183.45899689</v>
      </c>
      <c r="G16" s="90">
        <f t="shared" si="0"/>
        <v>53.361718345899696</v>
      </c>
      <c r="H16" s="90">
        <f t="shared" si="2"/>
        <v>160085155.03769907</v>
      </c>
      <c r="I16" s="88">
        <f t="shared" si="1"/>
        <v>-10.673664139071249</v>
      </c>
      <c r="J16" s="88"/>
      <c r="Q16" s="91"/>
      <c r="R16" s="91"/>
      <c r="S16" s="86"/>
    </row>
    <row r="17" spans="2:19">
      <c r="B17" s="87" t="s">
        <v>199</v>
      </c>
      <c r="C17" s="88">
        <v>10.199999999999999</v>
      </c>
      <c r="D17" s="89">
        <v>5</v>
      </c>
      <c r="E17" s="90">
        <v>1.23E-12</v>
      </c>
      <c r="F17" s="90">
        <f>E17/((h_planck*c_light)/(C17*0.000001))</f>
        <v>63158124.37430732</v>
      </c>
      <c r="G17" s="90">
        <f t="shared" si="0"/>
        <v>6.3158124374307327</v>
      </c>
      <c r="H17" s="90">
        <f t="shared" si="2"/>
        <v>315790621.87153661</v>
      </c>
      <c r="I17" s="88">
        <f t="shared" si="1"/>
        <v>-11.910094888560602</v>
      </c>
      <c r="J17" s="88"/>
      <c r="Q17" s="91"/>
      <c r="R17" s="91"/>
      <c r="S17" s="86"/>
    </row>
    <row r="18" spans="2:19">
      <c r="B18" s="87" t="s">
        <v>201</v>
      </c>
      <c r="C18" s="88">
        <v>21</v>
      </c>
      <c r="D18" s="89">
        <v>8</v>
      </c>
      <c r="E18" s="90">
        <v>6.8000000000000001E-14</v>
      </c>
      <c r="F18" s="90">
        <f>E18/((h_planck*c_light)/(C18*0.000001))</f>
        <v>7188729.6035796953</v>
      </c>
      <c r="G18" s="90">
        <f t="shared" si="0"/>
        <v>0.71887296035796955</v>
      </c>
      <c r="H18" s="90">
        <f t="shared" si="2"/>
        <v>57509836.828637563</v>
      </c>
      <c r="I18" s="88">
        <f t="shared" si="1"/>
        <v>-13.167491087293763</v>
      </c>
      <c r="J18" s="88"/>
      <c r="Q18" s="91"/>
      <c r="R18" s="91"/>
      <c r="S18" s="86"/>
    </row>
    <row r="19" spans="2:19">
      <c r="B19" s="93" t="s">
        <v>204</v>
      </c>
      <c r="C19" s="38"/>
      <c r="D19" s="38"/>
      <c r="E19" s="38"/>
      <c r="F19" s="38"/>
      <c r="G19" s="38"/>
      <c r="H19" s="38"/>
      <c r="Q19" s="91"/>
      <c r="R19" s="91"/>
      <c r="S19" s="86"/>
    </row>
    <row r="20" spans="2:19">
      <c r="B20" s="94" t="s">
        <v>206</v>
      </c>
      <c r="C20" s="38"/>
      <c r="D20" s="38"/>
      <c r="E20" s="38"/>
      <c r="F20" s="38"/>
      <c r="G20" s="38"/>
      <c r="H20" s="38"/>
      <c r="Q20" s="91"/>
      <c r="R20" s="91"/>
      <c r="S20" s="86"/>
    </row>
    <row r="21" spans="2:19">
      <c r="Q21" s="91"/>
      <c r="R21" s="91"/>
      <c r="S21" s="86"/>
    </row>
    <row r="22" spans="2:19">
      <c r="B22" s="37" t="s">
        <v>209</v>
      </c>
    </row>
    <row r="23" spans="2:19">
      <c r="B23" s="37" t="s">
        <v>210</v>
      </c>
    </row>
    <row r="26" spans="2:19">
      <c r="B26" s="37" t="s">
        <v>59</v>
      </c>
      <c r="C26" s="37" t="s">
        <v>215</v>
      </c>
      <c r="D26" s="37" t="s">
        <v>216</v>
      </c>
    </row>
    <row r="27" spans="2:19">
      <c r="B27" s="37">
        <v>0.55000000000000004</v>
      </c>
      <c r="C27" s="37">
        <v>0</v>
      </c>
      <c r="D27" s="37">
        <f>10^(VLOOKUP(B27,fluxTable,7)-0.4*C27)*(B27*0.000001/(h_planck*c_light))*VLOOKUP(B27,fluxTable,2)</f>
        <v>9659679210.4571743</v>
      </c>
    </row>
    <row r="33" spans="7:26">
      <c r="K33" s="38"/>
      <c r="M33" s="38"/>
    </row>
    <row r="34" spans="7:26">
      <c r="K34" s="38"/>
      <c r="M34" s="38"/>
    </row>
    <row r="37" spans="7:26">
      <c r="H37" s="38"/>
    </row>
    <row r="38" spans="7:26">
      <c r="H38" s="38"/>
    </row>
    <row r="39" spans="7:26">
      <c r="H39" s="38"/>
    </row>
    <row r="40" spans="7:26">
      <c r="G40" s="38"/>
      <c r="H40" s="38"/>
    </row>
    <row r="41" spans="7:26">
      <c r="G41" s="38"/>
      <c r="H41" s="38"/>
    </row>
    <row r="42" spans="7:26">
      <c r="G42" s="38"/>
      <c r="H42" s="38"/>
    </row>
    <row r="43" spans="7:26">
      <c r="G43" s="38"/>
      <c r="H43" s="38"/>
      <c r="X43" s="42"/>
    </row>
    <row r="44" spans="7:26">
      <c r="G44" s="38"/>
      <c r="H44" s="38"/>
      <c r="N44" s="38"/>
      <c r="X44" s="42"/>
    </row>
    <row r="45" spans="7:26">
      <c r="Y45" s="37">
        <v>1.05</v>
      </c>
      <c r="Z45" s="37">
        <v>-8.2426039712069752</v>
      </c>
    </row>
    <row r="46" spans="7:26">
      <c r="Y46" s="37">
        <v>1.26</v>
      </c>
      <c r="Z46" s="37">
        <v>-8.4685210829577446</v>
      </c>
    </row>
    <row r="47" spans="7:26">
      <c r="Y47" s="37">
        <v>1.64</v>
      </c>
      <c r="Z47" s="37">
        <v>-8.9281179926938741</v>
      </c>
    </row>
    <row r="48" spans="7:26">
      <c r="Y48" s="37">
        <v>2.1800000000000002</v>
      </c>
      <c r="Z48" s="37">
        <v>-9.4089353929735005</v>
      </c>
    </row>
    <row r="49" spans="25:26">
      <c r="Y49" s="37">
        <v>3.4</v>
      </c>
      <c r="Z49" s="37">
        <v>-10.136677139879543</v>
      </c>
    </row>
    <row r="50" spans="25:26">
      <c r="Y50" s="37">
        <v>5</v>
      </c>
      <c r="Z50" s="37">
        <v>-10.673664139071249</v>
      </c>
    </row>
    <row r="51" spans="25:26">
      <c r="Y51" s="37">
        <v>10.199999999999999</v>
      </c>
      <c r="Z51" s="37">
        <v>-11.910094888560602</v>
      </c>
    </row>
    <row r="52" spans="25:26">
      <c r="Y52" s="37">
        <v>21</v>
      </c>
      <c r="Z52" s="37">
        <v>-13.167491087293763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7"/>
  <sheetViews>
    <sheetView zoomScale="190" zoomScaleNormal="190" workbookViewId="0">
      <selection activeCell="E20" sqref="E20"/>
    </sheetView>
  </sheetViews>
  <sheetFormatPr defaultRowHeight="15"/>
  <cols>
    <col min="1" max="1" width="3.28515625" customWidth="1"/>
    <col min="2" max="2" width="3.5703125" style="96" customWidth="1"/>
    <col min="3" max="3" width="3.7109375" style="101" customWidth="1"/>
    <col min="4" max="4" width="19.7109375" customWidth="1"/>
    <col min="5" max="5" width="12.140625" style="32" customWidth="1"/>
    <col min="6" max="6" width="12.140625" style="47" customWidth="1"/>
    <col min="7" max="7" width="36.42578125" style="96" customWidth="1"/>
    <col min="9" max="9" width="3" style="101" customWidth="1"/>
    <col min="10" max="10" width="19.7109375" customWidth="1"/>
    <col min="11" max="11" width="12.140625" customWidth="1"/>
    <col min="12" max="12" width="12.140625" style="47" customWidth="1"/>
    <col min="13" max="13" width="36.42578125" style="96" customWidth="1"/>
  </cols>
  <sheetData>
    <row r="3" spans="2:22">
      <c r="C3" s="20" t="s">
        <v>219</v>
      </c>
      <c r="E3" s="32" t="s">
        <v>50</v>
      </c>
      <c r="F3" s="47" t="s">
        <v>7</v>
      </c>
      <c r="I3" s="20" t="s">
        <v>219</v>
      </c>
      <c r="K3" s="21" t="s">
        <v>50</v>
      </c>
      <c r="L3" s="103" t="s">
        <v>7</v>
      </c>
    </row>
    <row r="5" spans="2:22">
      <c r="C5" s="101" t="s">
        <v>151</v>
      </c>
      <c r="J5" t="s">
        <v>93</v>
      </c>
      <c r="K5">
        <v>512</v>
      </c>
      <c r="L5" s="47" t="s">
        <v>94</v>
      </c>
    </row>
    <row r="6" spans="2:22">
      <c r="D6" t="s">
        <v>153</v>
      </c>
      <c r="E6" s="32">
        <v>5.5000000000000003E-7</v>
      </c>
      <c r="F6" s="47" t="s">
        <v>53</v>
      </c>
      <c r="J6" t="s">
        <v>95</v>
      </c>
      <c r="K6">
        <v>3</v>
      </c>
      <c r="L6" s="47" t="s">
        <v>92</v>
      </c>
    </row>
    <row r="7" spans="2:22">
      <c r="D7" t="s">
        <v>154</v>
      </c>
      <c r="E7" s="35">
        <v>2.4</v>
      </c>
      <c r="F7" s="47" t="s">
        <v>53</v>
      </c>
      <c r="J7" t="s">
        <v>96</v>
      </c>
      <c r="K7">
        <v>10</v>
      </c>
      <c r="L7" s="47" t="s">
        <v>97</v>
      </c>
    </row>
    <row r="8" spans="2:22">
      <c r="D8" t="s">
        <v>92</v>
      </c>
      <c r="E8" s="32">
        <f>E6/E7/arcsec</f>
        <v>4.7269018098292918E-2</v>
      </c>
      <c r="F8" s="47" t="s">
        <v>13</v>
      </c>
      <c r="J8" t="s">
        <v>98</v>
      </c>
      <c r="K8">
        <f>K7*K5</f>
        <v>5120</v>
      </c>
      <c r="L8" s="47" t="s">
        <v>18</v>
      </c>
    </row>
    <row r="9" spans="2:22">
      <c r="E9" s="35">
        <f>E6/E7/mas</f>
        <v>47.269018098292918</v>
      </c>
      <c r="F9" s="47" t="s">
        <v>18</v>
      </c>
      <c r="J9" t="s">
        <v>99</v>
      </c>
      <c r="K9">
        <f>K4/K7</f>
        <v>0</v>
      </c>
      <c r="L9" s="47" t="s">
        <v>100</v>
      </c>
    </row>
    <row r="10" spans="2:22">
      <c r="D10" t="s">
        <v>152</v>
      </c>
      <c r="E10" s="32">
        <f>E8^2</f>
        <v>2.2343600719767435E-3</v>
      </c>
      <c r="F10" s="47" t="s">
        <v>155</v>
      </c>
    </row>
    <row r="11" spans="2:22">
      <c r="B11" s="97"/>
      <c r="D11" t="s">
        <v>156</v>
      </c>
      <c r="E11" s="35">
        <v>50</v>
      </c>
      <c r="F11" s="47" t="s">
        <v>92</v>
      </c>
      <c r="I11" s="102" t="s">
        <v>161</v>
      </c>
      <c r="K11" s="41"/>
      <c r="M11" s="97"/>
      <c r="S11" s="37" t="s">
        <v>211</v>
      </c>
      <c r="T11" s="37"/>
      <c r="U11" s="47"/>
      <c r="V11" s="98"/>
    </row>
    <row r="12" spans="2:22">
      <c r="B12" s="97"/>
      <c r="D12" t="s">
        <v>157</v>
      </c>
      <c r="E12" s="32">
        <f>(PI()/4)*E11^2</f>
        <v>1963.4954084936207</v>
      </c>
      <c r="F12" s="47" t="s">
        <v>152</v>
      </c>
      <c r="J12" s="45" t="s">
        <v>168</v>
      </c>
      <c r="K12" s="46">
        <v>6.6260700000000002E-34</v>
      </c>
      <c r="L12" s="47" t="s">
        <v>169</v>
      </c>
      <c r="M12" s="97" t="s">
        <v>170</v>
      </c>
      <c r="S12" s="95" t="s">
        <v>212</v>
      </c>
      <c r="T12" s="41">
        <v>180</v>
      </c>
      <c r="U12" s="47" t="s">
        <v>213</v>
      </c>
      <c r="V12" s="98"/>
    </row>
    <row r="13" spans="2:22">
      <c r="B13" s="97"/>
      <c r="E13" s="35">
        <f>E12*E10</f>
        <v>4.3871557422478116</v>
      </c>
      <c r="F13" s="47" t="s">
        <v>158</v>
      </c>
      <c r="J13" s="45" t="s">
        <v>172</v>
      </c>
      <c r="K13" s="46">
        <v>299792000</v>
      </c>
      <c r="L13" s="47" t="s">
        <v>73</v>
      </c>
      <c r="M13" s="97" t="s">
        <v>72</v>
      </c>
      <c r="S13" s="95" t="s">
        <v>214</v>
      </c>
      <c r="T13" s="41">
        <v>202</v>
      </c>
      <c r="U13" s="47" t="s">
        <v>213</v>
      </c>
      <c r="V13" s="97"/>
    </row>
    <row r="14" spans="2:22">
      <c r="B14" s="97"/>
      <c r="C14" s="104"/>
      <c r="D14" s="45"/>
      <c r="G14" s="97"/>
      <c r="J14" s="45" t="s">
        <v>174</v>
      </c>
      <c r="K14" s="46">
        <v>1.5999999999999999E-19</v>
      </c>
      <c r="L14" s="47" t="s">
        <v>175</v>
      </c>
      <c r="M14" s="97" t="s">
        <v>176</v>
      </c>
      <c r="S14" s="95" t="s">
        <v>217</v>
      </c>
      <c r="T14" s="41">
        <v>56</v>
      </c>
      <c r="U14" s="47" t="s">
        <v>213</v>
      </c>
      <c r="V14" s="97"/>
    </row>
    <row r="15" spans="2:22">
      <c r="B15" s="97"/>
      <c r="C15" s="104"/>
      <c r="D15" s="45"/>
      <c r="G15" s="97"/>
      <c r="J15" s="45" t="s">
        <v>178</v>
      </c>
      <c r="K15" s="46">
        <v>1.3799999999999999E-34</v>
      </c>
      <c r="L15" s="47" t="s">
        <v>179</v>
      </c>
      <c r="M15" s="97" t="s">
        <v>180</v>
      </c>
      <c r="S15" s="37"/>
      <c r="T15" s="37"/>
      <c r="U15" s="47"/>
      <c r="V15" s="97"/>
    </row>
    <row r="16" spans="2:22">
      <c r="B16" s="98"/>
      <c r="C16" s="104"/>
      <c r="D16" s="37"/>
      <c r="G16" s="98"/>
      <c r="J16" s="37"/>
      <c r="K16" s="65"/>
      <c r="M16" s="98"/>
      <c r="S16" s="95" t="s">
        <v>218</v>
      </c>
      <c r="T16" s="41">
        <v>200</v>
      </c>
      <c r="U16" s="47" t="s">
        <v>213</v>
      </c>
      <c r="V16" s="97"/>
    </row>
    <row r="17" spans="2:13">
      <c r="B17" s="97"/>
      <c r="C17" s="102"/>
      <c r="D17" s="40"/>
      <c r="G17" s="97"/>
      <c r="I17" s="102" t="s">
        <v>183</v>
      </c>
      <c r="K17" s="46"/>
      <c r="M17" s="97"/>
    </row>
    <row r="18" spans="2:13">
      <c r="B18" s="97"/>
      <c r="C18" s="102"/>
      <c r="D18" s="45"/>
      <c r="G18" s="97"/>
      <c r="J18" s="45" t="s">
        <v>185</v>
      </c>
      <c r="K18" s="46">
        <v>6371000</v>
      </c>
      <c r="L18" s="47" t="s">
        <v>53</v>
      </c>
      <c r="M18" s="97" t="s">
        <v>186</v>
      </c>
    </row>
    <row r="19" spans="2:13">
      <c r="B19" s="97"/>
      <c r="C19" s="102"/>
      <c r="D19" s="45"/>
      <c r="G19" s="97"/>
      <c r="J19" s="45" t="s">
        <v>188</v>
      </c>
      <c r="K19" s="46">
        <v>149590000000</v>
      </c>
      <c r="L19" s="47" t="s">
        <v>53</v>
      </c>
      <c r="M19" s="97" t="s">
        <v>189</v>
      </c>
    </row>
    <row r="20" spans="2:13">
      <c r="B20" s="97"/>
      <c r="C20" s="102"/>
      <c r="D20" s="45"/>
      <c r="G20" s="97"/>
      <c r="J20" s="45" t="s">
        <v>190</v>
      </c>
      <c r="K20" s="46">
        <f>AU/arcsec</f>
        <v>3.0855152366503144E+16</v>
      </c>
      <c r="L20" s="47" t="s">
        <v>53</v>
      </c>
      <c r="M20" s="97"/>
    </row>
    <row r="21" spans="2:13">
      <c r="B21" s="99"/>
      <c r="C21" s="104"/>
      <c r="D21" s="45"/>
      <c r="G21" s="99"/>
      <c r="J21" s="45" t="s">
        <v>192</v>
      </c>
      <c r="K21" s="65">
        <f>2*PI()/(24*3600)</f>
        <v>7.2722052166430395E-5</v>
      </c>
      <c r="L21" s="47" t="s">
        <v>193</v>
      </c>
      <c r="M21" s="99" t="s">
        <v>194</v>
      </c>
    </row>
    <row r="22" spans="2:13">
      <c r="B22" s="97"/>
      <c r="C22" s="102"/>
      <c r="D22" s="37"/>
      <c r="G22" s="97"/>
      <c r="J22" s="37"/>
      <c r="K22" s="46"/>
      <c r="M22" s="97"/>
    </row>
    <row r="23" spans="2:13">
      <c r="B23" s="98"/>
      <c r="C23" s="104"/>
      <c r="D23" s="40"/>
      <c r="G23" s="98"/>
      <c r="I23" s="102" t="s">
        <v>197</v>
      </c>
      <c r="K23" s="46"/>
      <c r="M23" s="98"/>
    </row>
    <row r="24" spans="2:13">
      <c r="B24" s="98"/>
      <c r="C24" s="104"/>
      <c r="D24" s="45"/>
      <c r="G24" s="98"/>
      <c r="J24" s="45" t="s">
        <v>13</v>
      </c>
      <c r="K24" s="65">
        <f>PI()/180/3600</f>
        <v>4.8481368110953598E-6</v>
      </c>
      <c r="L24" s="47" t="s">
        <v>81</v>
      </c>
      <c r="M24" s="98"/>
    </row>
    <row r="25" spans="2:13">
      <c r="B25" s="98"/>
      <c r="C25" s="102"/>
      <c r="D25" s="45"/>
      <c r="G25" s="98"/>
      <c r="J25" s="45" t="s">
        <v>18</v>
      </c>
      <c r="K25" s="65">
        <f>arcsec/1000</f>
        <v>4.8481368110953602E-9</v>
      </c>
      <c r="L25" s="47" t="s">
        <v>81</v>
      </c>
      <c r="M25" s="98"/>
    </row>
    <row r="26" spans="2:13">
      <c r="B26" s="97"/>
      <c r="C26" s="102"/>
      <c r="D26" s="45"/>
      <c r="G26" s="97"/>
      <c r="J26" s="45" t="s">
        <v>200</v>
      </c>
      <c r="K26" s="65">
        <f>PI()/180</f>
        <v>1.7453292519943295E-2</v>
      </c>
      <c r="L26" s="47" t="s">
        <v>81</v>
      </c>
      <c r="M26" s="97"/>
    </row>
    <row r="27" spans="2:13">
      <c r="B27" s="98"/>
      <c r="C27" s="102"/>
      <c r="D27" s="45"/>
      <c r="G27" s="98"/>
      <c r="J27" s="45" t="s">
        <v>202</v>
      </c>
      <c r="K27" s="92">
        <v>3600</v>
      </c>
      <c r="L27" s="47" t="s">
        <v>203</v>
      </c>
      <c r="M27" s="98"/>
    </row>
    <row r="28" spans="2:13">
      <c r="B28" s="98"/>
      <c r="C28" s="102"/>
      <c r="D28" s="45"/>
      <c r="G28" s="98"/>
      <c r="J28" s="45" t="s">
        <v>205</v>
      </c>
      <c r="K28" s="92">
        <v>60</v>
      </c>
      <c r="L28" s="47" t="s">
        <v>203</v>
      </c>
      <c r="M28" s="98"/>
    </row>
    <row r="29" spans="2:13">
      <c r="B29" s="98"/>
      <c r="C29" s="102"/>
      <c r="D29" s="45"/>
      <c r="G29" s="98"/>
      <c r="J29" s="45" t="s">
        <v>207</v>
      </c>
      <c r="K29" s="65">
        <f>PI()/180/3600/1000000</f>
        <v>4.8481368110953598E-12</v>
      </c>
      <c r="L29" s="47" t="s">
        <v>81</v>
      </c>
      <c r="M29" s="98"/>
    </row>
    <row r="30" spans="2:13">
      <c r="B30" s="97"/>
      <c r="C30" s="105"/>
      <c r="D30" s="45"/>
      <c r="G30" s="97"/>
      <c r="J30" s="45" t="s">
        <v>208</v>
      </c>
      <c r="K30" s="65">
        <v>9.9999999999999995E-8</v>
      </c>
      <c r="L30" s="47" t="s">
        <v>61</v>
      </c>
      <c r="M30" s="97"/>
    </row>
    <row r="31" spans="2:13">
      <c r="B31" s="100"/>
      <c r="C31" s="105"/>
      <c r="D31" s="37"/>
      <c r="G31" s="100"/>
      <c r="J31" s="37"/>
      <c r="K31" s="37"/>
      <c r="M31" s="100"/>
    </row>
    <row r="32" spans="2:13">
      <c r="C32" s="102"/>
    </row>
    <row r="33" spans="3:3">
      <c r="C33" s="102"/>
    </row>
    <row r="34" spans="3:3">
      <c r="C34" s="102"/>
    </row>
    <row r="35" spans="3:3">
      <c r="C35" s="102"/>
    </row>
    <row r="36" spans="3:3">
      <c r="C36" s="102"/>
    </row>
    <row r="37" spans="3:3">
      <c r="C37" s="102"/>
    </row>
  </sheetData>
  <pageMargins left="0" right="0" top="0.39374999999999999" bottom="0.39374999999999999" header="0" footer="0"/>
  <pageSetup fitToWidth="0" fitToHeight="0" pageOrder="overThenDown" orientation="portrait" horizontalDpi="200" verticalDpi="2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23816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Log</vt:lpstr>
      <vt:lpstr>Modes</vt:lpstr>
      <vt:lpstr>Acquisition</vt:lpstr>
      <vt:lpstr>Mission Counts</vt:lpstr>
      <vt:lpstr>Constants</vt:lpstr>
      <vt:lpstr>Parameters</vt:lpstr>
      <vt:lpstr>Acol</vt:lpstr>
      <vt:lpstr>arcsec</vt:lpstr>
      <vt:lpstr>AU</vt:lpstr>
      <vt:lpstr>c_light</vt:lpstr>
      <vt:lpstr>clight</vt:lpstr>
      <vt:lpstr>Dcol</vt:lpstr>
      <vt:lpstr>deg</vt:lpstr>
      <vt:lpstr>E_ph</vt:lpstr>
      <vt:lpstr>erg</vt:lpstr>
      <vt:lpstr>fluxTable</vt:lpstr>
      <vt:lpstr>FWC</vt:lpstr>
      <vt:lpstr>h_planck</vt:lpstr>
      <vt:lpstr>hplanck</vt:lpstr>
      <vt:lpstr>hrs</vt:lpstr>
      <vt:lpstr>lambda</vt:lpstr>
      <vt:lpstr>mas</vt:lpstr>
      <vt:lpstr>min</vt:lpstr>
      <vt:lpstr>Mpix</vt:lpstr>
      <vt:lpstr>pc</vt:lpstr>
      <vt:lpstr>QE</vt:lpstr>
      <vt:lpstr>R_Earth</vt:lpstr>
      <vt:lpstr>uas</vt:lpstr>
      <vt:lpstr>zeroMagFlux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Nemati, Bijan (383B)</dc:creator>
  <cp:lastModifiedBy>Nemati, Bijan (383B)</cp:lastModifiedBy>
  <cp:revision>21</cp:revision>
  <dcterms:created xsi:type="dcterms:W3CDTF">2015-11-11T15:45:07Z</dcterms:created>
  <dcterms:modified xsi:type="dcterms:W3CDTF">2016-05-19T23:09:25Z</dcterms:modified>
</cp:coreProperties>
</file>