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80" windowWidth="18200" windowHeight="7170" firstSheet="1" activeTab="1"/>
  </bookViews>
  <sheets>
    <sheet name="55% Portfolio" sheetId="1" state="hidden" r:id="rId1"/>
    <sheet name="45% Portfolio" sheetId="3" r:id="rId2"/>
    <sheet name="Investment Cost" sheetId="2" state="hidden" r:id="rId3"/>
    <sheet name="Depr" sheetId="4" r:id="rId4"/>
    <sheet name="Aquisition costs" sheetId="5" r:id="rId5"/>
  </sheets>
  <calcPr calcId="145621"/>
</workbook>
</file>

<file path=xl/calcChain.xml><?xml version="1.0" encoding="utf-8"?>
<calcChain xmlns="http://schemas.openxmlformats.org/spreadsheetml/2006/main">
  <c r="C40" i="3" l="1"/>
  <c r="C42" i="3"/>
  <c r="I10" i="3"/>
  <c r="H10" i="3"/>
  <c r="G10" i="3"/>
  <c r="E11" i="3"/>
  <c r="F11" i="3"/>
  <c r="G11" i="3"/>
  <c r="H11" i="3"/>
  <c r="I11" i="3"/>
  <c r="D11" i="3"/>
  <c r="F10" i="3"/>
  <c r="H9" i="3"/>
  <c r="G9" i="3"/>
  <c r="F9" i="3"/>
  <c r="E9" i="3"/>
  <c r="D9" i="3"/>
  <c r="E8" i="3"/>
  <c r="F8" i="3"/>
  <c r="G8" i="3"/>
  <c r="H8" i="3"/>
  <c r="I8" i="3"/>
  <c r="D8" i="3"/>
  <c r="E18" i="3"/>
  <c r="E20" i="3" s="1"/>
  <c r="F18" i="3"/>
  <c r="G18" i="3"/>
  <c r="H18" i="3"/>
  <c r="H20" i="3" s="1"/>
  <c r="I18" i="3"/>
  <c r="I20" i="3" s="1"/>
  <c r="D18" i="3"/>
  <c r="D20" i="3" s="1"/>
  <c r="F20" i="3"/>
  <c r="G20" i="3"/>
  <c r="E16" i="3"/>
  <c r="F16" i="3"/>
  <c r="G16" i="3"/>
  <c r="H16" i="3"/>
  <c r="I16" i="3"/>
  <c r="E17" i="3"/>
  <c r="F17" i="3"/>
  <c r="G17" i="3"/>
  <c r="H17" i="3"/>
  <c r="I17" i="3"/>
  <c r="E19" i="3"/>
  <c r="F19" i="3"/>
  <c r="G19" i="3"/>
  <c r="H19" i="3"/>
  <c r="I19" i="3"/>
  <c r="D19" i="3"/>
  <c r="D17" i="3"/>
  <c r="D16" i="3"/>
  <c r="G15" i="3"/>
  <c r="F15" i="3"/>
  <c r="E15" i="3"/>
  <c r="D15" i="3"/>
  <c r="H15" i="3"/>
  <c r="E32" i="3" l="1"/>
  <c r="F32" i="3"/>
  <c r="G32" i="3"/>
  <c r="H32" i="3"/>
  <c r="I32" i="3"/>
  <c r="D32" i="3"/>
  <c r="C26" i="5" l="1"/>
  <c r="R19" i="4" s="1"/>
  <c r="H12" i="5"/>
  <c r="I12" i="5" s="1"/>
  <c r="H14" i="5"/>
  <c r="I14" i="5"/>
  <c r="H24" i="5"/>
  <c r="I24" i="5"/>
  <c r="H25" i="5"/>
  <c r="I25" i="5" s="1"/>
  <c r="H27" i="5"/>
  <c r="I27" i="5" s="1"/>
  <c r="I44" i="3"/>
  <c r="H44" i="3"/>
  <c r="G44" i="3"/>
  <c r="F44" i="3"/>
  <c r="E44" i="3"/>
  <c r="C25" i="5"/>
  <c r="C24" i="5"/>
  <c r="I13" i="5" l="1"/>
  <c r="I15" i="5"/>
  <c r="H15" i="5"/>
  <c r="H13" i="5"/>
  <c r="M16" i="4"/>
  <c r="R19" i="3" l="1"/>
  <c r="Q19" i="3"/>
  <c r="P19" i="3"/>
  <c r="O19" i="3"/>
  <c r="R45" i="2"/>
  <c r="L38" i="2"/>
  <c r="Q36" i="2"/>
  <c r="L47" i="2"/>
  <c r="M20" i="4"/>
  <c r="J18" i="4"/>
  <c r="J20" i="4" s="1"/>
  <c r="K18" i="4"/>
  <c r="K20" i="4" s="1"/>
  <c r="L18" i="4"/>
  <c r="L20" i="4" s="1"/>
  <c r="M18" i="4"/>
  <c r="J15" i="4"/>
  <c r="K15" i="4" s="1"/>
  <c r="L15" i="4" s="1"/>
  <c r="M15" i="4" s="1"/>
  <c r="I14" i="4"/>
  <c r="J14" i="4" s="1"/>
  <c r="K14" i="4" s="1"/>
  <c r="L14" i="4" s="1"/>
  <c r="L16" i="4" s="1"/>
  <c r="C31" i="3"/>
  <c r="C33" i="3"/>
  <c r="H26" i="5" l="1"/>
  <c r="H28" i="5" s="1"/>
  <c r="I26" i="5"/>
  <c r="I28" i="5" s="1"/>
  <c r="G14" i="5"/>
  <c r="F14" i="5"/>
  <c r="E14" i="5"/>
  <c r="D14" i="5"/>
  <c r="I37" i="4"/>
  <c r="H37" i="4"/>
  <c r="G37" i="4"/>
  <c r="F37" i="4"/>
  <c r="E37" i="4"/>
  <c r="I34" i="4"/>
  <c r="G32" i="4"/>
  <c r="H32" i="4" s="1"/>
  <c r="I32" i="4" s="1"/>
  <c r="F31" i="4"/>
  <c r="G31" i="4" s="1"/>
  <c r="H31" i="4" s="1"/>
  <c r="I31" i="4" s="1"/>
  <c r="E30" i="4"/>
  <c r="F30" i="4" s="1"/>
  <c r="G30" i="4" s="1"/>
  <c r="H30" i="4" s="1"/>
  <c r="D29" i="4"/>
  <c r="E29" i="4" s="1"/>
  <c r="F29" i="4" s="1"/>
  <c r="G29" i="4" s="1"/>
  <c r="E28" i="4"/>
  <c r="F28" i="4" s="1"/>
  <c r="D28" i="4"/>
  <c r="C28" i="4"/>
  <c r="B27" i="4"/>
  <c r="C27" i="4" s="1"/>
  <c r="D27" i="4" s="1"/>
  <c r="E27" i="4" s="1"/>
  <c r="E35" i="4" s="1"/>
  <c r="E38" i="4" s="1"/>
  <c r="H33" i="4"/>
  <c r="I33" i="4" s="1"/>
  <c r="D60" i="2"/>
  <c r="D52" i="2" s="1"/>
  <c r="H50" i="2"/>
  <c r="H51" i="2" s="1"/>
  <c r="G50" i="2"/>
  <c r="G51" i="2" s="1"/>
  <c r="C27" i="5"/>
  <c r="C28" i="5" s="1"/>
  <c r="D25" i="5"/>
  <c r="E25" i="5" s="1"/>
  <c r="F25" i="5" s="1"/>
  <c r="G25" i="5" s="1"/>
  <c r="C15" i="5"/>
  <c r="C19" i="5" s="1"/>
  <c r="C30" i="5" s="1"/>
  <c r="E13" i="5"/>
  <c r="E15" i="5" s="1"/>
  <c r="C10" i="5"/>
  <c r="C32" i="5" l="1"/>
  <c r="H8" i="5"/>
  <c r="F8" i="5"/>
  <c r="F50" i="2" s="1"/>
  <c r="F51" i="2" s="1"/>
  <c r="E8" i="5"/>
  <c r="E50" i="2" s="1"/>
  <c r="E51" i="2" s="1"/>
  <c r="F56" i="2" s="1"/>
  <c r="G56" i="2" s="1"/>
  <c r="G57" i="2" s="1"/>
  <c r="H57" i="2" s="1"/>
  <c r="I57" i="2" s="1"/>
  <c r="G8" i="5"/>
  <c r="D8" i="5"/>
  <c r="D27" i="5"/>
  <c r="E27" i="5" s="1"/>
  <c r="F27" i="5" s="1"/>
  <c r="G27" i="5" s="1"/>
  <c r="D50" i="2"/>
  <c r="D51" i="2" s="1"/>
  <c r="E55" i="2" s="1"/>
  <c r="I35" i="4"/>
  <c r="I38" i="4" s="1"/>
  <c r="I39" i="4" s="1"/>
  <c r="F35" i="4"/>
  <c r="F38" i="4" s="1"/>
  <c r="F39" i="4" s="1"/>
  <c r="G35" i="4"/>
  <c r="G38" i="4" s="1"/>
  <c r="G39" i="4" s="1"/>
  <c r="H35" i="4"/>
  <c r="H38" i="4" s="1"/>
  <c r="H39" i="4" s="1"/>
  <c r="E39" i="4"/>
  <c r="F13" i="5"/>
  <c r="F15" i="5" s="1"/>
  <c r="G12" i="5"/>
  <c r="D24" i="5"/>
  <c r="D13" i="5"/>
  <c r="D15" i="5" s="1"/>
  <c r="E60" i="2" l="1"/>
  <c r="E52" i="2" s="1"/>
  <c r="E9" i="5" s="1"/>
  <c r="E10" i="5" s="1"/>
  <c r="E19" i="5" s="1"/>
  <c r="E30" i="5" s="1"/>
  <c r="F55" i="2"/>
  <c r="F60" i="2" s="1"/>
  <c r="F52" i="2" s="1"/>
  <c r="F9" i="5" s="1"/>
  <c r="F10" i="5" s="1"/>
  <c r="F19" i="5" s="1"/>
  <c r="F30" i="5" s="1"/>
  <c r="D9" i="5"/>
  <c r="D10" i="5" s="1"/>
  <c r="H56" i="2"/>
  <c r="I56" i="2" s="1"/>
  <c r="G55" i="2"/>
  <c r="E24" i="5"/>
  <c r="G13" i="5"/>
  <c r="G15" i="5" s="1"/>
  <c r="Q15" i="3"/>
  <c r="P15" i="3"/>
  <c r="O15" i="3"/>
  <c r="D19" i="5" l="1"/>
  <c r="D30" i="5" s="1"/>
  <c r="G60" i="2"/>
  <c r="G52" i="2" s="1"/>
  <c r="G9" i="5" s="1"/>
  <c r="G10" i="5" s="1"/>
  <c r="G19" i="5" s="1"/>
  <c r="G30" i="5" s="1"/>
  <c r="H55" i="2"/>
  <c r="F24" i="5"/>
  <c r="R15" i="3"/>
  <c r="G36" i="2"/>
  <c r="G37" i="2" s="1"/>
  <c r="H36" i="2"/>
  <c r="H37" i="2" s="1"/>
  <c r="D46" i="2"/>
  <c r="D38" i="2"/>
  <c r="H13" i="4"/>
  <c r="I13" i="4" s="1"/>
  <c r="J13" i="4" s="1"/>
  <c r="K13" i="4" s="1"/>
  <c r="K16" i="4" s="1"/>
  <c r="G12" i="4"/>
  <c r="H12" i="4" s="1"/>
  <c r="I12" i="4" s="1"/>
  <c r="J12" i="4" s="1"/>
  <c r="E18" i="4"/>
  <c r="N32" i="3"/>
  <c r="C32" i="3" s="1"/>
  <c r="E19" i="4"/>
  <c r="F16" i="4"/>
  <c r="F19" i="4" s="1"/>
  <c r="E16" i="4"/>
  <c r="F11" i="4"/>
  <c r="F8" i="4"/>
  <c r="D9" i="4"/>
  <c r="E9" i="4" s="1"/>
  <c r="F9" i="4" s="1"/>
  <c r="G9" i="4" s="1"/>
  <c r="D8" i="4"/>
  <c r="E8" i="4"/>
  <c r="C8" i="4"/>
  <c r="B7" i="4"/>
  <c r="C7" i="4" s="1"/>
  <c r="D7" i="4" s="1"/>
  <c r="E7" i="4" s="1"/>
  <c r="F18" i="4"/>
  <c r="G18" i="4"/>
  <c r="I18" i="4"/>
  <c r="H18" i="4"/>
  <c r="E10" i="4"/>
  <c r="F10" i="4" s="1"/>
  <c r="G10" i="4" s="1"/>
  <c r="H10" i="4" s="1"/>
  <c r="N24" i="1"/>
  <c r="J16" i="4" l="1"/>
  <c r="H60" i="2"/>
  <c r="H52" i="2" s="1"/>
  <c r="H9" i="5" s="1"/>
  <c r="H10" i="5" s="1"/>
  <c r="H19" i="5" s="1"/>
  <c r="H30" i="5" s="1"/>
  <c r="H32" i="5" s="1"/>
  <c r="I55" i="2"/>
  <c r="I60" i="2" s="1"/>
  <c r="I52" i="2" s="1"/>
  <c r="I9" i="5" s="1"/>
  <c r="I10" i="5" s="1"/>
  <c r="I19" i="5" s="1"/>
  <c r="I30" i="5" s="1"/>
  <c r="I32" i="5" s="1"/>
  <c r="I34" i="5" s="1"/>
  <c r="G24" i="5"/>
  <c r="F20" i="4"/>
  <c r="D26" i="5" s="1"/>
  <c r="D28" i="5" s="1"/>
  <c r="D32" i="5" s="1"/>
  <c r="E20" i="4"/>
  <c r="G11" i="4"/>
  <c r="G16" i="4" s="1"/>
  <c r="O31" i="3"/>
  <c r="P31" i="3" s="1"/>
  <c r="Q31" i="3" s="1"/>
  <c r="R31" i="3" s="1"/>
  <c r="N30" i="3"/>
  <c r="N20" i="3"/>
  <c r="N24" i="3" s="1"/>
  <c r="N36" i="3" s="1"/>
  <c r="Q16" i="3"/>
  <c r="Q20" i="3" s="1"/>
  <c r="P16" i="3"/>
  <c r="O16" i="3"/>
  <c r="O20" i="3" s="1"/>
  <c r="N13" i="3"/>
  <c r="O24" i="1"/>
  <c r="P24" i="1" s="1"/>
  <c r="O25" i="1"/>
  <c r="P25" i="1" s="1"/>
  <c r="Q25" i="1" s="1"/>
  <c r="R25" i="1" s="1"/>
  <c r="S25" i="1" s="1"/>
  <c r="T25" i="1" s="1"/>
  <c r="N15" i="1"/>
  <c r="N19" i="1" s="1"/>
  <c r="N30" i="1" s="1"/>
  <c r="S14" i="1"/>
  <c r="T14" i="1" s="1"/>
  <c r="R14" i="1"/>
  <c r="Q14" i="1"/>
  <c r="P14" i="1"/>
  <c r="O14" i="1"/>
  <c r="Q13" i="1"/>
  <c r="S12" i="1"/>
  <c r="T12" i="1" s="1"/>
  <c r="R12" i="1"/>
  <c r="R13" i="1" s="1"/>
  <c r="Q12" i="1"/>
  <c r="Q15" i="1" s="1"/>
  <c r="P12" i="1"/>
  <c r="O12" i="1"/>
  <c r="N10" i="1"/>
  <c r="T9" i="1"/>
  <c r="T10" i="1" s="1"/>
  <c r="S9" i="1"/>
  <c r="S10" i="1" s="1"/>
  <c r="D30" i="2"/>
  <c r="D22" i="2"/>
  <c r="H21" i="2"/>
  <c r="G21" i="2"/>
  <c r="D33" i="3"/>
  <c r="E33" i="3" s="1"/>
  <c r="F33" i="3" s="1"/>
  <c r="G33" i="3" s="1"/>
  <c r="H33" i="3" s="1"/>
  <c r="I33" i="3" s="1"/>
  <c r="D31" i="3"/>
  <c r="E31" i="3" s="1"/>
  <c r="F31" i="3" s="1"/>
  <c r="G31" i="3" s="1"/>
  <c r="H31" i="3" s="1"/>
  <c r="I31" i="3" s="1"/>
  <c r="C20" i="3"/>
  <c r="C24" i="3" s="1"/>
  <c r="C36" i="3" s="1"/>
  <c r="I15" i="3"/>
  <c r="C13" i="3"/>
  <c r="C10" i="1"/>
  <c r="D5" i="2"/>
  <c r="D13" i="2"/>
  <c r="G3" i="2"/>
  <c r="G4" i="2" s="1"/>
  <c r="H3" i="2"/>
  <c r="H4" i="2" s="1"/>
  <c r="D34" i="5" l="1"/>
  <c r="E45" i="3" s="1"/>
  <c r="D36" i="5"/>
  <c r="H34" i="5"/>
  <c r="I45" i="3" s="1"/>
  <c r="O32" i="3"/>
  <c r="N34" i="3"/>
  <c r="O11" i="3" s="1"/>
  <c r="D36" i="2" s="1"/>
  <c r="D37" i="2" s="1"/>
  <c r="C30" i="3"/>
  <c r="D30" i="3" s="1"/>
  <c r="E30" i="3" s="1"/>
  <c r="F30" i="3" s="1"/>
  <c r="O30" i="3"/>
  <c r="P30" i="3" s="1"/>
  <c r="Q30" i="3" s="1"/>
  <c r="R30" i="3" s="1"/>
  <c r="H11" i="4"/>
  <c r="H16" i="4" s="1"/>
  <c r="G19" i="4"/>
  <c r="G20" i="4" s="1"/>
  <c r="E26" i="5" s="1"/>
  <c r="E28" i="5" s="1"/>
  <c r="E32" i="5" s="1"/>
  <c r="E34" i="5" s="1"/>
  <c r="F45" i="3" s="1"/>
  <c r="P20" i="3"/>
  <c r="R16" i="3"/>
  <c r="R20" i="3" s="1"/>
  <c r="O8" i="1"/>
  <c r="Q24" i="1"/>
  <c r="P8" i="1"/>
  <c r="O13" i="1"/>
  <c r="O15" i="1" s="1"/>
  <c r="S13" i="1"/>
  <c r="T13" i="1" s="1"/>
  <c r="T15" i="1" s="1"/>
  <c r="T19" i="1" s="1"/>
  <c r="T30" i="1" s="1"/>
  <c r="R15" i="1"/>
  <c r="P13" i="1"/>
  <c r="P15" i="1" s="1"/>
  <c r="N28" i="1"/>
  <c r="N32" i="1" s="1"/>
  <c r="O28" i="1"/>
  <c r="C34" i="3"/>
  <c r="B46" i="1"/>
  <c r="D46" i="1" s="1"/>
  <c r="N36" i="2" l="1"/>
  <c r="N37" i="2" s="1"/>
  <c r="O36" i="2"/>
  <c r="O37" i="2" s="1"/>
  <c r="E36" i="5"/>
  <c r="D34" i="3"/>
  <c r="N38" i="3"/>
  <c r="P11" i="3"/>
  <c r="E36" i="2" s="1"/>
  <c r="E37" i="2" s="1"/>
  <c r="F42" i="2" s="1"/>
  <c r="G42" i="2" s="1"/>
  <c r="G43" i="2" s="1"/>
  <c r="H43" i="2" s="1"/>
  <c r="I43" i="2" s="1"/>
  <c r="Q11" i="3"/>
  <c r="F36" i="2" s="1"/>
  <c r="F37" i="2" s="1"/>
  <c r="E34" i="3"/>
  <c r="P32" i="3"/>
  <c r="P34" i="3" s="1"/>
  <c r="M36" i="2"/>
  <c r="M37" i="2" s="1"/>
  <c r="L36" i="2"/>
  <c r="L37" i="2" s="1"/>
  <c r="M41" i="2" s="1"/>
  <c r="P36" i="2"/>
  <c r="P37" i="2" s="1"/>
  <c r="O34" i="3"/>
  <c r="O12" i="3"/>
  <c r="O13" i="3" s="1"/>
  <c r="O24" i="3" s="1"/>
  <c r="O36" i="3" s="1"/>
  <c r="E41" i="2"/>
  <c r="I11" i="4"/>
  <c r="H19" i="4"/>
  <c r="H20" i="4" s="1"/>
  <c r="F26" i="5" s="1"/>
  <c r="F28" i="5" s="1"/>
  <c r="F32" i="5" s="1"/>
  <c r="D20" i="2"/>
  <c r="D21" i="2" s="1"/>
  <c r="S27" i="1"/>
  <c r="T27" i="1" s="1"/>
  <c r="Q8" i="1"/>
  <c r="R24" i="1"/>
  <c r="Q28" i="1"/>
  <c r="P28" i="1"/>
  <c r="S15" i="1"/>
  <c r="S19" i="1" s="1"/>
  <c r="S30" i="1" s="1"/>
  <c r="C38" i="3"/>
  <c r="G30" i="3"/>
  <c r="D25" i="1"/>
  <c r="E25" i="1" s="1"/>
  <c r="F25" i="1" s="1"/>
  <c r="G25" i="1" s="1"/>
  <c r="H25" i="1" s="1"/>
  <c r="I25" i="1" s="1"/>
  <c r="O38" i="3" l="1"/>
  <c r="O42" i="3" s="1"/>
  <c r="F36" i="5"/>
  <c r="F34" i="5"/>
  <c r="G45" i="3" s="1"/>
  <c r="H42" i="2"/>
  <c r="I42" i="2" s="1"/>
  <c r="E20" i="2"/>
  <c r="E21" i="2" s="1"/>
  <c r="F26" i="2" s="1"/>
  <c r="G26" i="2" s="1"/>
  <c r="F20" i="2"/>
  <c r="F21" i="2" s="1"/>
  <c r="F34" i="3"/>
  <c r="Q32" i="3"/>
  <c r="Q34" i="3" s="1"/>
  <c r="I16" i="4"/>
  <c r="I19" i="4" s="1"/>
  <c r="I20" i="4" s="1"/>
  <c r="G26" i="5" s="1"/>
  <c r="G28" i="5" s="1"/>
  <c r="G32" i="5" s="1"/>
  <c r="G34" i="5" s="1"/>
  <c r="H45" i="3" s="1"/>
  <c r="N42" i="2"/>
  <c r="O42" i="2" s="1"/>
  <c r="N41" i="2"/>
  <c r="M47" i="2"/>
  <c r="M38" i="2" s="1"/>
  <c r="D12" i="3" s="1"/>
  <c r="D13" i="3" s="1"/>
  <c r="D24" i="3" s="1"/>
  <c r="D36" i="3" s="1"/>
  <c r="D38" i="3" s="1"/>
  <c r="P44" i="2"/>
  <c r="Q44" i="2" s="1"/>
  <c r="R44" i="2" s="1"/>
  <c r="Q45" i="2"/>
  <c r="F41" i="2"/>
  <c r="E46" i="2"/>
  <c r="E38" i="2" s="1"/>
  <c r="P12" i="3" s="1"/>
  <c r="P13" i="3" s="1"/>
  <c r="P24" i="3" s="1"/>
  <c r="P36" i="3" s="1"/>
  <c r="P38" i="3" s="1"/>
  <c r="E25" i="2"/>
  <c r="S24" i="1"/>
  <c r="R28" i="1"/>
  <c r="H30" i="3"/>
  <c r="I12" i="1"/>
  <c r="G13" i="1"/>
  <c r="H14" i="1"/>
  <c r="I14" i="1" s="1"/>
  <c r="G14" i="1"/>
  <c r="F14" i="1"/>
  <c r="E14" i="1"/>
  <c r="D14" i="1"/>
  <c r="C15" i="1"/>
  <c r="D24" i="1"/>
  <c r="E24" i="1" s="1"/>
  <c r="F24" i="1" s="1"/>
  <c r="G24" i="1" s="1"/>
  <c r="H24" i="1" s="1"/>
  <c r="I24" i="1" s="1"/>
  <c r="G12" i="1"/>
  <c r="F12" i="1"/>
  <c r="F13" i="1" s="1"/>
  <c r="E12" i="1"/>
  <c r="D12" i="1"/>
  <c r="D13" i="1" s="1"/>
  <c r="H12" i="1"/>
  <c r="G36" i="5" l="1"/>
  <c r="H36" i="5" s="1"/>
  <c r="I36" i="5" s="1"/>
  <c r="O40" i="3"/>
  <c r="R32" i="3"/>
  <c r="R34" i="3" s="1"/>
  <c r="G34" i="3"/>
  <c r="O43" i="2"/>
  <c r="P43" i="2" s="1"/>
  <c r="Q43" i="2" s="1"/>
  <c r="R43" i="2" s="1"/>
  <c r="P42" i="2"/>
  <c r="Q42" i="2" s="1"/>
  <c r="R42" i="2" s="1"/>
  <c r="O41" i="2"/>
  <c r="N47" i="2"/>
  <c r="N38" i="2" s="1"/>
  <c r="E12" i="3" s="1"/>
  <c r="D42" i="3"/>
  <c r="D40" i="3"/>
  <c r="D47" i="3" s="1"/>
  <c r="D49" i="3" s="1"/>
  <c r="P42" i="3"/>
  <c r="P40" i="3"/>
  <c r="G41" i="2"/>
  <c r="F46" i="2"/>
  <c r="F38" i="2" s="1"/>
  <c r="Q12" i="3" s="1"/>
  <c r="Q13" i="3" s="1"/>
  <c r="Q24" i="3" s="1"/>
  <c r="Q36" i="3" s="1"/>
  <c r="Q38" i="3" s="1"/>
  <c r="F25" i="2"/>
  <c r="E30" i="2"/>
  <c r="E22" i="2" s="1"/>
  <c r="G27" i="2"/>
  <c r="H27" i="2" s="1"/>
  <c r="I27" i="2" s="1"/>
  <c r="H26" i="2"/>
  <c r="I26" i="2" s="1"/>
  <c r="T24" i="1"/>
  <c r="S28" i="1"/>
  <c r="I30" i="3"/>
  <c r="H34" i="3"/>
  <c r="H13" i="1"/>
  <c r="I13" i="1" s="1"/>
  <c r="I15" i="1" s="1"/>
  <c r="H15" i="1"/>
  <c r="G15" i="1"/>
  <c r="E13" i="1"/>
  <c r="E15" i="1" s="1"/>
  <c r="F15" i="1"/>
  <c r="D15" i="1"/>
  <c r="C27" i="1"/>
  <c r="D27" i="1" s="1"/>
  <c r="E27" i="1" s="1"/>
  <c r="F27" i="1" s="1"/>
  <c r="G27" i="1" s="1"/>
  <c r="H27" i="1" s="1"/>
  <c r="I27" i="1" s="1"/>
  <c r="E13" i="3" l="1"/>
  <c r="E24" i="3" s="1"/>
  <c r="E36" i="3" s="1"/>
  <c r="E38" i="3" s="1"/>
  <c r="E40" i="3" s="1"/>
  <c r="E47" i="3" s="1"/>
  <c r="E49" i="3" s="1"/>
  <c r="O47" i="2"/>
  <c r="O38" i="2" s="1"/>
  <c r="F12" i="3" s="1"/>
  <c r="P41" i="2"/>
  <c r="Q42" i="3"/>
  <c r="Q40" i="3"/>
  <c r="G46" i="2"/>
  <c r="G38" i="2" s="1"/>
  <c r="R12" i="3" s="1"/>
  <c r="R13" i="3" s="1"/>
  <c r="R24" i="3" s="1"/>
  <c r="R36" i="3" s="1"/>
  <c r="R38" i="3" s="1"/>
  <c r="H41" i="2"/>
  <c r="F30" i="2"/>
  <c r="F22" i="2" s="1"/>
  <c r="G25" i="2"/>
  <c r="T28" i="1"/>
  <c r="T32" i="1" s="1"/>
  <c r="T34" i="1" s="1"/>
  <c r="S32" i="1"/>
  <c r="S34" i="1" s="1"/>
  <c r="I34" i="3"/>
  <c r="F28" i="1"/>
  <c r="C19" i="1"/>
  <c r="C30" i="1" s="1"/>
  <c r="C28" i="1"/>
  <c r="E42" i="3" l="1"/>
  <c r="F13" i="3"/>
  <c r="F24" i="3" s="1"/>
  <c r="F36" i="3" s="1"/>
  <c r="F38" i="3" s="1"/>
  <c r="F40" i="3" s="1"/>
  <c r="F47" i="3" s="1"/>
  <c r="F49" i="3" s="1"/>
  <c r="P47" i="2"/>
  <c r="P38" i="2" s="1"/>
  <c r="G12" i="3" s="1"/>
  <c r="Q41" i="2"/>
  <c r="R42" i="3"/>
  <c r="R40" i="3"/>
  <c r="I41" i="2"/>
  <c r="I46" i="2" s="1"/>
  <c r="I38" i="2" s="1"/>
  <c r="H46" i="2"/>
  <c r="H38" i="2" s="1"/>
  <c r="G30" i="2"/>
  <c r="G22" i="2" s="1"/>
  <c r="H25" i="2"/>
  <c r="E8" i="1"/>
  <c r="E3" i="2" s="1"/>
  <c r="E4" i="2" s="1"/>
  <c r="D8" i="1"/>
  <c r="D3" i="2" s="1"/>
  <c r="D4" i="2" s="1"/>
  <c r="O9" i="1" s="1"/>
  <c r="O10" i="1" s="1"/>
  <c r="O19" i="1" s="1"/>
  <c r="O30" i="1" s="1"/>
  <c r="O32" i="1" s="1"/>
  <c r="O34" i="1" s="1"/>
  <c r="F8" i="1"/>
  <c r="F3" i="2" s="1"/>
  <c r="F4" i="2" s="1"/>
  <c r="C32" i="1"/>
  <c r="G28" i="1"/>
  <c r="F42" i="3" l="1"/>
  <c r="G13" i="3"/>
  <c r="G24" i="3" s="1"/>
  <c r="G36" i="3" s="1"/>
  <c r="G38" i="3" s="1"/>
  <c r="G40" i="3" s="1"/>
  <c r="G47" i="3" s="1"/>
  <c r="G49" i="3" s="1"/>
  <c r="Q47" i="2"/>
  <c r="Q38" i="2" s="1"/>
  <c r="H12" i="3" s="1"/>
  <c r="R41" i="2"/>
  <c r="R47" i="2" s="1"/>
  <c r="R38" i="2" s="1"/>
  <c r="I12" i="3" s="1"/>
  <c r="I13" i="3" s="1"/>
  <c r="F9" i="2"/>
  <c r="G9" i="2" s="1"/>
  <c r="I25" i="2"/>
  <c r="I30" i="2" s="1"/>
  <c r="I22" i="2" s="1"/>
  <c r="H30" i="2"/>
  <c r="H22" i="2" s="1"/>
  <c r="E8" i="2"/>
  <c r="D9" i="1"/>
  <c r="D10" i="1" s="1"/>
  <c r="D19" i="1" s="1"/>
  <c r="D30" i="1" s="1"/>
  <c r="H9" i="2"/>
  <c r="I9" i="2" s="1"/>
  <c r="G10" i="2"/>
  <c r="H10" i="2" s="1"/>
  <c r="I10" i="2" s="1"/>
  <c r="H28" i="1"/>
  <c r="H13" i="3" l="1"/>
  <c r="H24" i="3" s="1"/>
  <c r="H36" i="3" s="1"/>
  <c r="H38" i="3" s="1"/>
  <c r="H40" i="3" s="1"/>
  <c r="H47" i="3" s="1"/>
  <c r="H49" i="3" s="1"/>
  <c r="G42" i="3"/>
  <c r="I24" i="3"/>
  <c r="I36" i="3" s="1"/>
  <c r="I38" i="3" s="1"/>
  <c r="I40" i="3" s="1"/>
  <c r="I47" i="3" s="1"/>
  <c r="E13" i="2"/>
  <c r="E5" i="2" s="1"/>
  <c r="F8" i="2"/>
  <c r="I28" i="1"/>
  <c r="D28" i="1"/>
  <c r="E28" i="1"/>
  <c r="H42" i="3" l="1"/>
  <c r="I42" i="3" s="1"/>
  <c r="I49" i="3"/>
  <c r="E9" i="1"/>
  <c r="E10" i="1" s="1"/>
  <c r="E19" i="1" s="1"/>
  <c r="E30" i="1" s="1"/>
  <c r="E32" i="1" s="1"/>
  <c r="E34" i="1" s="1"/>
  <c r="P9" i="1"/>
  <c r="P10" i="1" s="1"/>
  <c r="P19" i="1" s="1"/>
  <c r="P30" i="1" s="1"/>
  <c r="P32" i="1" s="1"/>
  <c r="P34" i="1" s="1"/>
  <c r="F13" i="2"/>
  <c r="F5" i="2" s="1"/>
  <c r="G8" i="2"/>
  <c r="D34" i="1"/>
  <c r="D32" i="1"/>
  <c r="F9" i="1" l="1"/>
  <c r="F10" i="1" s="1"/>
  <c r="F19" i="1" s="1"/>
  <c r="F30" i="1" s="1"/>
  <c r="F32" i="1" s="1"/>
  <c r="F34" i="1" s="1"/>
  <c r="Q9" i="1"/>
  <c r="Q10" i="1" s="1"/>
  <c r="Q19" i="1" s="1"/>
  <c r="Q30" i="1" s="1"/>
  <c r="Q32" i="1" s="1"/>
  <c r="Q34" i="1" s="1"/>
  <c r="G13" i="2"/>
  <c r="G5" i="2" s="1"/>
  <c r="H8" i="2"/>
  <c r="G9" i="1" l="1"/>
  <c r="G10" i="1" s="1"/>
  <c r="G19" i="1" s="1"/>
  <c r="G30" i="1" s="1"/>
  <c r="G32" i="1" s="1"/>
  <c r="G34" i="1" s="1"/>
  <c r="R9" i="1"/>
  <c r="R10" i="1" s="1"/>
  <c r="R19" i="1" s="1"/>
  <c r="R30" i="1" s="1"/>
  <c r="R32" i="1" s="1"/>
  <c r="R34" i="1" s="1"/>
  <c r="H13" i="2"/>
  <c r="H5" i="2" s="1"/>
  <c r="H9" i="1" s="1"/>
  <c r="H10" i="1" s="1"/>
  <c r="H19" i="1" s="1"/>
  <c r="H30" i="1" s="1"/>
  <c r="H32" i="1" s="1"/>
  <c r="H34" i="1" s="1"/>
  <c r="I8" i="2"/>
  <c r="I13" i="2" s="1"/>
  <c r="I5" i="2" s="1"/>
  <c r="I9" i="1" s="1"/>
  <c r="I10" i="1" s="1"/>
  <c r="I19" i="1" s="1"/>
  <c r="I30" i="1" s="1"/>
  <c r="I32" i="1" s="1"/>
  <c r="I34" i="1" s="1"/>
</calcChain>
</file>

<file path=xl/sharedStrings.xml><?xml version="1.0" encoding="utf-8"?>
<sst xmlns="http://schemas.openxmlformats.org/spreadsheetml/2006/main" count="378" uniqueCount="127">
  <si>
    <t>Current Costs</t>
  </si>
  <si>
    <t>Dep / Amort</t>
  </si>
  <si>
    <t>Other</t>
  </si>
  <si>
    <t>Staffing</t>
  </si>
  <si>
    <t>Investment</t>
  </si>
  <si>
    <t>Application Refactor / Moderization / Decommision</t>
  </si>
  <si>
    <t>Total Incremental Costs</t>
  </si>
  <si>
    <t>Write-offs</t>
  </si>
  <si>
    <t>New Hosting</t>
  </si>
  <si>
    <t>T0</t>
  </si>
  <si>
    <t>T1</t>
  </si>
  <si>
    <t>T2</t>
  </si>
  <si>
    <t>T3</t>
  </si>
  <si>
    <t>Estimated impact on legacy gear</t>
  </si>
  <si>
    <t>Cost Savings</t>
  </si>
  <si>
    <t>Assumptions</t>
  </si>
  <si>
    <t>Cost Subtotal</t>
  </si>
  <si>
    <t>Total Cost</t>
  </si>
  <si>
    <t>Breakeven</t>
  </si>
  <si>
    <t>T4</t>
  </si>
  <si>
    <t>T5</t>
  </si>
  <si>
    <t>Hosting Subtotal</t>
  </si>
  <si>
    <t>MSFT Non-Server</t>
  </si>
  <si>
    <t>MSFT Server</t>
  </si>
  <si>
    <t>Other Cloud Costs</t>
  </si>
  <si>
    <t>OT Staffing / License / Tools / Monitoring</t>
  </si>
  <si>
    <t>T6</t>
  </si>
  <si>
    <t>Comments</t>
  </si>
  <si>
    <t>Per Movere data with 20% migration per year over 5 years</t>
  </si>
  <si>
    <t>3% annual reduction in staffing</t>
  </si>
  <si>
    <t>Decrease in HW purchases due to migration</t>
  </si>
  <si>
    <t>Cost outside of scope for excerise</t>
  </si>
  <si>
    <t>Per OT Heathcare Cloud team, does this include ingress/egress costs?</t>
  </si>
  <si>
    <t>*Have we factored in current hosting contracts that go away</t>
  </si>
  <si>
    <t>*We have added 10M of cloud staffing and took out $22M of legacy staffing</t>
  </si>
  <si>
    <t>Questions</t>
  </si>
  <si>
    <t>SW Maintenance</t>
  </si>
  <si>
    <t>*13% decrease in software renewals?</t>
  </si>
  <si>
    <t>*How much would CDO capital come down each year?  Full $20M?</t>
  </si>
  <si>
    <t>contra</t>
  </si>
  <si>
    <t>Depr</t>
  </si>
  <si>
    <t>Depr Y1</t>
  </si>
  <si>
    <t>Depr Y2</t>
  </si>
  <si>
    <t>Depr Y3</t>
  </si>
  <si>
    <t>Depr Y4</t>
  </si>
  <si>
    <t>Total</t>
  </si>
  <si>
    <t>Net</t>
  </si>
  <si>
    <t>Investment Expense</t>
  </si>
  <si>
    <t>Net Investment Subtotal</t>
  </si>
  <si>
    <t>DMG roughly 10% cost reduction in their eco system</t>
  </si>
  <si>
    <t>Net Contra &amp; Depr</t>
  </si>
  <si>
    <t>Per E&amp;Y Estimate (55% of portfolio &amp; 30% of costs to moderize) over 3 years</t>
  </si>
  <si>
    <t>3 Year Investment View / 55% portfolio</t>
  </si>
  <si>
    <t>55% View</t>
  </si>
  <si>
    <t>45% View</t>
  </si>
  <si>
    <t>3 Year Investment View / 55% portfolio adjusted for Dev staff</t>
  </si>
  <si>
    <t>3 Year Investment View / 45% portfolio adjusted for Dev staff</t>
  </si>
  <si>
    <t>220 FTE's</t>
  </si>
  <si>
    <t>HW Only investment</t>
  </si>
  <si>
    <t>2020 Cap Plan</t>
  </si>
  <si>
    <t>Yr 1</t>
  </si>
  <si>
    <t>Yr 2</t>
  </si>
  <si>
    <t>Yr 3</t>
  </si>
  <si>
    <t>Yr 4</t>
  </si>
  <si>
    <t>Yr 5</t>
  </si>
  <si>
    <t>Capital</t>
  </si>
  <si>
    <t>Contra</t>
  </si>
  <si>
    <t>Net P&amp;L</t>
  </si>
  <si>
    <t>T-1</t>
  </si>
  <si>
    <t>T-2</t>
  </si>
  <si>
    <t>T-3</t>
  </si>
  <si>
    <t>Yr -1</t>
  </si>
  <si>
    <t>Yr -2</t>
  </si>
  <si>
    <t>Yr -3</t>
  </si>
  <si>
    <t>Dep</t>
  </si>
  <si>
    <t>Net Contra &amp; Amort</t>
  </si>
  <si>
    <t>Decrease in HW purchases due to migration (2020 HW cap plan is $20M) decreasing by 40% over 3 years</t>
  </si>
  <si>
    <t>All other IT costs (telephony, consulting, data communications, etc)</t>
  </si>
  <si>
    <t>Cost</t>
  </si>
  <si>
    <t>Accumulated P&amp;L</t>
  </si>
  <si>
    <t>Per Movere data with 33% migration per year over 3 years, updated MSFT costs to $1.8M/month</t>
  </si>
  <si>
    <t>Outstanding questions:</t>
  </si>
  <si>
    <t>Have you landed on costs for ingress/egress</t>
  </si>
  <si>
    <t>Not enough costs are coming out, should there be more?</t>
  </si>
  <si>
    <t>Annual variance to baseline</t>
  </si>
  <si>
    <t>45% reduction in staff - Still questions around FTE baseline counts</t>
  </si>
  <si>
    <t>App Dev labor, how does that decrease over time as apps migrate to strategic apps</t>
  </si>
  <si>
    <t>Similar cost proportions to current CDO ecosytem baseline</t>
  </si>
  <si>
    <t>Acquisition</t>
  </si>
  <si>
    <t>Yr6</t>
  </si>
  <si>
    <t>45% View 3 year</t>
  </si>
  <si>
    <t>45% View 5 year</t>
  </si>
  <si>
    <t>Amort</t>
  </si>
  <si>
    <t>Depr Y5</t>
  </si>
  <si>
    <t>Depr Y6</t>
  </si>
  <si>
    <t>Decrease in HW purchases due to migration (20% reduction per year down to $2M annually)</t>
  </si>
  <si>
    <t>Cost outside of scope for exercise</t>
  </si>
  <si>
    <t>Application Refactor / Modernization / Decommission</t>
  </si>
  <si>
    <t>(45% of portfolio &amp; 30% of costs to modernize) over 3 years, low end of range based on previous examples</t>
  </si>
  <si>
    <t>Per OT Healthcare Cloud team, does this include ingress/egress costs?</t>
  </si>
  <si>
    <t>Acquisition/Growth Synergies</t>
  </si>
  <si>
    <t>Annual Vairance to Baseline</t>
  </si>
  <si>
    <t>Assume costs structure of 2 PH NY + 10 AppleCare's, 15% of staff is Data Center related ($4B)</t>
  </si>
  <si>
    <t>Incremental CDO aquisition / 1 large &amp; 5 small per year</t>
  </si>
  <si>
    <t>This assumes costs for a $4B acquisition, no incremental IBM costs in model</t>
  </si>
  <si>
    <t>Ramp down to $10M</t>
  </si>
  <si>
    <t>MSFT Non-Server (+25%)</t>
  </si>
  <si>
    <t>Other Cloud Costs (+25%)</t>
  </si>
  <si>
    <t>Per OT Healthcare Cloud team, ingress/egress costs, storage, msft add on services</t>
  </si>
  <si>
    <t>Up front commit spend over 12 months</t>
  </si>
  <si>
    <t>Investment Subtotal</t>
  </si>
  <si>
    <t>New Acquisition team</t>
  </si>
  <si>
    <t>Core Automation team</t>
  </si>
  <si>
    <t>CDO Migration team</t>
  </si>
  <si>
    <t>1 onshore scrum team (8 FTE)</t>
  </si>
  <si>
    <t>MSFT UHG Discount (-15%)</t>
  </si>
  <si>
    <t>MSFT Reserve Instance  (-18%)</t>
  </si>
  <si>
    <t>Dev Labor Reductions</t>
  </si>
  <si>
    <t>Assume 1400 development FTE's reduce to 1120 FTE over 6 years</t>
  </si>
  <si>
    <t>Total Incremental Cost</t>
  </si>
  <si>
    <t>5 Year Investment View / 40% portfolio</t>
  </si>
  <si>
    <t>Half onshore scrum team T1, ramp to 2 scrum teams T3, ramp back to 1 scrum team T4</t>
  </si>
  <si>
    <t>1 onshore scrum team T3, ramp to 2 onshore scrum teams T4</t>
  </si>
  <si>
    <t>Migrate 40% of portfolio over 5 years (assumes ramp to 4 UHG funded onshore scrum teams)</t>
  </si>
  <si>
    <t>Per Movere data with 20% migration per year over 5 years, MSFT costs ramping to $708K/month</t>
  </si>
  <si>
    <t>Estimated discount per MSFT ratecard</t>
  </si>
  <si>
    <t>Net amount from Investment categories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</si>
</sst>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.0_);_(* \(#,##0.0\);_(* &quot;-&quot;??_);_(@_)"/>
    <numFmt numFmtId="166" formatCode="0.0"/>
    <numFmt numFmtId="167" formatCode="_(&quot;$&quot;* #,##0.0_);_(&quot;$&quot;* \(#,##0.0\);_(&quot;$&quot;* &quot;-&quot;??_);_(@_)"/>
    <numFmt numFmtId="168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84">
    <xf numFmtId="0" fontId="0" fillId="0" borderId="0" xfId="0"/>
    <xf numFmtId="0" fontId="3" fillId="0" borderId="0" xfId="0" applyFont="1"/>
    <xf numFmtId="0" fontId="0" fillId="0" borderId="0" xfId="0" applyAlignment="1">
      <alignment horizontal="left" indent="2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left"/>
    </xf>
    <xf numFmtId="164" fontId="0" fillId="0" borderId="2" xfId="0" applyNumberFormat="1" applyBorder="1"/>
    <xf numFmtId="165" fontId="0" fillId="0" borderId="0" xfId="2" applyNumberFormat="1" applyFont="1"/>
    <xf numFmtId="165" fontId="0" fillId="0" borderId="1" xfId="2" applyNumberFormat="1" applyFont="1" applyBorder="1"/>
    <xf numFmtId="0" fontId="2" fillId="0" borderId="0" xfId="0" applyFont="1" applyAlignment="1">
      <alignment horizontal="left" indent="1"/>
    </xf>
    <xf numFmtId="165" fontId="2" fillId="0" borderId="0" xfId="2" applyNumberFormat="1" applyFont="1"/>
    <xf numFmtId="0" fontId="2" fillId="0" borderId="0" xfId="0" applyFont="1"/>
    <xf numFmtId="164" fontId="0" fillId="0" borderId="0" xfId="0" applyNumberFormat="1"/>
    <xf numFmtId="0" fontId="2" fillId="2" borderId="2" xfId="0" applyFont="1" applyFill="1" applyBorder="1" applyAlignment="1">
      <alignment horizontal="left" indent="1"/>
    </xf>
    <xf numFmtId="164" fontId="2" fillId="2" borderId="2" xfId="0" applyNumberFormat="1" applyFont="1" applyFill="1" applyBorder="1"/>
    <xf numFmtId="0" fontId="4" fillId="2" borderId="2" xfId="0" applyFont="1" applyFill="1" applyBorder="1"/>
    <xf numFmtId="0" fontId="2" fillId="2" borderId="2" xfId="0" applyFont="1" applyFill="1" applyBorder="1"/>
    <xf numFmtId="0" fontId="3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Border="1" applyAlignment="1">
      <alignment horizontal="left" indent="2"/>
    </xf>
    <xf numFmtId="0" fontId="0" fillId="0" borderId="0" xfId="0" applyBorder="1" applyAlignment="1">
      <alignment horizontal="center"/>
    </xf>
    <xf numFmtId="165" fontId="0" fillId="0" borderId="0" xfId="2" applyNumberFormat="1" applyFont="1" applyAlignment="1">
      <alignment horizontal="center"/>
    </xf>
    <xf numFmtId="165" fontId="0" fillId="0" borderId="0" xfId="2" applyNumberFormat="1" applyFont="1" applyBorder="1" applyAlignment="1">
      <alignment horizontal="center"/>
    </xf>
    <xf numFmtId="166" fontId="0" fillId="0" borderId="0" xfId="0" applyNumberFormat="1" applyFill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left" indent="2"/>
    </xf>
    <xf numFmtId="164" fontId="2" fillId="0" borderId="0" xfId="0" applyNumberFormat="1" applyFont="1"/>
    <xf numFmtId="43" fontId="0" fillId="0" borderId="0" xfId="0" applyNumberFormat="1"/>
    <xf numFmtId="0" fontId="0" fillId="0" borderId="3" xfId="0" applyBorder="1"/>
    <xf numFmtId="167" fontId="0" fillId="0" borderId="0" xfId="1" applyNumberFormat="1" applyFont="1"/>
    <xf numFmtId="168" fontId="0" fillId="0" borderId="0" xfId="2" applyNumberFormat="1" applyFont="1"/>
    <xf numFmtId="165" fontId="0" fillId="0" borderId="3" xfId="2" applyNumberFormat="1" applyFont="1" applyBorder="1"/>
    <xf numFmtId="0" fontId="2" fillId="0" borderId="4" xfId="0" applyFont="1" applyBorder="1"/>
    <xf numFmtId="0" fontId="2" fillId="0" borderId="5" xfId="0" applyFont="1" applyBorder="1"/>
    <xf numFmtId="165" fontId="2" fillId="0" borderId="5" xfId="2" applyNumberFormat="1" applyFont="1" applyBorder="1"/>
    <xf numFmtId="165" fontId="2" fillId="0" borderId="6" xfId="2" applyNumberFormat="1" applyFont="1" applyBorder="1"/>
    <xf numFmtId="0" fontId="2" fillId="0" borderId="4" xfId="0" applyFont="1" applyBorder="1" applyAlignment="1">
      <alignment horizontal="left" indent="1"/>
    </xf>
    <xf numFmtId="0" fontId="2" fillId="0" borderId="5" xfId="0" applyFont="1" applyBorder="1" applyAlignment="1">
      <alignment horizontal="center"/>
    </xf>
    <xf numFmtId="166" fontId="2" fillId="0" borderId="5" xfId="0" applyNumberFormat="1" applyFont="1" applyBorder="1" applyAlignment="1">
      <alignment horizontal="center"/>
    </xf>
    <xf numFmtId="166" fontId="2" fillId="0" borderId="6" xfId="0" applyNumberFormat="1" applyFont="1" applyBorder="1" applyAlignment="1">
      <alignment horizontal="center"/>
    </xf>
    <xf numFmtId="168" fontId="0" fillId="0" borderId="0" xfId="0" applyNumberFormat="1"/>
    <xf numFmtId="168" fontId="0" fillId="0" borderId="3" xfId="0" applyNumberFormat="1" applyBorder="1"/>
    <xf numFmtId="168" fontId="2" fillId="0" borderId="0" xfId="2" applyNumberFormat="1" applyFont="1"/>
    <xf numFmtId="43" fontId="0" fillId="0" borderId="0" xfId="2" applyNumberFormat="1" applyFont="1"/>
    <xf numFmtId="0" fontId="0" fillId="3" borderId="0" xfId="0" applyFill="1" applyAlignment="1">
      <alignment horizontal="left" indent="2"/>
    </xf>
    <xf numFmtId="0" fontId="0" fillId="3" borderId="0" xfId="0" applyFill="1" applyAlignment="1">
      <alignment horizontal="center"/>
    </xf>
    <xf numFmtId="165" fontId="0" fillId="3" borderId="0" xfId="2" applyNumberFormat="1" applyFont="1" applyFill="1" applyAlignment="1">
      <alignment horizontal="center"/>
    </xf>
    <xf numFmtId="0" fontId="6" fillId="0" borderId="0" xfId="0" applyFont="1" applyAlignment="1">
      <alignment vertical="top"/>
    </xf>
    <xf numFmtId="164" fontId="2" fillId="0" borderId="2" xfId="0" applyNumberFormat="1" applyFont="1" applyBorder="1"/>
    <xf numFmtId="0" fontId="7" fillId="4" borderId="7" xfId="0" applyFont="1" applyFill="1" applyBorder="1"/>
    <xf numFmtId="0" fontId="7" fillId="4" borderId="8" xfId="0" applyFont="1" applyFill="1" applyBorder="1"/>
    <xf numFmtId="164" fontId="7" fillId="4" borderId="8" xfId="0" applyNumberFormat="1" applyFont="1" applyFill="1" applyBorder="1"/>
    <xf numFmtId="164" fontId="7" fillId="4" borderId="9" xfId="0" applyNumberFormat="1" applyFont="1" applyFill="1" applyBorder="1"/>
    <xf numFmtId="0" fontId="0" fillId="0" borderId="0" xfId="0" applyFill="1" applyBorder="1"/>
    <xf numFmtId="0" fontId="7" fillId="0" borderId="0" xfId="0" applyFont="1" applyFill="1" applyBorder="1"/>
    <xf numFmtId="164" fontId="7" fillId="0" borderId="0" xfId="0" applyNumberFormat="1" applyFont="1" applyFill="1" applyBorder="1"/>
    <xf numFmtId="165" fontId="2" fillId="0" borderId="3" xfId="2" applyNumberFormat="1" applyFont="1" applyBorder="1"/>
    <xf numFmtId="167" fontId="2" fillId="0" borderId="2" xfId="0" applyNumberFormat="1" applyFont="1" applyBorder="1"/>
    <xf numFmtId="165" fontId="7" fillId="4" borderId="10" xfId="2" applyNumberFormat="1" applyFont="1" applyFill="1" applyBorder="1"/>
    <xf numFmtId="165" fontId="7" fillId="0" borderId="8" xfId="2" applyNumberFormat="1" applyFont="1" applyFill="1" applyBorder="1"/>
    <xf numFmtId="164" fontId="2" fillId="2" borderId="0" xfId="0" applyNumberFormat="1" applyFont="1" applyFill="1" applyBorder="1"/>
    <xf numFmtId="167" fontId="2" fillId="0" borderId="0" xfId="0" applyNumberFormat="1" applyFont="1"/>
    <xf numFmtId="165" fontId="7" fillId="0" borderId="0" xfId="2" applyNumberFormat="1" applyFont="1" applyFill="1" applyBorder="1"/>
    <xf numFmtId="164" fontId="7" fillId="4" borderId="10" xfId="0" applyNumberFormat="1" applyFont="1" applyFill="1" applyBorder="1"/>
    <xf numFmtId="164" fontId="7" fillId="0" borderId="8" xfId="0" applyNumberFormat="1" applyFont="1" applyFill="1" applyBorder="1"/>
    <xf numFmtId="168" fontId="0" fillId="0" borderId="3" xfId="2" applyNumberFormat="1" applyFont="1" applyBorder="1"/>
    <xf numFmtId="166" fontId="0" fillId="0" borderId="0" xfId="0" applyNumberFormat="1"/>
    <xf numFmtId="0" fontId="2" fillId="5" borderId="4" xfId="0" applyFont="1" applyFill="1" applyBorder="1"/>
    <xf numFmtId="165" fontId="2" fillId="5" borderId="5" xfId="2" applyNumberFormat="1" applyFont="1" applyFill="1" applyBorder="1"/>
    <xf numFmtId="0" fontId="0" fillId="6" borderId="5" xfId="0" applyFont="1" applyFill="1" applyBorder="1" applyAlignment="1">
      <alignment horizontal="left" indent="1"/>
    </xf>
    <xf numFmtId="0" fontId="0" fillId="6" borderId="5" xfId="0" applyFont="1" applyFill="1" applyBorder="1" applyAlignment="1">
      <alignment horizontal="left" indent="2"/>
    </xf>
    <xf numFmtId="166" fontId="0" fillId="6" borderId="5" xfId="0" applyNumberFormat="1" applyFont="1" applyFill="1" applyBorder="1"/>
    <xf numFmtId="0" fontId="2" fillId="2" borderId="2" xfId="0" applyFont="1" applyFill="1" applyBorder="1" applyAlignment="1">
      <alignment horizontal="left"/>
    </xf>
    <xf numFmtId="167" fontId="2" fillId="2" borderId="2" xfId="0" applyNumberFormat="1" applyFont="1" applyFill="1" applyBorder="1"/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/>
    <xf numFmtId="167" fontId="2" fillId="0" borderId="0" xfId="0" applyNumberFormat="1" applyFont="1" applyFill="1" applyBorder="1"/>
    <xf numFmtId="0" fontId="0" fillId="0" borderId="0" xfId="0" applyFill="1"/>
    <xf numFmtId="0" fontId="5" fillId="0" borderId="0" xfId="0" applyFont="1" applyFill="1"/>
    <xf numFmtId="0" fontId="6" fillId="0" borderId="0" xfId="0" applyFont="1" applyFill="1" applyAlignment="1">
      <alignment vertical="top"/>
    </xf>
    <xf numFmtId="164" fontId="2" fillId="2" borderId="3" xfId="0" applyNumberFormat="1" applyFont="1" applyFill="1" applyBorder="1"/>
    <xf numFmtId="165" fontId="7" fillId="4" borderId="8" xfId="2" applyNumberFormat="1" applyFont="1" applyFill="1" applyBorder="1"/>
    <xf numFmtId="165" fontId="7" fillId="4" borderId="9" xfId="2" applyNumberFormat="1" applyFont="1" applyFill="1" applyBorder="1"/>
    <xf numFmtId="0" fontId="0" fillId="0" borderId="11" xfId="0" applyBorder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V46"/>
  <sheetViews>
    <sheetView showGridLines="0" topLeftCell="C1" zoomScale="90" zoomScaleNormal="90" workbookViewId="0">
      <selection activeCell="N24" sqref="N24"/>
    </sheetView>
  </sheetViews>
  <sheetFormatPr defaultRowHeight="14.5" x14ac:dyDescent="0.35"/>
  <cols>
    <col min="1" max="1" width="3.26953125" customWidth="1"/>
    <col min="2" max="2" width="27.7265625" customWidth="1"/>
    <col min="3" max="3" width="7.453125" customWidth="1"/>
    <col min="4" max="4" width="8.54296875" bestFit="1" customWidth="1"/>
    <col min="5" max="5" width="7.453125" customWidth="1"/>
    <col min="6" max="6" width="7.1796875" bestFit="1" customWidth="1"/>
    <col min="7" max="7" width="7.453125" bestFit="1" customWidth="1"/>
    <col min="8" max="9" width="7.453125" hidden="1" customWidth="1"/>
    <col min="10" max="10" width="3" customWidth="1"/>
    <col min="11" max="11" width="68.453125" bestFit="1" customWidth="1"/>
    <col min="13" max="13" width="37.26953125" customWidth="1"/>
    <col min="14" max="14" width="7.26953125" customWidth="1"/>
    <col min="15" max="15" width="7.81640625" bestFit="1" customWidth="1"/>
    <col min="16" max="17" width="7.26953125" bestFit="1" customWidth="1"/>
    <col min="18" max="18" width="11.54296875" customWidth="1"/>
    <col min="19" max="20" width="0" hidden="1" customWidth="1"/>
    <col min="22" max="22" width="69.1796875" bestFit="1" customWidth="1"/>
  </cols>
  <sheetData>
    <row r="1" spans="2:22" ht="15" x14ac:dyDescent="0.25">
      <c r="D1" s="2"/>
    </row>
    <row r="3" spans="2:22" ht="21.75" thickBot="1" x14ac:dyDescent="0.4">
      <c r="B3" s="14" t="s">
        <v>52</v>
      </c>
      <c r="C3" s="14"/>
      <c r="D3" s="15"/>
      <c r="E3" s="15"/>
      <c r="F3" s="15"/>
      <c r="G3" s="15"/>
      <c r="H3" s="15"/>
      <c r="I3" s="15"/>
      <c r="K3" s="14" t="s">
        <v>27</v>
      </c>
      <c r="M3" s="14" t="s">
        <v>55</v>
      </c>
      <c r="N3" s="14"/>
      <c r="O3" s="15"/>
      <c r="P3" s="15"/>
      <c r="Q3" s="15"/>
      <c r="R3" s="15"/>
      <c r="S3" s="15"/>
      <c r="T3" s="15"/>
      <c r="V3" s="14" t="s">
        <v>27</v>
      </c>
    </row>
    <row r="4" spans="2:22" ht="6" customHeight="1" x14ac:dyDescent="0.25"/>
    <row r="5" spans="2:22" ht="15.75" customHeight="1" x14ac:dyDescent="0.25">
      <c r="B5" s="10"/>
      <c r="C5" s="23" t="s">
        <v>9</v>
      </c>
      <c r="D5" s="23" t="s">
        <v>10</v>
      </c>
      <c r="E5" s="23" t="s">
        <v>11</v>
      </c>
      <c r="F5" s="23" t="s">
        <v>12</v>
      </c>
      <c r="G5" s="23" t="s">
        <v>19</v>
      </c>
      <c r="H5" s="23" t="s">
        <v>20</v>
      </c>
      <c r="I5" s="23" t="s">
        <v>26</v>
      </c>
      <c r="M5" s="10"/>
      <c r="N5" s="23" t="s">
        <v>9</v>
      </c>
      <c r="O5" s="23" t="s">
        <v>10</v>
      </c>
      <c r="P5" s="23" t="s">
        <v>11</v>
      </c>
      <c r="Q5" s="23" t="s">
        <v>12</v>
      </c>
      <c r="R5" s="23" t="s">
        <v>19</v>
      </c>
      <c r="S5" s="23" t="s">
        <v>20</v>
      </c>
      <c r="T5" s="23" t="s">
        <v>26</v>
      </c>
    </row>
    <row r="6" spans="2:22" ht="3" customHeight="1" x14ac:dyDescent="0.25"/>
    <row r="7" spans="2:22" ht="15" x14ac:dyDescent="0.25">
      <c r="B7" s="1" t="s">
        <v>5</v>
      </c>
      <c r="C7" s="1"/>
      <c r="M7" s="1" t="s">
        <v>5</v>
      </c>
      <c r="N7" s="1"/>
    </row>
    <row r="8" spans="2:22" ht="15" x14ac:dyDescent="0.25">
      <c r="B8" s="2" t="s">
        <v>4</v>
      </c>
      <c r="C8" s="2">
        <v>0</v>
      </c>
      <c r="D8" s="29">
        <f>($C$28-C27)*(1/1.8)*0.3/3</f>
        <v>18.355555555555554</v>
      </c>
      <c r="E8" s="29">
        <f>($C$28-D27)*(1/1.8)*0.3/3</f>
        <v>18.355555555555554</v>
      </c>
      <c r="F8" s="29">
        <f>($C$28-E27)*(1/1.8)*0.3/3</f>
        <v>18.355555555555554</v>
      </c>
      <c r="G8" s="29">
        <v>0</v>
      </c>
      <c r="H8" s="29">
        <v>0</v>
      </c>
      <c r="I8" s="29">
        <v>0</v>
      </c>
      <c r="K8" t="s">
        <v>51</v>
      </c>
      <c r="M8" s="2" t="s">
        <v>4</v>
      </c>
      <c r="N8" s="2">
        <v>0</v>
      </c>
      <c r="O8" s="29">
        <f>($C$28-N27)*(1/1.8)*0.3/3</f>
        <v>18.355555555555554</v>
      </c>
      <c r="P8" s="29">
        <f>($C$28-O27)*(1/1.8)*0.3/3</f>
        <v>18.355555555555554</v>
      </c>
      <c r="Q8" s="29">
        <f>($C$28-P27)*(1/1.8)*0.3/3</f>
        <v>18.355555555555554</v>
      </c>
      <c r="R8" s="29">
        <v>0</v>
      </c>
      <c r="S8" s="29">
        <v>0</v>
      </c>
      <c r="T8" s="29">
        <v>0</v>
      </c>
      <c r="V8" t="s">
        <v>51</v>
      </c>
    </row>
    <row r="9" spans="2:22" ht="15" x14ac:dyDescent="0.25">
      <c r="B9" s="2" t="s">
        <v>50</v>
      </c>
      <c r="C9" s="2">
        <v>0</v>
      </c>
      <c r="D9" s="29">
        <f>'Investment Cost'!D4+'Investment Cost'!D5</f>
        <v>-11.013333333333332</v>
      </c>
      <c r="E9" s="29">
        <f>'Investment Cost'!E4+'Investment Cost'!E5</f>
        <v>-8.8106666666666662</v>
      </c>
      <c r="F9" s="29">
        <f>'Investment Cost'!F4+'Investment Cost'!F5</f>
        <v>-6.6079999999999988</v>
      </c>
      <c r="G9" s="29">
        <f>'Investment Cost'!G4+'Investment Cost'!G5</f>
        <v>6.6079999999999997</v>
      </c>
      <c r="H9" s="29">
        <f>'Investment Cost'!H4+'Investment Cost'!H5</f>
        <v>6.6079999999999997</v>
      </c>
      <c r="I9" s="29">
        <f>'Investment Cost'!I4+'Investment Cost'!I5</f>
        <v>6.6079999999999997</v>
      </c>
      <c r="M9" s="2" t="s">
        <v>50</v>
      </c>
      <c r="N9" s="2">
        <v>0</v>
      </c>
      <c r="O9" s="29">
        <f>'Investment Cost'!D4+'Investment Cost'!D5</f>
        <v>-11.013333333333332</v>
      </c>
      <c r="P9" s="29">
        <f>'Investment Cost'!E4+'Investment Cost'!E5</f>
        <v>-8.8106666666666662</v>
      </c>
      <c r="Q9" s="29">
        <f>'Investment Cost'!F4+'Investment Cost'!F5</f>
        <v>-6.6079999999999988</v>
      </c>
      <c r="R9" s="29">
        <f>'Investment Cost'!G4+'Investment Cost'!G5</f>
        <v>6.6079999999999997</v>
      </c>
      <c r="S9" s="29">
        <f>'Investment Cost'!S4+'Investment Cost'!S5</f>
        <v>0</v>
      </c>
      <c r="T9" s="29">
        <f>'Investment Cost'!T4+'Investment Cost'!T5</f>
        <v>0</v>
      </c>
    </row>
    <row r="10" spans="2:22" ht="15" x14ac:dyDescent="0.25">
      <c r="B10" s="32" t="s">
        <v>48</v>
      </c>
      <c r="C10" s="33">
        <f>C8+C9</f>
        <v>0</v>
      </c>
      <c r="D10" s="34">
        <f t="shared" ref="D10:I10" si="0">D8+D9</f>
        <v>7.3422222222222224</v>
      </c>
      <c r="E10" s="34">
        <f t="shared" si="0"/>
        <v>9.5448888888888881</v>
      </c>
      <c r="F10" s="34">
        <f t="shared" si="0"/>
        <v>11.747555555555556</v>
      </c>
      <c r="G10" s="34">
        <f t="shared" si="0"/>
        <v>6.6079999999999997</v>
      </c>
      <c r="H10" s="34">
        <f t="shared" si="0"/>
        <v>6.6079999999999997</v>
      </c>
      <c r="I10" s="35">
        <f t="shared" si="0"/>
        <v>6.6079999999999997</v>
      </c>
      <c r="M10" s="32" t="s">
        <v>48</v>
      </c>
      <c r="N10" s="33">
        <f>N8+N9</f>
        <v>0</v>
      </c>
      <c r="O10" s="34">
        <f t="shared" ref="O10" si="1">O8+O9</f>
        <v>7.3422222222222224</v>
      </c>
      <c r="P10" s="34">
        <f t="shared" ref="P10" si="2">P8+P9</f>
        <v>9.5448888888888881</v>
      </c>
      <c r="Q10" s="34">
        <f t="shared" ref="Q10" si="3">Q8+Q9</f>
        <v>11.747555555555556</v>
      </c>
      <c r="R10" s="34">
        <f t="shared" ref="R10" si="4">R8+R9</f>
        <v>6.6079999999999997</v>
      </c>
      <c r="S10" s="34">
        <f t="shared" ref="S10" si="5">S8+S9</f>
        <v>0</v>
      </c>
      <c r="T10" s="35">
        <f t="shared" ref="T10" si="6">T8+T9</f>
        <v>0</v>
      </c>
    </row>
    <row r="11" spans="2:22" ht="22.5" customHeight="1" x14ac:dyDescent="0.25">
      <c r="B11" s="1" t="s">
        <v>8</v>
      </c>
      <c r="C11" s="1"/>
      <c r="M11" s="1" t="s">
        <v>8</v>
      </c>
      <c r="N11" s="1"/>
    </row>
    <row r="12" spans="2:22" ht="15" x14ac:dyDescent="0.25">
      <c r="B12" s="2" t="s">
        <v>23</v>
      </c>
      <c r="C12" s="3">
        <v>0</v>
      </c>
      <c r="D12" s="20">
        <f>2.4*12*0.2</f>
        <v>5.76</v>
      </c>
      <c r="E12" s="20">
        <f>2.4*12*0.4</f>
        <v>11.52</v>
      </c>
      <c r="F12" s="20">
        <f>2.4*12*0.6</f>
        <v>17.279999999999998</v>
      </c>
      <c r="G12" s="20">
        <f>2.4*12*0.8</f>
        <v>23.04</v>
      </c>
      <c r="H12" s="20">
        <f t="shared" ref="H12" si="7">2.4*12</f>
        <v>28.799999999999997</v>
      </c>
      <c r="I12" s="20">
        <f>H12</f>
        <v>28.799999999999997</v>
      </c>
      <c r="K12" t="s">
        <v>28</v>
      </c>
      <c r="M12" s="2" t="s">
        <v>23</v>
      </c>
      <c r="N12" s="3">
        <v>0</v>
      </c>
      <c r="O12" s="20">
        <f>2.4*12*0.2</f>
        <v>5.76</v>
      </c>
      <c r="P12" s="20">
        <f>2.4*12*0.4</f>
        <v>11.52</v>
      </c>
      <c r="Q12" s="20">
        <f>2.4*12*0.6</f>
        <v>17.279999999999998</v>
      </c>
      <c r="R12" s="20">
        <f>2.4*12*0.8</f>
        <v>23.04</v>
      </c>
      <c r="S12" s="20">
        <f t="shared" ref="S12" si="8">2.4*12</f>
        <v>28.799999999999997</v>
      </c>
      <c r="T12" s="20">
        <f>S12</f>
        <v>28.799999999999997</v>
      </c>
      <c r="V12" t="s">
        <v>28</v>
      </c>
    </row>
    <row r="13" spans="2:22" ht="15" x14ac:dyDescent="0.25">
      <c r="B13" s="18" t="s">
        <v>22</v>
      </c>
      <c r="C13" s="19">
        <v>0</v>
      </c>
      <c r="D13" s="21">
        <f>D12*0.25</f>
        <v>1.44</v>
      </c>
      <c r="E13" s="21">
        <f t="shared" ref="E13:H13" si="9">E12*0.25</f>
        <v>2.88</v>
      </c>
      <c r="F13" s="21">
        <f t="shared" si="9"/>
        <v>4.3199999999999994</v>
      </c>
      <c r="G13" s="21">
        <f t="shared" si="9"/>
        <v>5.76</v>
      </c>
      <c r="H13" s="21">
        <f t="shared" si="9"/>
        <v>7.1999999999999993</v>
      </c>
      <c r="I13" s="21">
        <f t="shared" ref="I13:I14" si="10">H13</f>
        <v>7.1999999999999993</v>
      </c>
      <c r="K13" t="s">
        <v>32</v>
      </c>
      <c r="M13" s="18" t="s">
        <v>22</v>
      </c>
      <c r="N13" s="19">
        <v>0</v>
      </c>
      <c r="O13" s="21">
        <f>O12*0.25</f>
        <v>1.44</v>
      </c>
      <c r="P13" s="21">
        <f t="shared" ref="P13:S13" si="11">P12*0.25</f>
        <v>2.88</v>
      </c>
      <c r="Q13" s="21">
        <f t="shared" si="11"/>
        <v>4.3199999999999994</v>
      </c>
      <c r="R13" s="21">
        <f t="shared" si="11"/>
        <v>5.76</v>
      </c>
      <c r="S13" s="21">
        <f t="shared" si="11"/>
        <v>7.1999999999999993</v>
      </c>
      <c r="T13" s="21">
        <f t="shared" ref="T13:T14" si="12">S13</f>
        <v>7.1999999999999993</v>
      </c>
      <c r="V13" t="s">
        <v>32</v>
      </c>
    </row>
    <row r="14" spans="2:22" ht="15" x14ac:dyDescent="0.25">
      <c r="B14" s="18" t="s">
        <v>24</v>
      </c>
      <c r="C14" s="19">
        <v>0</v>
      </c>
      <c r="D14" s="21">
        <f>2.4*12*0.35*0.2</f>
        <v>2.0159999999999996</v>
      </c>
      <c r="E14" s="21">
        <f>2.4*12*0.35*0.4</f>
        <v>4.0319999999999991</v>
      </c>
      <c r="F14" s="21">
        <f>2.4*12*0.35*0.6</f>
        <v>6.0479999999999992</v>
      </c>
      <c r="G14" s="21">
        <f>2.4*12*0.35*0.8</f>
        <v>8.0639999999999983</v>
      </c>
      <c r="H14" s="21">
        <f>2.4*12*0.35</f>
        <v>10.079999999999998</v>
      </c>
      <c r="I14" s="21">
        <f t="shared" si="10"/>
        <v>10.079999999999998</v>
      </c>
      <c r="K14" t="s">
        <v>25</v>
      </c>
      <c r="M14" s="18" t="s">
        <v>24</v>
      </c>
      <c r="N14" s="19">
        <v>0</v>
      </c>
      <c r="O14" s="21">
        <f>2.4*12*0.35*0.2</f>
        <v>2.0159999999999996</v>
      </c>
      <c r="P14" s="21">
        <f>2.4*12*0.35*0.4</f>
        <v>4.0319999999999991</v>
      </c>
      <c r="Q14" s="21">
        <f>2.4*12*0.35*0.6</f>
        <v>6.0479999999999992</v>
      </c>
      <c r="R14" s="21">
        <f>2.4*12*0.35*0.8</f>
        <v>8.0639999999999983</v>
      </c>
      <c r="S14" s="21">
        <f>2.4*12*0.35</f>
        <v>10.079999999999998</v>
      </c>
      <c r="T14" s="21">
        <f t="shared" si="12"/>
        <v>10.079999999999998</v>
      </c>
      <c r="V14" t="s">
        <v>25</v>
      </c>
    </row>
    <row r="15" spans="2:22" ht="15" x14ac:dyDescent="0.25">
      <c r="B15" s="36" t="s">
        <v>21</v>
      </c>
      <c r="C15" s="37">
        <f>C12+C13+C14</f>
        <v>0</v>
      </c>
      <c r="D15" s="38">
        <f t="shared" ref="D15" si="13">D12+D13+D14</f>
        <v>9.2159999999999993</v>
      </c>
      <c r="E15" s="38">
        <f t="shared" ref="E15" si="14">E12+E13+E14</f>
        <v>18.431999999999999</v>
      </c>
      <c r="F15" s="38">
        <f t="shared" ref="F15" si="15">F12+F13+F14</f>
        <v>27.647999999999996</v>
      </c>
      <c r="G15" s="38">
        <f t="shared" ref="G15" si="16">G12+G13+G14</f>
        <v>36.863999999999997</v>
      </c>
      <c r="H15" s="38">
        <f t="shared" ref="H15" si="17">H12+H13+H14</f>
        <v>46.08</v>
      </c>
      <c r="I15" s="39">
        <f t="shared" ref="I15" si="18">I12+I13+I14</f>
        <v>46.08</v>
      </c>
      <c r="M15" s="36" t="s">
        <v>21</v>
      </c>
      <c r="N15" s="37">
        <f>N12+N13+N14</f>
        <v>0</v>
      </c>
      <c r="O15" s="38">
        <f t="shared" ref="O15:T15" si="19">O12+O13+O14</f>
        <v>9.2159999999999993</v>
      </c>
      <c r="P15" s="38">
        <f t="shared" si="19"/>
        <v>18.431999999999999</v>
      </c>
      <c r="Q15" s="38">
        <f t="shared" si="19"/>
        <v>27.647999999999996</v>
      </c>
      <c r="R15" s="38">
        <f t="shared" si="19"/>
        <v>36.863999999999997</v>
      </c>
      <c r="S15" s="38">
        <f t="shared" si="19"/>
        <v>46.08</v>
      </c>
      <c r="T15" s="39">
        <f t="shared" si="19"/>
        <v>46.08</v>
      </c>
    </row>
    <row r="16" spans="2:22" ht="15" x14ac:dyDescent="0.25">
      <c r="B16" s="2"/>
      <c r="C16" s="3"/>
      <c r="D16" s="3"/>
      <c r="E16" s="3"/>
      <c r="F16" s="3"/>
      <c r="G16" s="3"/>
      <c r="H16" s="3"/>
      <c r="I16" s="3"/>
      <c r="M16" s="2"/>
      <c r="N16" s="3"/>
      <c r="O16" s="3"/>
      <c r="P16" s="3"/>
      <c r="Q16" s="3"/>
      <c r="R16" s="3"/>
      <c r="S16" s="3"/>
      <c r="T16" s="3"/>
    </row>
    <row r="17" spans="2:22" ht="15" x14ac:dyDescent="0.25">
      <c r="B17" s="16" t="s">
        <v>7</v>
      </c>
      <c r="C17" s="17">
        <v>0</v>
      </c>
      <c r="D17" s="22"/>
      <c r="E17" s="22"/>
      <c r="F17" s="22"/>
      <c r="G17" s="22"/>
      <c r="H17" s="22"/>
      <c r="I17" s="22"/>
      <c r="K17" t="s">
        <v>13</v>
      </c>
      <c r="M17" s="16" t="s">
        <v>7</v>
      </c>
      <c r="N17" s="17">
        <v>0</v>
      </c>
      <c r="O17" s="22"/>
      <c r="P17" s="22"/>
      <c r="Q17" s="22"/>
      <c r="R17" s="22"/>
      <c r="S17" s="22"/>
      <c r="T17" s="22"/>
      <c r="V17" t="s">
        <v>13</v>
      </c>
    </row>
    <row r="18" spans="2:22" ht="15" x14ac:dyDescent="0.25">
      <c r="B18" s="2"/>
      <c r="C18" s="2"/>
      <c r="M18" s="2"/>
      <c r="N18" s="2"/>
    </row>
    <row r="19" spans="2:22" ht="15.75" thickBot="1" x14ac:dyDescent="0.3">
      <c r="B19" s="4" t="s">
        <v>6</v>
      </c>
      <c r="C19" s="5">
        <f>C17+C15+C8</f>
        <v>0</v>
      </c>
      <c r="D19" s="5">
        <f>D17+D15+D10</f>
        <v>16.55822222222222</v>
      </c>
      <c r="E19" s="5">
        <f t="shared" ref="E19:I19" si="20">E17+E15+E10</f>
        <v>27.976888888888887</v>
      </c>
      <c r="F19" s="5">
        <f t="shared" si="20"/>
        <v>39.395555555555553</v>
      </c>
      <c r="G19" s="5">
        <f t="shared" si="20"/>
        <v>43.471999999999994</v>
      </c>
      <c r="H19" s="5">
        <f t="shared" si="20"/>
        <v>52.687999999999995</v>
      </c>
      <c r="I19" s="5">
        <f t="shared" si="20"/>
        <v>52.687999999999995</v>
      </c>
      <c r="M19" s="4" t="s">
        <v>6</v>
      </c>
      <c r="N19" s="5">
        <f>N17+N15+N8</f>
        <v>0</v>
      </c>
      <c r="O19" s="5">
        <f>O17+O15+O10</f>
        <v>16.55822222222222</v>
      </c>
      <c r="P19" s="5">
        <f t="shared" ref="P19:T19" si="21">P17+P15+P10</f>
        <v>27.976888888888887</v>
      </c>
      <c r="Q19" s="5">
        <f t="shared" si="21"/>
        <v>39.395555555555553</v>
      </c>
      <c r="R19" s="5">
        <f t="shared" si="21"/>
        <v>43.471999999999994</v>
      </c>
      <c r="S19" s="5">
        <f t="shared" si="21"/>
        <v>46.08</v>
      </c>
      <c r="T19" s="5">
        <f t="shared" si="21"/>
        <v>46.08</v>
      </c>
    </row>
    <row r="20" spans="2:22" ht="15" x14ac:dyDescent="0.25">
      <c r="B20" s="2"/>
      <c r="C20" s="2"/>
      <c r="M20" s="2"/>
      <c r="N20" s="2"/>
    </row>
    <row r="21" spans="2:22" ht="21.75" thickBot="1" x14ac:dyDescent="0.4">
      <c r="B21" s="14" t="s">
        <v>14</v>
      </c>
      <c r="C21" s="14"/>
      <c r="D21" s="15"/>
      <c r="E21" s="15"/>
      <c r="F21" s="15"/>
      <c r="G21" s="15"/>
      <c r="H21" s="15"/>
      <c r="I21" s="15"/>
      <c r="J21" s="10"/>
      <c r="K21" s="14" t="s">
        <v>15</v>
      </c>
      <c r="M21" s="14" t="s">
        <v>14</v>
      </c>
      <c r="N21" s="14"/>
      <c r="O21" s="15"/>
      <c r="P21" s="15"/>
      <c r="Q21" s="15"/>
      <c r="R21" s="15"/>
      <c r="S21" s="15"/>
      <c r="T21" s="15"/>
      <c r="U21" s="10"/>
      <c r="V21" s="14" t="s">
        <v>15</v>
      </c>
    </row>
    <row r="22" spans="2:22" ht="15" x14ac:dyDescent="0.25">
      <c r="B22" s="2"/>
      <c r="C22" s="2"/>
      <c r="M22" s="2"/>
      <c r="N22" s="2"/>
    </row>
    <row r="23" spans="2:22" ht="15" x14ac:dyDescent="0.25">
      <c r="B23" s="1" t="s">
        <v>0</v>
      </c>
      <c r="C23" s="23" t="s">
        <v>9</v>
      </c>
      <c r="D23" s="23" t="s">
        <v>10</v>
      </c>
      <c r="E23" s="23" t="s">
        <v>11</v>
      </c>
      <c r="F23" s="23" t="s">
        <v>12</v>
      </c>
      <c r="G23" s="23" t="s">
        <v>19</v>
      </c>
      <c r="H23" s="23" t="s">
        <v>20</v>
      </c>
      <c r="I23" s="23" t="s">
        <v>26</v>
      </c>
      <c r="M23" s="1" t="s">
        <v>0</v>
      </c>
      <c r="N23" s="23" t="s">
        <v>9</v>
      </c>
      <c r="O23" s="23" t="s">
        <v>10</v>
      </c>
      <c r="P23" s="23" t="s">
        <v>11</v>
      </c>
      <c r="Q23" s="23" t="s">
        <v>12</v>
      </c>
      <c r="R23" s="23" t="s">
        <v>19</v>
      </c>
      <c r="S23" s="23" t="s">
        <v>20</v>
      </c>
      <c r="T23" s="23" t="s">
        <v>26</v>
      </c>
    </row>
    <row r="24" spans="2:22" ht="15" x14ac:dyDescent="0.25">
      <c r="B24" s="2" t="s">
        <v>3</v>
      </c>
      <c r="C24" s="6">
        <v>159.19999999999999</v>
      </c>
      <c r="D24" s="6">
        <f>C24*0.97</f>
        <v>154.42399999999998</v>
      </c>
      <c r="E24" s="6">
        <f t="shared" ref="E24:H24" si="22">D24*0.97</f>
        <v>149.79127999999997</v>
      </c>
      <c r="F24" s="6">
        <f t="shared" si="22"/>
        <v>145.29754159999996</v>
      </c>
      <c r="G24" s="6">
        <f t="shared" si="22"/>
        <v>140.93861535199997</v>
      </c>
      <c r="H24" s="6">
        <f t="shared" si="22"/>
        <v>136.71045689143997</v>
      </c>
      <c r="I24" s="6">
        <f>H24</f>
        <v>136.71045689143997</v>
      </c>
      <c r="K24" t="s">
        <v>29</v>
      </c>
      <c r="M24" s="2" t="s">
        <v>3</v>
      </c>
      <c r="N24" s="6">
        <f>220*105000/1000000</f>
        <v>23.1</v>
      </c>
      <c r="O24" s="6">
        <f>N24*0.97</f>
        <v>22.407</v>
      </c>
      <c r="P24" s="6">
        <f t="shared" ref="P24:P25" si="23">O24*0.97</f>
        <v>21.73479</v>
      </c>
      <c r="Q24" s="6">
        <f t="shared" ref="Q24:Q25" si="24">P24*0.97</f>
        <v>21.0827463</v>
      </c>
      <c r="R24" s="6">
        <f t="shared" ref="R24:R25" si="25">Q24*0.97</f>
        <v>20.450263911</v>
      </c>
      <c r="S24" s="6">
        <f t="shared" ref="S24:S25" si="26">R24*0.97</f>
        <v>19.83675599367</v>
      </c>
      <c r="T24" s="6">
        <f>S24</f>
        <v>19.83675599367</v>
      </c>
      <c r="V24" t="s">
        <v>57</v>
      </c>
    </row>
    <row r="25" spans="2:22" ht="15" x14ac:dyDescent="0.25">
      <c r="B25" s="2" t="s">
        <v>36</v>
      </c>
      <c r="C25" s="6">
        <v>121.2</v>
      </c>
      <c r="D25" s="6">
        <f>C25*0.97</f>
        <v>117.56399999999999</v>
      </c>
      <c r="E25" s="6">
        <f t="shared" ref="E25:H25" si="27">D25*0.97</f>
        <v>114.03707999999999</v>
      </c>
      <c r="F25" s="6">
        <f t="shared" si="27"/>
        <v>110.61596759999999</v>
      </c>
      <c r="G25" s="6">
        <f t="shared" si="27"/>
        <v>107.29748857199999</v>
      </c>
      <c r="H25" s="6">
        <f t="shared" si="27"/>
        <v>104.07856391483999</v>
      </c>
      <c r="I25" s="6">
        <f>H25</f>
        <v>104.07856391483999</v>
      </c>
      <c r="K25" s="24" t="s">
        <v>49</v>
      </c>
      <c r="M25" s="2" t="s">
        <v>36</v>
      </c>
      <c r="N25" s="6">
        <v>121.2</v>
      </c>
      <c r="O25" s="6">
        <f>N25*0.97</f>
        <v>117.56399999999999</v>
      </c>
      <c r="P25" s="6">
        <f t="shared" si="23"/>
        <v>114.03707999999999</v>
      </c>
      <c r="Q25" s="6">
        <f t="shared" si="24"/>
        <v>110.61596759999999</v>
      </c>
      <c r="R25" s="6">
        <f t="shared" si="25"/>
        <v>107.29748857199999</v>
      </c>
      <c r="S25" s="6">
        <f t="shared" si="26"/>
        <v>104.07856391483999</v>
      </c>
      <c r="T25" s="6">
        <f>S25</f>
        <v>104.07856391483999</v>
      </c>
      <c r="V25" s="24" t="s">
        <v>49</v>
      </c>
    </row>
    <row r="26" spans="2:22" x14ac:dyDescent="0.35">
      <c r="B26" s="2" t="s">
        <v>1</v>
      </c>
      <c r="C26" s="6">
        <v>50</v>
      </c>
      <c r="D26" s="6">
        <v>45</v>
      </c>
      <c r="E26" s="6">
        <v>40</v>
      </c>
      <c r="F26" s="6">
        <v>35</v>
      </c>
      <c r="G26" s="6">
        <v>30</v>
      </c>
      <c r="H26" s="6">
        <v>28</v>
      </c>
      <c r="I26" s="6">
        <v>28</v>
      </c>
      <c r="K26" t="s">
        <v>30</v>
      </c>
      <c r="M26" s="2" t="s">
        <v>1</v>
      </c>
      <c r="N26" s="6">
        <v>50</v>
      </c>
      <c r="O26" s="6">
        <v>45</v>
      </c>
      <c r="P26" s="6">
        <v>40</v>
      </c>
      <c r="Q26" s="6">
        <v>35</v>
      </c>
      <c r="R26" s="6">
        <v>30</v>
      </c>
      <c r="S26" s="6">
        <v>28</v>
      </c>
      <c r="T26" s="6">
        <v>28</v>
      </c>
      <c r="V26" t="s">
        <v>30</v>
      </c>
    </row>
    <row r="27" spans="2:22" x14ac:dyDescent="0.35">
      <c r="B27" s="2" t="s">
        <v>2</v>
      </c>
      <c r="C27" s="7">
        <f>448-C24-C25-C26</f>
        <v>117.60000000000002</v>
      </c>
      <c r="D27" s="7">
        <f>C27</f>
        <v>117.60000000000002</v>
      </c>
      <c r="E27" s="7">
        <f>D27</f>
        <v>117.60000000000002</v>
      </c>
      <c r="F27" s="7">
        <f t="shared" ref="F27:H27" si="28">E27</f>
        <v>117.60000000000002</v>
      </c>
      <c r="G27" s="7">
        <f t="shared" si="28"/>
        <v>117.60000000000002</v>
      </c>
      <c r="H27" s="7">
        <f t="shared" si="28"/>
        <v>117.60000000000002</v>
      </c>
      <c r="I27" s="7">
        <f t="shared" ref="I27:I28" si="29">H27</f>
        <v>117.60000000000002</v>
      </c>
      <c r="K27" t="s">
        <v>31</v>
      </c>
      <c r="M27" s="2" t="s">
        <v>2</v>
      </c>
      <c r="N27" s="7">
        <v>117.60000000000002</v>
      </c>
      <c r="O27" s="7">
        <v>117.60000000000002</v>
      </c>
      <c r="P27" s="7">
        <v>117.60000000000002</v>
      </c>
      <c r="Q27" s="7">
        <v>117.60000000000002</v>
      </c>
      <c r="R27" s="7">
        <v>117.60000000000002</v>
      </c>
      <c r="S27" s="7">
        <f t="shared" ref="S27" si="30">R27</f>
        <v>117.60000000000002</v>
      </c>
      <c r="T27" s="7">
        <f t="shared" ref="T27:T28" si="31">S27</f>
        <v>117.60000000000002</v>
      </c>
      <c r="V27" t="s">
        <v>31</v>
      </c>
    </row>
    <row r="28" spans="2:22" x14ac:dyDescent="0.35">
      <c r="B28" s="8" t="s">
        <v>16</v>
      </c>
      <c r="C28" s="9">
        <f>SUM(C24:C27)</f>
        <v>448</v>
      </c>
      <c r="D28" s="9">
        <f>SUM(D24:D27)</f>
        <v>434.58799999999997</v>
      </c>
      <c r="E28" s="9">
        <f t="shared" ref="E28" si="32">SUM(E24:E27)</f>
        <v>421.42836</v>
      </c>
      <c r="F28" s="9">
        <f t="shared" ref="F28:H28" si="33">SUM(F24:F27)</f>
        <v>408.51350919999999</v>
      </c>
      <c r="G28" s="9">
        <f t="shared" si="33"/>
        <v>395.83610392399999</v>
      </c>
      <c r="H28" s="9">
        <f t="shared" si="33"/>
        <v>386.38902080627997</v>
      </c>
      <c r="I28" s="9">
        <f t="shared" si="29"/>
        <v>386.38902080627997</v>
      </c>
      <c r="M28" s="8" t="s">
        <v>16</v>
      </c>
      <c r="N28" s="9">
        <f>SUM(N24:N27)</f>
        <v>311.90000000000003</v>
      </c>
      <c r="O28" s="9">
        <f>SUM(O24:O27)</f>
        <v>302.57100000000003</v>
      </c>
      <c r="P28" s="9">
        <f t="shared" ref="P28:S28" si="34">SUM(P24:P27)</f>
        <v>293.37187</v>
      </c>
      <c r="Q28" s="9">
        <f t="shared" si="34"/>
        <v>284.29871390000005</v>
      </c>
      <c r="R28" s="9">
        <f t="shared" si="34"/>
        <v>275.34775248300002</v>
      </c>
      <c r="S28" s="9">
        <f t="shared" si="34"/>
        <v>269.51531990851004</v>
      </c>
      <c r="T28" s="9">
        <f t="shared" si="31"/>
        <v>269.51531990851004</v>
      </c>
    </row>
    <row r="29" spans="2:22" ht="7.5" customHeight="1" x14ac:dyDescent="0.35"/>
    <row r="30" spans="2:22" x14ac:dyDescent="0.35">
      <c r="B30" s="25" t="s">
        <v>47</v>
      </c>
      <c r="C30" s="26">
        <f>C19</f>
        <v>0</v>
      </c>
      <c r="D30" s="26">
        <f t="shared" ref="D30:E30" si="35">D19</f>
        <v>16.55822222222222</v>
      </c>
      <c r="E30" s="26">
        <f t="shared" si="35"/>
        <v>27.976888888888887</v>
      </c>
      <c r="F30" s="26">
        <f t="shared" ref="F30:I30" si="36">F19</f>
        <v>39.395555555555553</v>
      </c>
      <c r="G30" s="26">
        <f t="shared" si="36"/>
        <v>43.471999999999994</v>
      </c>
      <c r="H30" s="26">
        <f t="shared" si="36"/>
        <v>52.687999999999995</v>
      </c>
      <c r="I30" s="26">
        <f t="shared" si="36"/>
        <v>52.687999999999995</v>
      </c>
      <c r="M30" s="25" t="s">
        <v>47</v>
      </c>
      <c r="N30" s="26">
        <f>N19</f>
        <v>0</v>
      </c>
      <c r="O30" s="26">
        <f t="shared" ref="O30:T30" si="37">O19</f>
        <v>16.55822222222222</v>
      </c>
      <c r="P30" s="26">
        <f t="shared" si="37"/>
        <v>27.976888888888887</v>
      </c>
      <c r="Q30" s="26">
        <f t="shared" si="37"/>
        <v>39.395555555555553</v>
      </c>
      <c r="R30" s="26">
        <f t="shared" si="37"/>
        <v>43.471999999999994</v>
      </c>
      <c r="S30" s="26">
        <f t="shared" si="37"/>
        <v>46.08</v>
      </c>
      <c r="T30" s="26">
        <f t="shared" si="37"/>
        <v>46.08</v>
      </c>
    </row>
    <row r="31" spans="2:22" ht="8.15" customHeight="1" x14ac:dyDescent="0.35"/>
    <row r="32" spans="2:22" ht="14.5" customHeight="1" thickBot="1" x14ac:dyDescent="0.4">
      <c r="B32" s="12" t="s">
        <v>17</v>
      </c>
      <c r="C32" s="13">
        <f>C28+C30</f>
        <v>448</v>
      </c>
      <c r="D32" s="13">
        <f t="shared" ref="D32:I32" si="38">D28+D30</f>
        <v>451.14622222222221</v>
      </c>
      <c r="E32" s="13">
        <f t="shared" si="38"/>
        <v>449.40524888888888</v>
      </c>
      <c r="F32" s="13">
        <f t="shared" si="38"/>
        <v>447.90906475555556</v>
      </c>
      <c r="G32" s="13">
        <f t="shared" si="38"/>
        <v>439.30810392399997</v>
      </c>
      <c r="H32" s="13">
        <f t="shared" si="38"/>
        <v>439.07702080627996</v>
      </c>
      <c r="I32" s="13">
        <f t="shared" si="38"/>
        <v>439.07702080627996</v>
      </c>
      <c r="M32" s="12" t="s">
        <v>17</v>
      </c>
      <c r="N32" s="13">
        <f>N28+N30</f>
        <v>311.90000000000003</v>
      </c>
      <c r="O32" s="13">
        <f t="shared" ref="O32:T32" si="39">O28+O30</f>
        <v>319.12922222222227</v>
      </c>
      <c r="P32" s="13">
        <f t="shared" si="39"/>
        <v>321.34875888888888</v>
      </c>
      <c r="Q32" s="13">
        <f t="shared" si="39"/>
        <v>323.69426945555563</v>
      </c>
      <c r="R32" s="13">
        <f t="shared" si="39"/>
        <v>318.819752483</v>
      </c>
      <c r="S32" s="13">
        <f t="shared" si="39"/>
        <v>315.59531990851002</v>
      </c>
      <c r="T32" s="13">
        <f t="shared" si="39"/>
        <v>315.59531990851002</v>
      </c>
    </row>
    <row r="34" spans="2:21" x14ac:dyDescent="0.35">
      <c r="B34" t="s">
        <v>18</v>
      </c>
      <c r="D34" s="11">
        <f t="shared" ref="D34:I34" si="40">$C$32-D32</f>
        <v>-3.1462222222222067</v>
      </c>
      <c r="E34" s="11">
        <f t="shared" si="40"/>
        <v>-1.4052488888888774</v>
      </c>
      <c r="F34" s="11">
        <f t="shared" si="40"/>
        <v>9.0935244444438013E-2</v>
      </c>
      <c r="G34" s="11">
        <f t="shared" si="40"/>
        <v>8.6918960760000346</v>
      </c>
      <c r="H34" s="11">
        <f t="shared" si="40"/>
        <v>8.9229791937200389</v>
      </c>
      <c r="I34" s="11">
        <f t="shared" si="40"/>
        <v>8.9229791937200389</v>
      </c>
      <c r="J34" s="11"/>
      <c r="M34" t="s">
        <v>18</v>
      </c>
      <c r="O34" s="11">
        <f>$N$32-O32</f>
        <v>-7.2292222222222335</v>
      </c>
      <c r="P34" s="11">
        <f t="shared" ref="P34:R34" si="41">$N$32-P32</f>
        <v>-9.4487588888888467</v>
      </c>
      <c r="Q34" s="11">
        <f t="shared" si="41"/>
        <v>-11.794269455555593</v>
      </c>
      <c r="R34" s="11">
        <f t="shared" si="41"/>
        <v>-6.9197524829999679</v>
      </c>
      <c r="S34" s="11">
        <f t="shared" ref="S34:T34" si="42">$C$32-S32</f>
        <v>132.40468009148998</v>
      </c>
      <c r="T34" s="11">
        <f t="shared" si="42"/>
        <v>132.40468009148998</v>
      </c>
      <c r="U34" s="11"/>
    </row>
    <row r="37" spans="2:21" x14ac:dyDescent="0.35">
      <c r="B37" s="10" t="s">
        <v>35</v>
      </c>
    </row>
    <row r="38" spans="2:21" x14ac:dyDescent="0.35">
      <c r="B38" t="s">
        <v>33</v>
      </c>
    </row>
    <row r="39" spans="2:21" x14ac:dyDescent="0.35">
      <c r="B39" t="s">
        <v>37</v>
      </c>
    </row>
    <row r="40" spans="2:21" x14ac:dyDescent="0.35">
      <c r="B40" t="s">
        <v>34</v>
      </c>
    </row>
    <row r="41" spans="2:21" x14ac:dyDescent="0.35">
      <c r="B41" t="s">
        <v>38</v>
      </c>
      <c r="K41" s="27"/>
    </row>
    <row r="45" spans="2:21" x14ac:dyDescent="0.35">
      <c r="B45">
        <v>200</v>
      </c>
    </row>
    <row r="46" spans="2:21" x14ac:dyDescent="0.35">
      <c r="B46">
        <f>B45*0.4</f>
        <v>80</v>
      </c>
      <c r="D46">
        <f>B46*105000</f>
        <v>8400000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T54"/>
  <sheetViews>
    <sheetView showGridLines="0" tabSelected="1" zoomScale="90" zoomScaleNormal="90" workbookViewId="0">
      <selection activeCell="AQ20" sqref="AQ20"/>
    </sheetView>
  </sheetViews>
  <sheetFormatPr defaultRowHeight="14.5" x14ac:dyDescent="0.35"/>
  <cols>
    <col min="1" max="1" width="3.26953125" customWidth="1"/>
    <col min="2" max="2" width="51.81640625" customWidth="1"/>
    <col min="3" max="3" width="7" customWidth="1"/>
    <col min="4" max="9" width="7.453125" customWidth="1"/>
    <col min="10" max="10" width="3.54296875" customWidth="1"/>
    <col min="11" max="11" width="75.54296875" bestFit="1" customWidth="1"/>
    <col min="12" max="12" width="3.36328125" hidden="1" customWidth="1"/>
    <col min="13" max="13" width="43.453125" hidden="1" customWidth="1"/>
    <col min="14" max="14" width="10" hidden="1" customWidth="1"/>
    <col min="15" max="18" width="7.26953125" hidden="1" customWidth="1"/>
    <col min="19" max="19" width="0" hidden="1" customWidth="1"/>
    <col min="20" max="20" width="63.81640625" hidden="1" customWidth="1"/>
    <col min="21" max="39" width="0" hidden="1" customWidth="1"/>
  </cols>
  <sheetData>
    <row r="1" spans="2:20" ht="9" customHeight="1" x14ac:dyDescent="0.35"/>
    <row r="2" spans="2:20" ht="7.5" customHeight="1" x14ac:dyDescent="0.35"/>
    <row r="3" spans="2:20" ht="21.5" thickBot="1" x14ac:dyDescent="0.55000000000000004">
      <c r="B3" s="14" t="s">
        <v>120</v>
      </c>
      <c r="C3" s="14"/>
      <c r="D3" s="15"/>
      <c r="E3" s="15"/>
      <c r="F3" s="15"/>
      <c r="G3" s="15"/>
      <c r="H3" s="15"/>
      <c r="I3" s="15"/>
      <c r="K3" s="14" t="s">
        <v>27</v>
      </c>
      <c r="M3" s="14" t="s">
        <v>56</v>
      </c>
      <c r="N3" s="14"/>
      <c r="O3" s="15"/>
      <c r="P3" s="15"/>
      <c r="Q3" s="15"/>
      <c r="R3" s="15"/>
      <c r="T3" s="14" t="s">
        <v>27</v>
      </c>
    </row>
    <row r="4" spans="2:20" ht="6.75" customHeight="1" x14ac:dyDescent="0.35"/>
    <row r="5" spans="2:20" x14ac:dyDescent="0.35">
      <c r="B5" s="10"/>
      <c r="C5" s="23" t="s">
        <v>9</v>
      </c>
      <c r="D5" s="23" t="s">
        <v>10</v>
      </c>
      <c r="E5" s="23" t="s">
        <v>11</v>
      </c>
      <c r="F5" s="23" t="s">
        <v>12</v>
      </c>
      <c r="G5" s="23" t="s">
        <v>19</v>
      </c>
      <c r="H5" s="23" t="s">
        <v>20</v>
      </c>
      <c r="I5" s="23" t="s">
        <v>26</v>
      </c>
      <c r="K5" s="24"/>
      <c r="M5" s="10"/>
      <c r="N5" s="23" t="s">
        <v>9</v>
      </c>
      <c r="O5" s="23" t="s">
        <v>10</v>
      </c>
      <c r="P5" s="23" t="s">
        <v>11</v>
      </c>
      <c r="Q5" s="23" t="s">
        <v>12</v>
      </c>
      <c r="R5" s="23" t="s">
        <v>19</v>
      </c>
    </row>
    <row r="6" spans="2:20" ht="8.25" customHeight="1" x14ac:dyDescent="0.35">
      <c r="K6" s="24"/>
    </row>
    <row r="7" spans="2:20" x14ac:dyDescent="0.35">
      <c r="B7" s="1" t="s">
        <v>97</v>
      </c>
      <c r="C7" s="1"/>
      <c r="K7" s="24"/>
      <c r="M7" s="1" t="s">
        <v>97</v>
      </c>
      <c r="N7" s="1"/>
    </row>
    <row r="8" spans="2:20" x14ac:dyDescent="0.35">
      <c r="B8" s="2" t="s">
        <v>112</v>
      </c>
      <c r="C8" s="66">
        <v>0</v>
      </c>
      <c r="D8" s="66">
        <f>(1*8*115*1750)/1000000</f>
        <v>1.61</v>
      </c>
      <c r="E8" s="66">
        <f t="shared" ref="E8:I8" si="0">(1*8*115*1750)/1000000</f>
        <v>1.61</v>
      </c>
      <c r="F8" s="66">
        <f t="shared" si="0"/>
        <v>1.61</v>
      </c>
      <c r="G8" s="66">
        <f t="shared" si="0"/>
        <v>1.61</v>
      </c>
      <c r="H8" s="66">
        <f t="shared" si="0"/>
        <v>1.61</v>
      </c>
      <c r="I8" s="66">
        <f t="shared" si="0"/>
        <v>1.61</v>
      </c>
      <c r="K8" s="24" t="s">
        <v>114</v>
      </c>
      <c r="M8" s="1"/>
      <c r="N8" s="1"/>
    </row>
    <row r="9" spans="2:20" x14ac:dyDescent="0.35">
      <c r="B9" s="2" t="s">
        <v>113</v>
      </c>
      <c r="C9" s="66">
        <v>0</v>
      </c>
      <c r="D9" s="66">
        <f>(0.5*8*115*1750)/1000000</f>
        <v>0.80500000000000005</v>
      </c>
      <c r="E9" s="66">
        <f>(1*8*115*1750)/1000000</f>
        <v>1.61</v>
      </c>
      <c r="F9" s="66">
        <f>(2*8*115*1750)/1000000</f>
        <v>3.22</v>
      </c>
      <c r="G9" s="66">
        <f>(1*8*115*1750)/1000000</f>
        <v>1.61</v>
      </c>
      <c r="H9" s="66">
        <f>(1*8*115*1750)/1000000</f>
        <v>1.61</v>
      </c>
      <c r="I9" s="66">
        <v>0</v>
      </c>
      <c r="K9" s="24" t="s">
        <v>121</v>
      </c>
      <c r="M9" s="1"/>
      <c r="N9" s="1"/>
    </row>
    <row r="10" spans="2:20" x14ac:dyDescent="0.35">
      <c r="B10" s="2" t="s">
        <v>111</v>
      </c>
      <c r="C10" s="66">
        <v>0</v>
      </c>
      <c r="D10" s="66">
        <v>0</v>
      </c>
      <c r="E10" s="66">
        <v>0</v>
      </c>
      <c r="F10" s="66">
        <f>(1*8*115*1750)/1000000</f>
        <v>1.61</v>
      </c>
      <c r="G10" s="66">
        <f>(2*8*115*1750)/1000000</f>
        <v>3.22</v>
      </c>
      <c r="H10" s="66">
        <f>(2*8*115*1750)/1000000</f>
        <v>3.22</v>
      </c>
      <c r="I10" s="66">
        <f>(2*8*115*1750)/1000000</f>
        <v>3.22</v>
      </c>
      <c r="K10" s="24" t="s">
        <v>122</v>
      </c>
      <c r="M10" s="1"/>
      <c r="N10" s="1"/>
    </row>
    <row r="11" spans="2:20" x14ac:dyDescent="0.35">
      <c r="B11" s="69" t="s">
        <v>110</v>
      </c>
      <c r="C11" s="70">
        <v>0</v>
      </c>
      <c r="D11" s="71">
        <f>D8+D9+D10</f>
        <v>2.415</v>
      </c>
      <c r="E11" s="71">
        <f t="shared" ref="E11:I11" si="1">E8+E9+E10</f>
        <v>3.22</v>
      </c>
      <c r="F11" s="71">
        <f t="shared" si="1"/>
        <v>6.44</v>
      </c>
      <c r="G11" s="71">
        <f t="shared" si="1"/>
        <v>6.44</v>
      </c>
      <c r="H11" s="71">
        <f t="shared" si="1"/>
        <v>6.44</v>
      </c>
      <c r="I11" s="71">
        <f t="shared" si="1"/>
        <v>4.83</v>
      </c>
      <c r="K11" s="24" t="s">
        <v>123</v>
      </c>
      <c r="L11" s="47">
        <v>1</v>
      </c>
      <c r="M11" s="2" t="s">
        <v>4</v>
      </c>
      <c r="N11" s="2">
        <v>0</v>
      </c>
      <c r="O11" s="21">
        <f>($N$34)*(0.8/1.8)*0.3/3</f>
        <v>5.6000000000000005</v>
      </c>
      <c r="P11" s="21">
        <f t="shared" ref="P11:Q11" si="2">($N$34)*(0.8/1.8)*0.3/3</f>
        <v>5.6000000000000005</v>
      </c>
      <c r="Q11" s="21">
        <f t="shared" si="2"/>
        <v>5.6000000000000005</v>
      </c>
      <c r="R11" s="21"/>
      <c r="T11" t="s">
        <v>98</v>
      </c>
    </row>
    <row r="12" spans="2:20" x14ac:dyDescent="0.35">
      <c r="B12" s="2" t="s">
        <v>75</v>
      </c>
      <c r="C12" s="2">
        <v>0</v>
      </c>
      <c r="D12" s="21">
        <f>'Investment Cost'!M37+'Investment Cost'!M38</f>
        <v>-1.6421999999999999</v>
      </c>
      <c r="E12" s="21">
        <f>'Investment Cost'!N37+'Investment Cost'!N38</f>
        <v>-3.1878000000000002</v>
      </c>
      <c r="F12" s="21">
        <f>'Investment Cost'!O37+'Investment Cost'!O38</f>
        <v>-2.8014000000000001</v>
      </c>
      <c r="G12" s="21">
        <f>'Investment Cost'!P37+'Investment Cost'!P38</f>
        <v>-2.0286</v>
      </c>
      <c r="H12" s="21">
        <f>'Investment Cost'!Q37+'Investment Cost'!Q38</f>
        <v>2.6081999999999996</v>
      </c>
      <c r="I12" s="21">
        <f>'Investment Cost'!R37+'Investment Cost'!R38</f>
        <v>1.8353999999999997</v>
      </c>
      <c r="K12" s="24"/>
      <c r="L12" s="47"/>
      <c r="M12" s="2" t="s">
        <v>75</v>
      </c>
      <c r="N12" s="2">
        <v>0</v>
      </c>
      <c r="O12" s="21">
        <f>'Investment Cost'!D37+'Investment Cost'!D38</f>
        <v>-3.3600000000000003</v>
      </c>
      <c r="P12" s="21">
        <f>'Investment Cost'!E37+'Investment Cost'!E38</f>
        <v>-2.6880000000000002</v>
      </c>
      <c r="Q12" s="21">
        <f>'Investment Cost'!F37+'Investment Cost'!F38</f>
        <v>-2.016</v>
      </c>
      <c r="R12" s="21">
        <f>'Investment Cost'!G37+'Investment Cost'!G38</f>
        <v>2.016</v>
      </c>
    </row>
    <row r="13" spans="2:20" x14ac:dyDescent="0.35">
      <c r="B13" s="67" t="s">
        <v>48</v>
      </c>
      <c r="C13" s="68">
        <f>C11+C12</f>
        <v>0</v>
      </c>
      <c r="D13" s="68">
        <f t="shared" ref="D13:I13" si="3">D11+D12</f>
        <v>0.77280000000000015</v>
      </c>
      <c r="E13" s="68">
        <f t="shared" si="3"/>
        <v>3.2200000000000006E-2</v>
      </c>
      <c r="F13" s="68">
        <f t="shared" si="3"/>
        <v>3.6386000000000003</v>
      </c>
      <c r="G13" s="68">
        <f t="shared" si="3"/>
        <v>4.4114000000000004</v>
      </c>
      <c r="H13" s="68">
        <f t="shared" si="3"/>
        <v>9.0481999999999996</v>
      </c>
      <c r="I13" s="68">
        <f t="shared" si="3"/>
        <v>6.6654</v>
      </c>
      <c r="K13" s="24"/>
      <c r="L13" s="47"/>
      <c r="M13" s="32" t="s">
        <v>48</v>
      </c>
      <c r="N13" s="33">
        <f>N11+N12</f>
        <v>0</v>
      </c>
      <c r="O13" s="34">
        <f>O11+O12</f>
        <v>2.2400000000000002</v>
      </c>
      <c r="P13" s="34">
        <f t="shared" ref="P13:R13" si="4">P11+P12</f>
        <v>2.9120000000000004</v>
      </c>
      <c r="Q13" s="34">
        <f t="shared" si="4"/>
        <v>3.5840000000000005</v>
      </c>
      <c r="R13" s="34">
        <f t="shared" si="4"/>
        <v>2.016</v>
      </c>
    </row>
    <row r="14" spans="2:20" x14ac:dyDescent="0.35">
      <c r="B14" s="1" t="s">
        <v>8</v>
      </c>
      <c r="C14" s="1"/>
      <c r="K14" s="24"/>
      <c r="L14" s="47"/>
      <c r="M14" s="1" t="s">
        <v>8</v>
      </c>
      <c r="N14" s="1"/>
    </row>
    <row r="15" spans="2:20" x14ac:dyDescent="0.35">
      <c r="B15" s="2" t="s">
        <v>23</v>
      </c>
      <c r="C15" s="3">
        <v>0</v>
      </c>
      <c r="D15" s="20">
        <f>8.5*0.12</f>
        <v>1.02</v>
      </c>
      <c r="E15" s="20">
        <f>8.5*0.25</f>
        <v>2.125</v>
      </c>
      <c r="F15" s="20">
        <f>8.5*0.5</f>
        <v>4.25</v>
      </c>
      <c r="G15" s="20">
        <f>8.5*0.75</f>
        <v>6.375</v>
      </c>
      <c r="H15" s="20">
        <f>8.5</f>
        <v>8.5</v>
      </c>
      <c r="I15" s="20">
        <f>H15</f>
        <v>8.5</v>
      </c>
      <c r="K15" s="24" t="s">
        <v>124</v>
      </c>
      <c r="L15" s="47">
        <v>5</v>
      </c>
      <c r="M15" s="44" t="s">
        <v>23</v>
      </c>
      <c r="N15" s="45">
        <v>0</v>
      </c>
      <c r="O15" s="46">
        <f>1.8*12*0.33</f>
        <v>7.128000000000001</v>
      </c>
      <c r="P15" s="46">
        <f>1.8*12*0.66</f>
        <v>14.256000000000002</v>
      </c>
      <c r="Q15" s="46">
        <f>1.8*12*1</f>
        <v>21.6</v>
      </c>
      <c r="R15" s="46">
        <f>Q15</f>
        <v>21.6</v>
      </c>
      <c r="T15" t="s">
        <v>80</v>
      </c>
    </row>
    <row r="16" spans="2:20" x14ac:dyDescent="0.35">
      <c r="B16" s="18" t="s">
        <v>106</v>
      </c>
      <c r="C16" s="19">
        <v>0</v>
      </c>
      <c r="D16" s="21">
        <f>D15*0.25</f>
        <v>0.255</v>
      </c>
      <c r="E16" s="21">
        <f t="shared" ref="E16:I16" si="5">E15*0.25</f>
        <v>0.53125</v>
      </c>
      <c r="F16" s="21">
        <f t="shared" si="5"/>
        <v>1.0625</v>
      </c>
      <c r="G16" s="21">
        <f t="shared" si="5"/>
        <v>1.59375</v>
      </c>
      <c r="H16" s="21">
        <f t="shared" si="5"/>
        <v>2.125</v>
      </c>
      <c r="I16" s="21">
        <f t="shared" si="5"/>
        <v>2.125</v>
      </c>
      <c r="K16" s="24" t="s">
        <v>108</v>
      </c>
      <c r="L16" s="47"/>
      <c r="M16" s="18" t="s">
        <v>22</v>
      </c>
      <c r="N16" s="19">
        <v>0</v>
      </c>
      <c r="O16" s="21">
        <f>O15*0.25</f>
        <v>1.7820000000000003</v>
      </c>
      <c r="P16" s="21">
        <f t="shared" ref="P16:R16" si="6">P15*0.25</f>
        <v>3.5640000000000005</v>
      </c>
      <c r="Q16" s="21">
        <f t="shared" si="6"/>
        <v>5.4</v>
      </c>
      <c r="R16" s="21">
        <f t="shared" si="6"/>
        <v>5.4</v>
      </c>
      <c r="T16" t="s">
        <v>99</v>
      </c>
    </row>
    <row r="17" spans="2:20" x14ac:dyDescent="0.35">
      <c r="B17" s="18" t="s">
        <v>115</v>
      </c>
      <c r="C17" s="19">
        <v>0</v>
      </c>
      <c r="D17" s="21">
        <f>D15*-0.15</f>
        <v>-0.153</v>
      </c>
      <c r="E17" s="21">
        <f t="shared" ref="E17:I17" si="7">E15*-0.15</f>
        <v>-0.31874999999999998</v>
      </c>
      <c r="F17" s="21">
        <f t="shared" si="7"/>
        <v>-0.63749999999999996</v>
      </c>
      <c r="G17" s="21">
        <f t="shared" si="7"/>
        <v>-0.95624999999999993</v>
      </c>
      <c r="H17" s="21">
        <f t="shared" si="7"/>
        <v>-1.2749999999999999</v>
      </c>
      <c r="I17" s="21">
        <f t="shared" si="7"/>
        <v>-1.2749999999999999</v>
      </c>
      <c r="K17" s="24" t="s">
        <v>125</v>
      </c>
      <c r="L17" s="47"/>
      <c r="M17" s="18"/>
      <c r="N17" s="19"/>
      <c r="O17" s="21"/>
      <c r="P17" s="21"/>
      <c r="Q17" s="21"/>
      <c r="R17" s="21"/>
    </row>
    <row r="18" spans="2:20" x14ac:dyDescent="0.35">
      <c r="B18" s="18" t="s">
        <v>116</v>
      </c>
      <c r="C18" s="19">
        <v>0</v>
      </c>
      <c r="D18" s="21">
        <f>D15*-0.18</f>
        <v>-0.18359999999999999</v>
      </c>
      <c r="E18" s="21">
        <f t="shared" ref="E18:I18" si="8">E15*-0.18</f>
        <v>-0.38250000000000001</v>
      </c>
      <c r="F18" s="21">
        <f t="shared" si="8"/>
        <v>-0.76500000000000001</v>
      </c>
      <c r="G18" s="21">
        <f t="shared" si="8"/>
        <v>-1.1475</v>
      </c>
      <c r="H18" s="21">
        <f t="shared" si="8"/>
        <v>-1.53</v>
      </c>
      <c r="I18" s="21">
        <f t="shared" si="8"/>
        <v>-1.53</v>
      </c>
      <c r="K18" s="24" t="s">
        <v>109</v>
      </c>
      <c r="L18" s="47"/>
      <c r="M18" s="18"/>
      <c r="N18" s="19"/>
      <c r="O18" s="21"/>
      <c r="P18" s="21"/>
      <c r="Q18" s="21"/>
      <c r="R18" s="21"/>
    </row>
    <row r="19" spans="2:20" x14ac:dyDescent="0.35">
      <c r="B19" s="18" t="s">
        <v>107</v>
      </c>
      <c r="C19" s="19">
        <v>0</v>
      </c>
      <c r="D19" s="21">
        <f>D15*0.25</f>
        <v>0.255</v>
      </c>
      <c r="E19" s="21">
        <f t="shared" ref="E19:I19" si="9">E15*0.25</f>
        <v>0.53125</v>
      </c>
      <c r="F19" s="21">
        <f t="shared" si="9"/>
        <v>1.0625</v>
      </c>
      <c r="G19" s="21">
        <f t="shared" si="9"/>
        <v>1.59375</v>
      </c>
      <c r="H19" s="21">
        <f t="shared" si="9"/>
        <v>2.125</v>
      </c>
      <c r="I19" s="21">
        <f t="shared" si="9"/>
        <v>2.125</v>
      </c>
      <c r="K19" s="24" t="s">
        <v>25</v>
      </c>
      <c r="L19" s="47"/>
      <c r="M19" s="18" t="s">
        <v>24</v>
      </c>
      <c r="N19" s="19">
        <v>0</v>
      </c>
      <c r="O19" s="21">
        <f>1.8*12*0.35*0.2</f>
        <v>1.512</v>
      </c>
      <c r="P19" s="21">
        <f>1.8*12*0.35*0.4</f>
        <v>3.024</v>
      </c>
      <c r="Q19" s="21">
        <f>1.8*12*0.35*0.6</f>
        <v>4.5359999999999996</v>
      </c>
      <c r="R19" s="21">
        <f>1.8*12*0.35*0.8</f>
        <v>6.048</v>
      </c>
      <c r="T19" t="s">
        <v>25</v>
      </c>
    </row>
    <row r="20" spans="2:20" x14ac:dyDescent="0.35">
      <c r="B20" s="36" t="s">
        <v>21</v>
      </c>
      <c r="C20" s="37">
        <f>C15+C16+C19</f>
        <v>0</v>
      </c>
      <c r="D20" s="34">
        <f>SUM(D15:D19)</f>
        <v>1.1934</v>
      </c>
      <c r="E20" s="34">
        <f t="shared" ref="E20:I20" si="10">SUM(E15:E19)</f>
        <v>2.4862500000000001</v>
      </c>
      <c r="F20" s="34">
        <f t="shared" si="10"/>
        <v>4.9725000000000001</v>
      </c>
      <c r="G20" s="34">
        <f t="shared" si="10"/>
        <v>7.4587500000000002</v>
      </c>
      <c r="H20" s="34">
        <f t="shared" si="10"/>
        <v>9.9450000000000003</v>
      </c>
      <c r="I20" s="34">
        <f t="shared" si="10"/>
        <v>9.9450000000000003</v>
      </c>
      <c r="K20" s="24"/>
      <c r="L20" s="47"/>
      <c r="M20" s="36" t="s">
        <v>21</v>
      </c>
      <c r="N20" s="37">
        <f>N15+N16+N19</f>
        <v>0</v>
      </c>
      <c r="O20" s="38">
        <f t="shared" ref="O20:R20" si="11">O15+O16+O19</f>
        <v>10.422000000000002</v>
      </c>
      <c r="P20" s="38">
        <f t="shared" si="11"/>
        <v>20.844000000000005</v>
      </c>
      <c r="Q20" s="38">
        <f t="shared" si="11"/>
        <v>31.536000000000001</v>
      </c>
      <c r="R20" s="38">
        <f t="shared" si="11"/>
        <v>33.048000000000002</v>
      </c>
    </row>
    <row r="21" spans="2:20" ht="8.25" customHeight="1" x14ac:dyDescent="0.35">
      <c r="B21" s="2"/>
      <c r="C21" s="3"/>
      <c r="D21" s="3"/>
      <c r="E21" s="3"/>
      <c r="F21" s="3"/>
      <c r="G21" s="3"/>
      <c r="H21" s="3"/>
      <c r="I21" s="3"/>
      <c r="K21" s="24"/>
      <c r="L21" s="47"/>
      <c r="M21" s="2"/>
      <c r="N21" s="3"/>
      <c r="O21" s="3"/>
      <c r="P21" s="3"/>
      <c r="Q21" s="3"/>
      <c r="R21" s="3"/>
    </row>
    <row r="22" spans="2:20" x14ac:dyDescent="0.35">
      <c r="B22" s="16" t="s">
        <v>7</v>
      </c>
      <c r="C22" s="17"/>
      <c r="D22" s="22"/>
      <c r="E22" s="22"/>
      <c r="F22" s="22"/>
      <c r="G22" s="22"/>
      <c r="H22" s="22"/>
      <c r="I22" s="22"/>
      <c r="K22" s="24" t="s">
        <v>13</v>
      </c>
      <c r="L22" s="47"/>
      <c r="M22" s="16" t="s">
        <v>7</v>
      </c>
      <c r="N22" s="17">
        <v>0</v>
      </c>
      <c r="O22" s="22">
        <v>0</v>
      </c>
      <c r="P22" s="22">
        <v>0</v>
      </c>
      <c r="Q22" s="22">
        <v>0</v>
      </c>
      <c r="R22" s="22">
        <v>0</v>
      </c>
      <c r="T22" t="s">
        <v>13</v>
      </c>
    </row>
    <row r="23" spans="2:20" ht="11.25" customHeight="1" x14ac:dyDescent="0.35">
      <c r="B23" s="2"/>
      <c r="C23" s="2"/>
      <c r="K23" s="24"/>
      <c r="L23" s="47"/>
      <c r="M23" s="2"/>
      <c r="N23" s="2"/>
    </row>
    <row r="24" spans="2:20" ht="15" thickBot="1" x14ac:dyDescent="0.4">
      <c r="B24" s="72" t="s">
        <v>119</v>
      </c>
      <c r="C24" s="13">
        <f>C22+C20+C11</f>
        <v>0</v>
      </c>
      <c r="D24" s="73">
        <f>D22+D20+D13</f>
        <v>1.9662000000000002</v>
      </c>
      <c r="E24" s="73">
        <f t="shared" ref="E24:I24" si="12">E22+E20+E13</f>
        <v>2.5184500000000001</v>
      </c>
      <c r="F24" s="73">
        <f t="shared" si="12"/>
        <v>8.6111000000000004</v>
      </c>
      <c r="G24" s="73">
        <f t="shared" si="12"/>
        <v>11.870150000000001</v>
      </c>
      <c r="H24" s="73">
        <f t="shared" si="12"/>
        <v>18.993200000000002</v>
      </c>
      <c r="I24" s="73">
        <f t="shared" si="12"/>
        <v>16.610399999999998</v>
      </c>
      <c r="K24" s="24"/>
      <c r="L24" s="47"/>
      <c r="M24" s="4" t="s">
        <v>6</v>
      </c>
      <c r="N24" s="48">
        <f>N22+N20+N11</f>
        <v>0</v>
      </c>
      <c r="O24" s="48">
        <f>O22+O20+O13</f>
        <v>12.662000000000003</v>
      </c>
      <c r="P24" s="48">
        <f t="shared" ref="P24:R24" si="13">P22+P20+P13</f>
        <v>23.756000000000004</v>
      </c>
      <c r="Q24" s="48">
        <f t="shared" si="13"/>
        <v>35.120000000000005</v>
      </c>
      <c r="R24" s="48">
        <f t="shared" si="13"/>
        <v>35.064</v>
      </c>
    </row>
    <row r="25" spans="2:20" s="77" customFormat="1" x14ac:dyDescent="0.35">
      <c r="B25" s="74"/>
      <c r="C25" s="75"/>
      <c r="D25" s="76"/>
      <c r="E25" s="76"/>
      <c r="F25" s="76"/>
      <c r="G25" s="76"/>
      <c r="H25" s="76"/>
      <c r="I25" s="76"/>
      <c r="K25" s="78"/>
      <c r="L25" s="79"/>
      <c r="M25" s="74"/>
      <c r="N25" s="75"/>
      <c r="O25" s="75"/>
      <c r="P25" s="75"/>
      <c r="Q25" s="75"/>
      <c r="R25" s="75"/>
    </row>
    <row r="26" spans="2:20" x14ac:dyDescent="0.35">
      <c r="B26" s="2"/>
      <c r="C26" s="2"/>
      <c r="K26" s="24"/>
      <c r="L26" s="47"/>
      <c r="M26" s="2"/>
      <c r="N26" s="2"/>
    </row>
    <row r="27" spans="2:20" ht="21.5" thickBot="1" x14ac:dyDescent="0.55000000000000004">
      <c r="B27" s="14" t="s">
        <v>14</v>
      </c>
      <c r="C27" s="14"/>
      <c r="D27" s="15"/>
      <c r="E27" s="15"/>
      <c r="F27" s="15"/>
      <c r="G27" s="15"/>
      <c r="H27" s="15"/>
      <c r="I27" s="15"/>
      <c r="J27" s="10"/>
      <c r="K27" s="14" t="s">
        <v>15</v>
      </c>
      <c r="L27" s="47"/>
      <c r="M27" s="14" t="s">
        <v>78</v>
      </c>
      <c r="N27" s="14"/>
      <c r="O27" s="15"/>
      <c r="P27" s="15"/>
      <c r="Q27" s="15"/>
      <c r="R27" s="15"/>
      <c r="T27" s="14" t="s">
        <v>15</v>
      </c>
    </row>
    <row r="28" spans="2:20" x14ac:dyDescent="0.35">
      <c r="B28" s="2"/>
      <c r="C28" s="2"/>
      <c r="L28" s="47"/>
      <c r="M28" s="2"/>
      <c r="N28" s="2"/>
    </row>
    <row r="29" spans="2:20" x14ac:dyDescent="0.35">
      <c r="B29" s="1" t="s">
        <v>0</v>
      </c>
      <c r="C29" s="23" t="s">
        <v>9</v>
      </c>
      <c r="D29" s="23" t="s">
        <v>10</v>
      </c>
      <c r="E29" s="23" t="s">
        <v>11</v>
      </c>
      <c r="F29" s="23" t="s">
        <v>12</v>
      </c>
      <c r="G29" s="23" t="s">
        <v>19</v>
      </c>
      <c r="H29" s="23" t="s">
        <v>20</v>
      </c>
      <c r="I29" s="23" t="s">
        <v>26</v>
      </c>
      <c r="L29" s="47"/>
      <c r="M29" s="1" t="s">
        <v>0</v>
      </c>
      <c r="N29" s="23" t="s">
        <v>9</v>
      </c>
      <c r="O29" s="23" t="s">
        <v>10</v>
      </c>
      <c r="P29" s="23" t="s">
        <v>11</v>
      </c>
      <c r="Q29" s="23" t="s">
        <v>12</v>
      </c>
      <c r="R29" s="23" t="s">
        <v>19</v>
      </c>
    </row>
    <row r="30" spans="2:20" x14ac:dyDescent="0.35">
      <c r="B30" s="2" t="s">
        <v>3</v>
      </c>
      <c r="C30" s="6">
        <f>N30</f>
        <v>21</v>
      </c>
      <c r="D30" s="6">
        <f>C30*0.97</f>
        <v>20.37</v>
      </c>
      <c r="E30" s="6">
        <f t="shared" ref="E30:H31" si="14">D30*0.97</f>
        <v>19.758900000000001</v>
      </c>
      <c r="F30" s="6">
        <f t="shared" si="14"/>
        <v>19.166132999999999</v>
      </c>
      <c r="G30" s="6">
        <f t="shared" si="14"/>
        <v>18.591149009999999</v>
      </c>
      <c r="H30" s="6">
        <f t="shared" si="14"/>
        <v>18.033414539699997</v>
      </c>
      <c r="I30" s="6">
        <f>H30</f>
        <v>18.033414539699997</v>
      </c>
      <c r="K30" s="24" t="s">
        <v>29</v>
      </c>
      <c r="L30" s="47">
        <v>3</v>
      </c>
      <c r="M30" s="2" t="s">
        <v>3</v>
      </c>
      <c r="N30" s="6">
        <f>200*105000/1000000</f>
        <v>21</v>
      </c>
      <c r="O30" s="6">
        <f>N30*0.86</f>
        <v>18.059999999999999</v>
      </c>
      <c r="P30" s="6">
        <f t="shared" ref="P30:R30" si="15">O30*0.86</f>
        <v>15.531599999999999</v>
      </c>
      <c r="Q30" s="6">
        <f t="shared" si="15"/>
        <v>13.357175999999999</v>
      </c>
      <c r="R30" s="6">
        <f t="shared" si="15"/>
        <v>11.48717136</v>
      </c>
      <c r="T30" t="s">
        <v>85</v>
      </c>
    </row>
    <row r="31" spans="2:20" x14ac:dyDescent="0.35">
      <c r="B31" s="2" t="s">
        <v>36</v>
      </c>
      <c r="C31" s="6">
        <f t="shared" ref="C31:C33" si="16">N31</f>
        <v>35</v>
      </c>
      <c r="D31" s="6">
        <f>C31*0.97</f>
        <v>33.949999999999996</v>
      </c>
      <c r="E31" s="6">
        <f t="shared" si="14"/>
        <v>32.931499999999993</v>
      </c>
      <c r="F31" s="6">
        <f t="shared" si="14"/>
        <v>31.943554999999993</v>
      </c>
      <c r="G31" s="6">
        <f t="shared" si="14"/>
        <v>30.985248349999992</v>
      </c>
      <c r="H31" s="6">
        <f t="shared" si="14"/>
        <v>30.055690899499993</v>
      </c>
      <c r="I31" s="6">
        <f>H31</f>
        <v>30.055690899499993</v>
      </c>
      <c r="K31" s="24" t="s">
        <v>49</v>
      </c>
      <c r="L31" s="47">
        <v>6</v>
      </c>
      <c r="M31" s="2" t="s">
        <v>36</v>
      </c>
      <c r="N31" s="6">
        <v>35</v>
      </c>
      <c r="O31" s="6">
        <f>N31*0.97</f>
        <v>33.949999999999996</v>
      </c>
      <c r="P31" s="6">
        <f t="shared" ref="P31:R31" si="17">O31*0.97</f>
        <v>32.931499999999993</v>
      </c>
      <c r="Q31" s="6">
        <f t="shared" si="17"/>
        <v>31.943554999999993</v>
      </c>
      <c r="R31" s="6">
        <f t="shared" si="17"/>
        <v>30.985248349999992</v>
      </c>
      <c r="T31" t="s">
        <v>49</v>
      </c>
    </row>
    <row r="32" spans="2:20" x14ac:dyDescent="0.35">
      <c r="B32" s="2" t="s">
        <v>74</v>
      </c>
      <c r="C32" s="6">
        <f t="shared" si="16"/>
        <v>20</v>
      </c>
      <c r="D32" s="6">
        <f>Depr!F16</f>
        <v>19.5</v>
      </c>
      <c r="E32" s="6">
        <f>Depr!G16</f>
        <v>18.5</v>
      </c>
      <c r="F32" s="6">
        <f>Depr!H16</f>
        <v>17</v>
      </c>
      <c r="G32" s="6">
        <f>Depr!I16</f>
        <v>15</v>
      </c>
      <c r="H32" s="6">
        <f>Depr!J16</f>
        <v>10.5</v>
      </c>
      <c r="I32" s="6">
        <f>Depr!K16</f>
        <v>6.5</v>
      </c>
      <c r="K32" s="24" t="s">
        <v>95</v>
      </c>
      <c r="L32" s="47">
        <v>4</v>
      </c>
      <c r="M32" s="2" t="s">
        <v>74</v>
      </c>
      <c r="N32" s="6">
        <f>Depr!E20</f>
        <v>20</v>
      </c>
      <c r="O32" s="6">
        <f>Depr!F20</f>
        <v>19.5</v>
      </c>
      <c r="P32" s="6">
        <f>Depr!G20</f>
        <v>18.5</v>
      </c>
      <c r="Q32" s="6">
        <f>Depr!H20</f>
        <v>17</v>
      </c>
      <c r="R32" s="6">
        <f>Depr!I20</f>
        <v>15</v>
      </c>
      <c r="T32" t="s">
        <v>76</v>
      </c>
    </row>
    <row r="33" spans="2:20" x14ac:dyDescent="0.35">
      <c r="B33" s="2" t="s">
        <v>2</v>
      </c>
      <c r="C33" s="6">
        <f t="shared" si="16"/>
        <v>50</v>
      </c>
      <c r="D33" s="7">
        <f>C33</f>
        <v>50</v>
      </c>
      <c r="E33" s="7">
        <f>D33</f>
        <v>50</v>
      </c>
      <c r="F33" s="7">
        <f t="shared" ref="F33:I34" si="18">E33</f>
        <v>50</v>
      </c>
      <c r="G33" s="7">
        <f t="shared" si="18"/>
        <v>50</v>
      </c>
      <c r="H33" s="7">
        <f t="shared" si="18"/>
        <v>50</v>
      </c>
      <c r="I33" s="7">
        <f t="shared" si="18"/>
        <v>50</v>
      </c>
      <c r="K33" s="24" t="s">
        <v>96</v>
      </c>
      <c r="L33" s="47"/>
      <c r="M33" s="2" t="s">
        <v>2</v>
      </c>
      <c r="N33" s="7">
        <v>50</v>
      </c>
      <c r="O33" s="7">
        <v>50</v>
      </c>
      <c r="P33" s="7">
        <v>50</v>
      </c>
      <c r="Q33" s="7">
        <v>50</v>
      </c>
      <c r="R33" s="7">
        <v>50</v>
      </c>
      <c r="T33" t="s">
        <v>77</v>
      </c>
    </row>
    <row r="34" spans="2:20" x14ac:dyDescent="0.35">
      <c r="B34" s="8" t="s">
        <v>16</v>
      </c>
      <c r="C34" s="56">
        <f>SUM(C30:C33)</f>
        <v>126</v>
      </c>
      <c r="D34" s="9">
        <f>SUM(D30:D33)</f>
        <v>123.82</v>
      </c>
      <c r="E34" s="9">
        <f t="shared" ref="E34:H34" si="19">SUM(E30:E33)</f>
        <v>121.1904</v>
      </c>
      <c r="F34" s="9">
        <f t="shared" si="19"/>
        <v>118.10968799999999</v>
      </c>
      <c r="G34" s="9">
        <f t="shared" si="19"/>
        <v>114.57639735999999</v>
      </c>
      <c r="H34" s="9">
        <f t="shared" si="19"/>
        <v>108.58910543919998</v>
      </c>
      <c r="I34" s="9">
        <f t="shared" si="18"/>
        <v>108.58910543919998</v>
      </c>
      <c r="L34" s="47">
        <v>2</v>
      </c>
      <c r="M34" s="8" t="s">
        <v>16</v>
      </c>
      <c r="N34" s="9">
        <f>SUM(N30:N33)</f>
        <v>126</v>
      </c>
      <c r="O34" s="9">
        <f>SUM(O30:O33)</f>
        <v>121.50999999999999</v>
      </c>
      <c r="P34" s="9">
        <f t="shared" ref="P34:R34" si="20">SUM(P30:P33)</f>
        <v>116.9631</v>
      </c>
      <c r="Q34" s="9">
        <f t="shared" si="20"/>
        <v>112.30073099999998</v>
      </c>
      <c r="R34" s="9">
        <f t="shared" si="20"/>
        <v>107.47241971</v>
      </c>
    </row>
    <row r="35" spans="2:20" x14ac:dyDescent="0.35">
      <c r="L35" s="47"/>
    </row>
    <row r="36" spans="2:20" x14ac:dyDescent="0.35">
      <c r="B36" s="8" t="s">
        <v>47</v>
      </c>
      <c r="C36" s="61">
        <f>C24</f>
        <v>0</v>
      </c>
      <c r="D36" s="61">
        <f t="shared" ref="D36:I36" si="21">D24</f>
        <v>1.9662000000000002</v>
      </c>
      <c r="E36" s="61">
        <f t="shared" si="21"/>
        <v>2.5184500000000001</v>
      </c>
      <c r="F36" s="61">
        <f t="shared" si="21"/>
        <v>8.6111000000000004</v>
      </c>
      <c r="G36" s="61">
        <f t="shared" si="21"/>
        <v>11.870150000000001</v>
      </c>
      <c r="H36" s="61">
        <f t="shared" si="21"/>
        <v>18.993200000000002</v>
      </c>
      <c r="I36" s="61">
        <f t="shared" si="21"/>
        <v>16.610399999999998</v>
      </c>
      <c r="K36" s="24" t="s">
        <v>126</v>
      </c>
      <c r="L36" s="47"/>
      <c r="M36" s="25" t="s">
        <v>47</v>
      </c>
      <c r="N36" s="26">
        <f>N24</f>
        <v>0</v>
      </c>
      <c r="O36" s="26">
        <f t="shared" ref="O36:R36" si="22">O24</f>
        <v>12.662000000000003</v>
      </c>
      <c r="P36" s="26">
        <f t="shared" si="22"/>
        <v>23.756000000000004</v>
      </c>
      <c r="Q36" s="26">
        <f t="shared" si="22"/>
        <v>35.120000000000005</v>
      </c>
      <c r="R36" s="26">
        <f t="shared" si="22"/>
        <v>35.064</v>
      </c>
    </row>
    <row r="37" spans="2:20" x14ac:dyDescent="0.35">
      <c r="L37" s="47"/>
    </row>
    <row r="38" spans="2:20" ht="15" thickBot="1" x14ac:dyDescent="0.4">
      <c r="B38" s="12" t="s">
        <v>17</v>
      </c>
      <c r="C38" s="80">
        <f t="shared" ref="C38:I38" si="23">C34+C36</f>
        <v>126</v>
      </c>
      <c r="D38" s="13">
        <f t="shared" si="23"/>
        <v>125.78619999999999</v>
      </c>
      <c r="E38" s="13">
        <f t="shared" si="23"/>
        <v>123.70885</v>
      </c>
      <c r="F38" s="13">
        <f t="shared" si="23"/>
        <v>126.720788</v>
      </c>
      <c r="G38" s="13">
        <f t="shared" si="23"/>
        <v>126.44654735999998</v>
      </c>
      <c r="H38" s="13">
        <f t="shared" si="23"/>
        <v>127.58230543919998</v>
      </c>
      <c r="I38" s="13">
        <f t="shared" si="23"/>
        <v>125.19950543919998</v>
      </c>
      <c r="K38" s="60"/>
      <c r="L38" s="47"/>
      <c r="M38" s="12" t="s">
        <v>17</v>
      </c>
      <c r="N38" s="13">
        <f>N34+N36</f>
        <v>126</v>
      </c>
      <c r="O38" s="13">
        <f>O34+O36</f>
        <v>134.172</v>
      </c>
      <c r="P38" s="13">
        <f>P34+P36</f>
        <v>140.7191</v>
      </c>
      <c r="Q38" s="13">
        <f>Q34+Q36</f>
        <v>147.42073099999999</v>
      </c>
      <c r="R38" s="13">
        <f>R34+R36</f>
        <v>142.53641970999999</v>
      </c>
    </row>
    <row r="39" spans="2:20" ht="15" thickBot="1" x14ac:dyDescent="0.4">
      <c r="C39" s="28"/>
      <c r="D39" s="83"/>
      <c r="E39" s="83"/>
      <c r="F39" s="83"/>
      <c r="G39" s="83"/>
      <c r="H39" s="83"/>
      <c r="I39" s="83"/>
    </row>
    <row r="40" spans="2:20" ht="15" thickBot="1" x14ac:dyDescent="0.4">
      <c r="B40" s="49" t="s">
        <v>84</v>
      </c>
      <c r="C40" s="81">
        <f>$C$38-C38</f>
        <v>0</v>
      </c>
      <c r="D40" s="81">
        <f>$C$38-D38</f>
        <v>0.21380000000000621</v>
      </c>
      <c r="E40" s="81">
        <f t="shared" ref="E40:I40" si="24">$C$38-E38</f>
        <v>2.2911500000000018</v>
      </c>
      <c r="F40" s="81">
        <f t="shared" si="24"/>
        <v>-0.72078799999999887</v>
      </c>
      <c r="G40" s="81">
        <f t="shared" si="24"/>
        <v>-0.44654735999998252</v>
      </c>
      <c r="H40" s="81">
        <f t="shared" si="24"/>
        <v>-1.5823054391999847</v>
      </c>
      <c r="I40" s="82">
        <f t="shared" si="24"/>
        <v>0.80049456080001846</v>
      </c>
      <c r="M40" s="49" t="s">
        <v>84</v>
      </c>
      <c r="N40" s="50"/>
      <c r="O40" s="51">
        <f>$N$38-O38</f>
        <v>-8.171999999999997</v>
      </c>
      <c r="P40" s="51">
        <f t="shared" ref="P40:R40" si="25">$N$38-P38</f>
        <v>-14.719099999999997</v>
      </c>
      <c r="Q40" s="51">
        <f t="shared" si="25"/>
        <v>-21.420730999999989</v>
      </c>
      <c r="R40" s="52">
        <f t="shared" si="25"/>
        <v>-16.53641970999999</v>
      </c>
    </row>
    <row r="41" spans="2:20" s="53" customFormat="1" ht="6.75" customHeight="1" thickBot="1" x14ac:dyDescent="0.4">
      <c r="B41" s="54"/>
      <c r="C41" s="59"/>
      <c r="D41" s="59"/>
      <c r="E41" s="59"/>
      <c r="F41" s="59"/>
      <c r="G41" s="59"/>
      <c r="H41" s="59"/>
      <c r="I41" s="59"/>
      <c r="M41" s="54"/>
      <c r="N41" s="54"/>
      <c r="O41" s="55"/>
      <c r="P41" s="55"/>
      <c r="Q41" s="55"/>
      <c r="R41" s="55"/>
    </row>
    <row r="42" spans="2:20" ht="15" thickBot="1" x14ac:dyDescent="0.4">
      <c r="B42" s="49" t="s">
        <v>79</v>
      </c>
      <c r="C42" s="81">
        <f t="shared" ref="C42:D42" si="26">$C$38-C38</f>
        <v>0</v>
      </c>
      <c r="D42" s="81">
        <f t="shared" si="26"/>
        <v>0.21380000000000621</v>
      </c>
      <c r="E42" s="81">
        <f>D42+E40</f>
        <v>2.504950000000008</v>
      </c>
      <c r="F42" s="81">
        <f t="shared" ref="F42:I42" si="27">E42+F40</f>
        <v>1.7841620000000091</v>
      </c>
      <c r="G42" s="81">
        <f t="shared" si="27"/>
        <v>1.3376146400000266</v>
      </c>
      <c r="H42" s="81">
        <f t="shared" si="27"/>
        <v>-0.24469079919995806</v>
      </c>
      <c r="I42" s="82">
        <f t="shared" si="27"/>
        <v>0.5558037616000604</v>
      </c>
      <c r="J42" s="11"/>
      <c r="M42" s="49" t="s">
        <v>79</v>
      </c>
      <c r="N42" s="50"/>
      <c r="O42" s="51">
        <f>$N$38-O38</f>
        <v>-8.171999999999997</v>
      </c>
      <c r="P42" s="51">
        <f>$N$38-P38+O42</f>
        <v>-22.891099999999994</v>
      </c>
      <c r="Q42" s="51">
        <f>$N$38-Q38+P42</f>
        <v>-44.311830999999984</v>
      </c>
      <c r="R42" s="52">
        <f>$N$38-R38+Q42</f>
        <v>-60.848250709999974</v>
      </c>
    </row>
    <row r="43" spans="2:20" hidden="1" x14ac:dyDescent="0.35"/>
    <row r="44" spans="2:20" hidden="1" x14ac:dyDescent="0.35">
      <c r="B44" s="25" t="s">
        <v>117</v>
      </c>
      <c r="D44" s="61"/>
      <c r="E44" s="61">
        <f>((-1400*105000)*0.025)/1000000</f>
        <v>-3.6749999999999998</v>
      </c>
      <c r="F44" s="61">
        <f>((-1400*105000)*0.05)/1000000</f>
        <v>-7.35</v>
      </c>
      <c r="G44" s="61">
        <f>((-1400*105000)*0.1)/1000000</f>
        <v>-14.7</v>
      </c>
      <c r="H44" s="61">
        <f>((-1400*105000)*0.15)/1000000</f>
        <v>-22.05</v>
      </c>
      <c r="I44" s="61">
        <f>((-1400*105000)*0.2)/1000000</f>
        <v>-29.4</v>
      </c>
      <c r="K44" s="24" t="s">
        <v>118</v>
      </c>
    </row>
    <row r="45" spans="2:20" hidden="1" x14ac:dyDescent="0.35">
      <c r="B45" s="25" t="s">
        <v>100</v>
      </c>
      <c r="E45" s="61">
        <f>-'Aquisition costs'!D34</f>
        <v>-0.69248280000000051</v>
      </c>
      <c r="F45" s="61">
        <f>-'Aquisition costs'!E34</f>
        <v>-1.591217959999998</v>
      </c>
      <c r="G45" s="61">
        <f>-'Aquisition costs'!F34</f>
        <v>-2.5011830911999979</v>
      </c>
      <c r="H45" s="61">
        <f>-'Aquisition costs'!G34</f>
        <v>-2.9869499554319994</v>
      </c>
      <c r="I45" s="61">
        <f>-'Aquisition costs'!H34</f>
        <v>-3.5425286131375202</v>
      </c>
      <c r="K45" s="24" t="s">
        <v>104</v>
      </c>
    </row>
    <row r="46" spans="2:20" ht="15" hidden="1" thickBot="1" x14ac:dyDescent="0.4"/>
    <row r="47" spans="2:20" ht="15" hidden="1" thickBot="1" x14ac:dyDescent="0.4">
      <c r="B47" s="49" t="s">
        <v>101</v>
      </c>
      <c r="D47" s="58">
        <f>D40-D44-D45</f>
        <v>0.21380000000000621</v>
      </c>
      <c r="E47" s="58">
        <f t="shared" ref="E47:I47" si="28">E40-E44-E45</f>
        <v>6.6586328000000021</v>
      </c>
      <c r="F47" s="58">
        <f t="shared" si="28"/>
        <v>8.2204299599999988</v>
      </c>
      <c r="G47" s="58">
        <f t="shared" si="28"/>
        <v>16.754635731200015</v>
      </c>
      <c r="H47" s="58">
        <f t="shared" si="28"/>
        <v>23.454644516232015</v>
      </c>
      <c r="I47" s="58">
        <f t="shared" si="28"/>
        <v>33.743023173937537</v>
      </c>
    </row>
    <row r="48" spans="2:20" ht="7" hidden="1" customHeight="1" thickBot="1" x14ac:dyDescent="0.4">
      <c r="B48" s="54"/>
      <c r="C48" s="53"/>
      <c r="D48" s="59"/>
      <c r="E48" s="59"/>
      <c r="F48" s="59"/>
      <c r="G48" s="59"/>
      <c r="H48" s="59"/>
      <c r="I48" s="59"/>
    </row>
    <row r="49" spans="2:13" ht="15" hidden="1" thickBot="1" x14ac:dyDescent="0.4">
      <c r="B49" s="49" t="s">
        <v>79</v>
      </c>
      <c r="D49" s="58">
        <f>D47</f>
        <v>0.21380000000000621</v>
      </c>
      <c r="E49" s="58">
        <f>D49+E47</f>
        <v>6.8724328000000083</v>
      </c>
      <c r="F49" s="58">
        <f t="shared" ref="F49:I49" si="29">E49+F47</f>
        <v>15.092862760000006</v>
      </c>
      <c r="G49" s="58">
        <f t="shared" si="29"/>
        <v>31.847498491200021</v>
      </c>
      <c r="H49" s="58">
        <f t="shared" si="29"/>
        <v>55.302143007432036</v>
      </c>
      <c r="I49" s="58">
        <f t="shared" si="29"/>
        <v>89.045166181369581</v>
      </c>
      <c r="K49" s="62"/>
    </row>
    <row r="51" spans="2:13" x14ac:dyDescent="0.35">
      <c r="M51" s="1" t="s">
        <v>81</v>
      </c>
    </row>
    <row r="52" spans="2:13" x14ac:dyDescent="0.35">
      <c r="M52" t="s">
        <v>82</v>
      </c>
    </row>
    <row r="53" spans="2:13" x14ac:dyDescent="0.35">
      <c r="M53" t="s">
        <v>83</v>
      </c>
    </row>
    <row r="54" spans="2:13" x14ac:dyDescent="0.35">
      <c r="M54" t="s">
        <v>86</v>
      </c>
    </row>
  </sheetData>
  <pageMargins left="0.7" right="0.7" top="0.75" bottom="0.75" header="0.3" footer="0.3"/>
  <pageSetup orientation="portrait" r:id="rId1"/>
  <ignoredErrors>
    <ignoredError sqref="I32 F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C2:R60"/>
  <sheetViews>
    <sheetView workbookViewId="0">
      <selection activeCell="K52" sqref="K52"/>
    </sheetView>
  </sheetViews>
  <sheetFormatPr defaultRowHeight="14.5" x14ac:dyDescent="0.35"/>
  <cols>
    <col min="3" max="3" width="11.1796875" bestFit="1" customWidth="1"/>
    <col min="11" max="11" width="14.453125" bestFit="1" customWidth="1"/>
  </cols>
  <sheetData>
    <row r="2" spans="3:9" ht="15" x14ac:dyDescent="0.25">
      <c r="C2" s="10" t="s">
        <v>53</v>
      </c>
      <c r="D2" s="10" t="s">
        <v>10</v>
      </c>
      <c r="E2" s="10" t="s">
        <v>11</v>
      </c>
      <c r="F2" s="10" t="s">
        <v>12</v>
      </c>
      <c r="G2" s="10" t="s">
        <v>19</v>
      </c>
      <c r="H2" s="10" t="s">
        <v>20</v>
      </c>
      <c r="I2" s="10" t="s">
        <v>26</v>
      </c>
    </row>
    <row r="3" spans="3:9" ht="15" x14ac:dyDescent="0.25">
      <c r="C3" t="s">
        <v>4</v>
      </c>
      <c r="D3">
        <f>'55% Portfolio'!D8</f>
        <v>18.355555555555554</v>
      </c>
      <c r="E3">
        <f>'55% Portfolio'!E8</f>
        <v>18.355555555555554</v>
      </c>
      <c r="F3">
        <f>'55% Portfolio'!F8</f>
        <v>18.355555555555554</v>
      </c>
      <c r="G3">
        <f>'55% Portfolio'!G8</f>
        <v>0</v>
      </c>
      <c r="H3">
        <f>'55% Portfolio'!H8</f>
        <v>0</v>
      </c>
      <c r="I3">
        <v>0</v>
      </c>
    </row>
    <row r="4" spans="3:9" ht="15" x14ac:dyDescent="0.25">
      <c r="C4" t="s">
        <v>39</v>
      </c>
      <c r="D4">
        <f>D3*-0.6</f>
        <v>-11.013333333333332</v>
      </c>
      <c r="E4">
        <f t="shared" ref="E4:H4" si="0">E3*-0.6</f>
        <v>-11.013333333333332</v>
      </c>
      <c r="F4">
        <f t="shared" si="0"/>
        <v>-11.013333333333332</v>
      </c>
      <c r="G4">
        <f t="shared" si="0"/>
        <v>0</v>
      </c>
      <c r="H4">
        <f t="shared" si="0"/>
        <v>0</v>
      </c>
    </row>
    <row r="5" spans="3:9" ht="15" x14ac:dyDescent="0.25">
      <c r="C5" t="s">
        <v>40</v>
      </c>
      <c r="D5">
        <f>D13</f>
        <v>0</v>
      </c>
      <c r="E5">
        <f t="shared" ref="E5:I5" si="1">E13</f>
        <v>2.2026666666666666</v>
      </c>
      <c r="F5">
        <f t="shared" si="1"/>
        <v>4.4053333333333331</v>
      </c>
      <c r="G5">
        <f t="shared" si="1"/>
        <v>6.6079999999999997</v>
      </c>
      <c r="H5">
        <f t="shared" si="1"/>
        <v>6.6079999999999997</v>
      </c>
      <c r="I5">
        <f t="shared" si="1"/>
        <v>6.6079999999999997</v>
      </c>
    </row>
    <row r="8" spans="3:9" ht="15" x14ac:dyDescent="0.25">
      <c r="C8" t="s">
        <v>41</v>
      </c>
      <c r="E8">
        <f>-D4/5</f>
        <v>2.2026666666666666</v>
      </c>
      <c r="F8">
        <f>E8</f>
        <v>2.2026666666666666</v>
      </c>
      <c r="G8">
        <f t="shared" ref="G8:H8" si="2">F8</f>
        <v>2.2026666666666666</v>
      </c>
      <c r="H8">
        <f t="shared" si="2"/>
        <v>2.2026666666666666</v>
      </c>
      <c r="I8">
        <f t="shared" ref="I8" si="3">H8</f>
        <v>2.2026666666666666</v>
      </c>
    </row>
    <row r="9" spans="3:9" ht="15" x14ac:dyDescent="0.25">
      <c r="C9" t="s">
        <v>42</v>
      </c>
      <c r="F9">
        <f>-E4/5</f>
        <v>2.2026666666666666</v>
      </c>
      <c r="G9">
        <f>F9</f>
        <v>2.2026666666666666</v>
      </c>
      <c r="H9">
        <f>G9</f>
        <v>2.2026666666666666</v>
      </c>
      <c r="I9">
        <f>H9</f>
        <v>2.2026666666666666</v>
      </c>
    </row>
    <row r="10" spans="3:9" ht="15" x14ac:dyDescent="0.25">
      <c r="C10" t="s">
        <v>43</v>
      </c>
      <c r="G10">
        <f>G9</f>
        <v>2.2026666666666666</v>
      </c>
      <c r="H10">
        <f>G10</f>
        <v>2.2026666666666666</v>
      </c>
      <c r="I10">
        <f>H10</f>
        <v>2.2026666666666666</v>
      </c>
    </row>
    <row r="11" spans="3:9" ht="15" x14ac:dyDescent="0.25">
      <c r="C11" t="s">
        <v>44</v>
      </c>
    </row>
    <row r="13" spans="3:9" ht="15" x14ac:dyDescent="0.25">
      <c r="C13" s="28" t="s">
        <v>45</v>
      </c>
      <c r="D13" s="28">
        <f>SUM(D8:D11)</f>
        <v>0</v>
      </c>
      <c r="E13" s="28">
        <f>SUM(E8:E12)</f>
        <v>2.2026666666666666</v>
      </c>
      <c r="F13" s="28">
        <f t="shared" ref="F13:I13" si="4">SUM(F8:F12)</f>
        <v>4.4053333333333331</v>
      </c>
      <c r="G13" s="28">
        <f t="shared" si="4"/>
        <v>6.6079999999999997</v>
      </c>
      <c r="H13" s="28">
        <f t="shared" si="4"/>
        <v>6.6079999999999997</v>
      </c>
      <c r="I13" s="28">
        <f t="shared" si="4"/>
        <v>6.6079999999999997</v>
      </c>
    </row>
    <row r="15" spans="3:9" ht="15" x14ac:dyDescent="0.25">
      <c r="C15" t="s">
        <v>46</v>
      </c>
    </row>
    <row r="19" spans="3:9" ht="15" x14ac:dyDescent="0.25">
      <c r="C19" s="10" t="s">
        <v>54</v>
      </c>
      <c r="D19" s="10" t="s">
        <v>10</v>
      </c>
      <c r="E19" s="10" t="s">
        <v>11</v>
      </c>
      <c r="F19" s="10" t="s">
        <v>12</v>
      </c>
      <c r="G19" s="10" t="s">
        <v>19</v>
      </c>
      <c r="H19" s="10" t="s">
        <v>20</v>
      </c>
      <c r="I19" s="10" t="s">
        <v>26</v>
      </c>
    </row>
    <row r="20" spans="3:9" ht="15" x14ac:dyDescent="0.25">
      <c r="C20" t="s">
        <v>4</v>
      </c>
      <c r="D20" s="6">
        <f>'45% Portfolio'!D11</f>
        <v>2.415</v>
      </c>
      <c r="E20" s="6">
        <f>'45% Portfolio'!E11</f>
        <v>3.22</v>
      </c>
      <c r="F20" s="6">
        <f>'45% Portfolio'!F11</f>
        <v>6.44</v>
      </c>
      <c r="G20" s="6"/>
      <c r="H20" s="6"/>
      <c r="I20" s="6">
        <v>0</v>
      </c>
    </row>
    <row r="21" spans="3:9" ht="15" x14ac:dyDescent="0.25">
      <c r="C21" t="s">
        <v>39</v>
      </c>
      <c r="D21" s="6">
        <f>D20*-0.6</f>
        <v>-1.4490000000000001</v>
      </c>
      <c r="E21" s="6">
        <f t="shared" ref="E21" si="5">E20*-0.6</f>
        <v>-1.9319999999999999</v>
      </c>
      <c r="F21" s="6">
        <f t="shared" ref="F21" si="6">F20*-0.6</f>
        <v>-3.8639999999999999</v>
      </c>
      <c r="G21" s="6">
        <f t="shared" ref="G21" si="7">G20*-0.6</f>
        <v>0</v>
      </c>
      <c r="H21" s="6">
        <f t="shared" ref="H21" si="8">H20*-0.6</f>
        <v>0</v>
      </c>
      <c r="I21" s="6"/>
    </row>
    <row r="22" spans="3:9" ht="15" x14ac:dyDescent="0.25">
      <c r="C22" t="s">
        <v>40</v>
      </c>
      <c r="D22" s="6">
        <f>D30</f>
        <v>0</v>
      </c>
      <c r="E22" s="6">
        <f t="shared" ref="E22:I22" si="9">E30</f>
        <v>0.2898</v>
      </c>
      <c r="F22" s="6">
        <f t="shared" si="9"/>
        <v>0.67619999999999991</v>
      </c>
      <c r="G22" s="6">
        <f t="shared" si="9"/>
        <v>1.0625999999999998</v>
      </c>
      <c r="H22" s="6">
        <f t="shared" si="9"/>
        <v>1.0625999999999998</v>
      </c>
      <c r="I22" s="6">
        <f t="shared" si="9"/>
        <v>1.0625999999999998</v>
      </c>
    </row>
    <row r="23" spans="3:9" ht="15" x14ac:dyDescent="0.25">
      <c r="D23" s="6"/>
      <c r="E23" s="6"/>
      <c r="F23" s="6"/>
      <c r="G23" s="6"/>
      <c r="H23" s="6"/>
      <c r="I23" s="6"/>
    </row>
    <row r="24" spans="3:9" ht="15" x14ac:dyDescent="0.25">
      <c r="D24" s="6"/>
      <c r="E24" s="6"/>
      <c r="F24" s="6"/>
      <c r="G24" s="6"/>
      <c r="H24" s="6"/>
      <c r="I24" s="6"/>
    </row>
    <row r="25" spans="3:9" ht="15" x14ac:dyDescent="0.25">
      <c r="C25" t="s">
        <v>41</v>
      </c>
      <c r="D25" s="6"/>
      <c r="E25" s="6">
        <f>-D21/5</f>
        <v>0.2898</v>
      </c>
      <c r="F25" s="6">
        <f>E25</f>
        <v>0.2898</v>
      </c>
      <c r="G25" s="6">
        <f t="shared" ref="G25:I25" si="10">F25</f>
        <v>0.2898</v>
      </c>
      <c r="H25" s="6">
        <f t="shared" si="10"/>
        <v>0.2898</v>
      </c>
      <c r="I25" s="6">
        <f t="shared" si="10"/>
        <v>0.2898</v>
      </c>
    </row>
    <row r="26" spans="3:9" ht="15" x14ac:dyDescent="0.25">
      <c r="C26" t="s">
        <v>42</v>
      </c>
      <c r="D26" s="6"/>
      <c r="E26" s="6"/>
      <c r="F26" s="6">
        <f>-E21/5</f>
        <v>0.38639999999999997</v>
      </c>
      <c r="G26" s="6">
        <f>F26</f>
        <v>0.38639999999999997</v>
      </c>
      <c r="H26" s="6">
        <f>G26</f>
        <v>0.38639999999999997</v>
      </c>
      <c r="I26" s="6">
        <f>H26</f>
        <v>0.38639999999999997</v>
      </c>
    </row>
    <row r="27" spans="3:9" ht="15" x14ac:dyDescent="0.25">
      <c r="C27" t="s">
        <v>43</v>
      </c>
      <c r="D27" s="6"/>
      <c r="E27" s="6"/>
      <c r="F27" s="6"/>
      <c r="G27" s="6">
        <f>G26</f>
        <v>0.38639999999999997</v>
      </c>
      <c r="H27" s="6">
        <f>G27</f>
        <v>0.38639999999999997</v>
      </c>
      <c r="I27" s="6">
        <f>H27</f>
        <v>0.38639999999999997</v>
      </c>
    </row>
    <row r="28" spans="3:9" ht="15" x14ac:dyDescent="0.25">
      <c r="C28" t="s">
        <v>44</v>
      </c>
      <c r="D28" s="6"/>
      <c r="E28" s="6"/>
      <c r="F28" s="6"/>
      <c r="G28" s="6"/>
      <c r="H28" s="6"/>
      <c r="I28" s="6"/>
    </row>
    <row r="29" spans="3:9" ht="15" x14ac:dyDescent="0.25">
      <c r="D29" s="6"/>
      <c r="E29" s="6"/>
      <c r="F29" s="6"/>
      <c r="G29" s="6"/>
      <c r="H29" s="6"/>
      <c r="I29" s="6"/>
    </row>
    <row r="30" spans="3:9" ht="15" x14ac:dyDescent="0.25">
      <c r="C30" s="28" t="s">
        <v>45</v>
      </c>
      <c r="D30" s="31">
        <f>SUM(D25:D28)</f>
        <v>0</v>
      </c>
      <c r="E30" s="31">
        <f>SUM(E25:E29)</f>
        <v>0.2898</v>
      </c>
      <c r="F30" s="31">
        <f t="shared" ref="F30" si="11">SUM(F25:F29)</f>
        <v>0.67619999999999991</v>
      </c>
      <c r="G30" s="31">
        <f t="shared" ref="G30" si="12">SUM(G25:G29)</f>
        <v>1.0625999999999998</v>
      </c>
      <c r="H30" s="31">
        <f t="shared" ref="H30" si="13">SUM(H25:H29)</f>
        <v>1.0625999999999998</v>
      </c>
      <c r="I30" s="31">
        <f t="shared" ref="I30" si="14">SUM(I25:I29)</f>
        <v>1.0625999999999998</v>
      </c>
    </row>
    <row r="31" spans="3:9" ht="15" x14ac:dyDescent="0.25">
      <c r="D31" s="6"/>
      <c r="E31" s="6"/>
      <c r="F31" s="6"/>
      <c r="G31" s="6"/>
      <c r="H31" s="6"/>
      <c r="I31" s="6"/>
    </row>
    <row r="32" spans="3:9" ht="15" x14ac:dyDescent="0.25">
      <c r="C32" t="s">
        <v>46</v>
      </c>
    </row>
    <row r="35" spans="3:18" x14ac:dyDescent="0.35">
      <c r="C35" s="10" t="s">
        <v>90</v>
      </c>
      <c r="D35" s="10" t="s">
        <v>10</v>
      </c>
      <c r="E35" s="10" t="s">
        <v>11</v>
      </c>
      <c r="F35" s="10" t="s">
        <v>12</v>
      </c>
      <c r="G35" s="10" t="s">
        <v>19</v>
      </c>
      <c r="H35" s="10" t="s">
        <v>20</v>
      </c>
      <c r="I35" s="10" t="s">
        <v>26</v>
      </c>
      <c r="K35" s="10" t="s">
        <v>91</v>
      </c>
      <c r="L35" s="10" t="s">
        <v>10</v>
      </c>
      <c r="M35" s="10" t="s">
        <v>11</v>
      </c>
      <c r="N35" s="10" t="s">
        <v>12</v>
      </c>
      <c r="O35" s="10" t="s">
        <v>19</v>
      </c>
      <c r="P35" s="10" t="s">
        <v>20</v>
      </c>
      <c r="Q35" s="10" t="s">
        <v>26</v>
      </c>
    </row>
    <row r="36" spans="3:18" ht="15" x14ac:dyDescent="0.25">
      <c r="C36" t="s">
        <v>4</v>
      </c>
      <c r="D36" s="6">
        <f>'45% Portfolio'!O11</f>
        <v>5.6000000000000005</v>
      </c>
      <c r="E36" s="6">
        <f>'45% Portfolio'!P11</f>
        <v>5.6000000000000005</v>
      </c>
      <c r="F36" s="6">
        <f>'45% Portfolio'!Q11</f>
        <v>5.6000000000000005</v>
      </c>
      <c r="G36" s="6">
        <f>'45% Portfolio'!R11</f>
        <v>0</v>
      </c>
      <c r="H36" s="6">
        <f>'45% Portfolio'!S11</f>
        <v>0</v>
      </c>
      <c r="I36" s="6">
        <v>0</v>
      </c>
      <c r="K36" t="s">
        <v>4</v>
      </c>
      <c r="L36" s="6">
        <f>'45% Portfolio'!D11</f>
        <v>2.415</v>
      </c>
      <c r="M36" s="6">
        <f>'45% Portfolio'!E11</f>
        <v>3.22</v>
      </c>
      <c r="N36" s="6">
        <f>'45% Portfolio'!F11</f>
        <v>6.44</v>
      </c>
      <c r="O36" s="6">
        <f>'45% Portfolio'!G11</f>
        <v>6.44</v>
      </c>
      <c r="P36" s="6">
        <f>'45% Portfolio'!H11</f>
        <v>6.44</v>
      </c>
      <c r="Q36" s="6">
        <f>'45% Portfolio'!I11</f>
        <v>4.83</v>
      </c>
    </row>
    <row r="37" spans="3:18" ht="15" x14ac:dyDescent="0.25">
      <c r="C37" t="s">
        <v>39</v>
      </c>
      <c r="D37" s="6">
        <f>D36*-0.6</f>
        <v>-3.3600000000000003</v>
      </c>
      <c r="E37" s="6">
        <f t="shared" ref="E37" si="15">E36*-0.6</f>
        <v>-3.3600000000000003</v>
      </c>
      <c r="F37" s="6">
        <f t="shared" ref="F37" si="16">F36*-0.6</f>
        <v>-3.3600000000000003</v>
      </c>
      <c r="G37" s="6">
        <f t="shared" ref="G37" si="17">G36*-0.6</f>
        <v>0</v>
      </c>
      <c r="H37" s="6">
        <f t="shared" ref="H37" si="18">H36*-0.6</f>
        <v>0</v>
      </c>
      <c r="I37" s="6"/>
      <c r="K37" t="s">
        <v>39</v>
      </c>
      <c r="L37" s="6">
        <f>L36*-0.6</f>
        <v>-1.4490000000000001</v>
      </c>
      <c r="M37" s="6">
        <f t="shared" ref="M37:P37" si="19">M36*-0.6</f>
        <v>-1.9319999999999999</v>
      </c>
      <c r="N37" s="6">
        <f t="shared" si="19"/>
        <v>-3.8639999999999999</v>
      </c>
      <c r="O37" s="6">
        <f t="shared" si="19"/>
        <v>-3.8639999999999999</v>
      </c>
      <c r="P37" s="6">
        <f t="shared" si="19"/>
        <v>-3.8639999999999999</v>
      </c>
      <c r="Q37" s="6"/>
    </row>
    <row r="38" spans="3:18" ht="15" x14ac:dyDescent="0.25">
      <c r="C38" t="s">
        <v>92</v>
      </c>
      <c r="D38" s="6">
        <f>D46</f>
        <v>0</v>
      </c>
      <c r="E38" s="6">
        <f t="shared" ref="E38:I38" si="20">E46</f>
        <v>0.67200000000000004</v>
      </c>
      <c r="F38" s="6">
        <f t="shared" si="20"/>
        <v>1.3440000000000001</v>
      </c>
      <c r="G38" s="6">
        <f t="shared" si="20"/>
        <v>2.016</v>
      </c>
      <c r="H38" s="6">
        <f t="shared" si="20"/>
        <v>2.016</v>
      </c>
      <c r="I38" s="6">
        <f t="shared" si="20"/>
        <v>2.016</v>
      </c>
      <c r="K38" t="s">
        <v>92</v>
      </c>
      <c r="L38" s="6">
        <f>L47</f>
        <v>0</v>
      </c>
      <c r="M38" s="6">
        <f t="shared" ref="M38:R38" si="21">M47</f>
        <v>0.2898</v>
      </c>
      <c r="N38" s="6">
        <f t="shared" si="21"/>
        <v>0.67619999999999991</v>
      </c>
      <c r="O38" s="6">
        <f t="shared" si="21"/>
        <v>1.0625999999999998</v>
      </c>
      <c r="P38" s="6">
        <f t="shared" si="21"/>
        <v>1.8353999999999997</v>
      </c>
      <c r="Q38" s="6">
        <f t="shared" si="21"/>
        <v>2.6081999999999996</v>
      </c>
      <c r="R38" s="6">
        <f t="shared" si="21"/>
        <v>1.8353999999999997</v>
      </c>
    </row>
    <row r="39" spans="3:18" ht="15" x14ac:dyDescent="0.25">
      <c r="D39" s="6"/>
      <c r="E39" s="6"/>
      <c r="F39" s="6"/>
      <c r="G39" s="6"/>
      <c r="H39" s="6"/>
      <c r="I39" s="6"/>
      <c r="L39" s="6"/>
      <c r="M39" s="6"/>
      <c r="N39" s="6"/>
      <c r="O39" s="6"/>
      <c r="P39" s="6"/>
      <c r="Q39" s="6"/>
    </row>
    <row r="40" spans="3:18" ht="15" x14ac:dyDescent="0.25">
      <c r="D40" s="6"/>
      <c r="E40" s="6"/>
      <c r="F40" s="6"/>
      <c r="G40" s="6"/>
      <c r="H40" s="6"/>
      <c r="I40" s="6"/>
      <c r="L40" s="6"/>
      <c r="M40" s="6"/>
      <c r="N40" s="6"/>
      <c r="O40" s="6"/>
      <c r="P40" s="6"/>
      <c r="Q40" s="6"/>
    </row>
    <row r="41" spans="3:18" ht="15" x14ac:dyDescent="0.25">
      <c r="C41" t="s">
        <v>41</v>
      </c>
      <c r="D41" s="6"/>
      <c r="E41" s="6">
        <f>-D37/5</f>
        <v>0.67200000000000004</v>
      </c>
      <c r="F41" s="6">
        <f>E41</f>
        <v>0.67200000000000004</v>
      </c>
      <c r="G41" s="6">
        <f t="shared" ref="G41:I41" si="22">F41</f>
        <v>0.67200000000000004</v>
      </c>
      <c r="H41" s="6">
        <f t="shared" si="22"/>
        <v>0.67200000000000004</v>
      </c>
      <c r="I41" s="6">
        <f t="shared" si="22"/>
        <v>0.67200000000000004</v>
      </c>
      <c r="K41" t="s">
        <v>41</v>
      </c>
      <c r="L41" s="6"/>
      <c r="M41" s="6">
        <f>-L37/5</f>
        <v>0.2898</v>
      </c>
      <c r="N41" s="6">
        <f>M41</f>
        <v>0.2898</v>
      </c>
      <c r="O41" s="6">
        <f t="shared" ref="O41" si="23">N41</f>
        <v>0.2898</v>
      </c>
      <c r="P41" s="6">
        <f t="shared" ref="P41" si="24">O41</f>
        <v>0.2898</v>
      </c>
      <c r="Q41" s="6">
        <f t="shared" ref="Q41:R41" si="25">P41</f>
        <v>0.2898</v>
      </c>
      <c r="R41" s="6">
        <f t="shared" si="25"/>
        <v>0.2898</v>
      </c>
    </row>
    <row r="42" spans="3:18" x14ac:dyDescent="0.35">
      <c r="C42" t="s">
        <v>42</v>
      </c>
      <c r="D42" s="6"/>
      <c r="E42" s="6"/>
      <c r="F42" s="6">
        <f>-E37/5</f>
        <v>0.67200000000000004</v>
      </c>
      <c r="G42" s="6">
        <f>F42</f>
        <v>0.67200000000000004</v>
      </c>
      <c r="H42" s="6">
        <f>G42</f>
        <v>0.67200000000000004</v>
      </c>
      <c r="I42" s="6">
        <f>H42</f>
        <v>0.67200000000000004</v>
      </c>
      <c r="K42" t="s">
        <v>42</v>
      </c>
      <c r="L42" s="6"/>
      <c r="M42" s="6"/>
      <c r="N42" s="6">
        <f>-M37/5</f>
        <v>0.38639999999999997</v>
      </c>
      <c r="O42" s="6">
        <f>N42</f>
        <v>0.38639999999999997</v>
      </c>
      <c r="P42" s="6">
        <f>O42</f>
        <v>0.38639999999999997</v>
      </c>
      <c r="Q42" s="6">
        <f>P42</f>
        <v>0.38639999999999997</v>
      </c>
      <c r="R42" s="6">
        <f>Q42</f>
        <v>0.38639999999999997</v>
      </c>
    </row>
    <row r="43" spans="3:18" x14ac:dyDescent="0.35">
      <c r="C43" t="s">
        <v>43</v>
      </c>
      <c r="D43" s="6"/>
      <c r="E43" s="6"/>
      <c r="F43" s="6"/>
      <c r="G43" s="6">
        <f>G42</f>
        <v>0.67200000000000004</v>
      </c>
      <c r="H43" s="6">
        <f>G43</f>
        <v>0.67200000000000004</v>
      </c>
      <c r="I43" s="6">
        <f>H43</f>
        <v>0.67200000000000004</v>
      </c>
      <c r="K43" t="s">
        <v>43</v>
      </c>
      <c r="L43" s="6"/>
      <c r="M43" s="6"/>
      <c r="N43" s="6"/>
      <c r="O43" s="6">
        <f>O42</f>
        <v>0.38639999999999997</v>
      </c>
      <c r="P43" s="6">
        <f>O43</f>
        <v>0.38639999999999997</v>
      </c>
      <c r="Q43" s="6">
        <f>P43</f>
        <v>0.38639999999999997</v>
      </c>
      <c r="R43" s="6">
        <f>Q43</f>
        <v>0.38639999999999997</v>
      </c>
    </row>
    <row r="44" spans="3:18" x14ac:dyDescent="0.35">
      <c r="C44" t="s">
        <v>44</v>
      </c>
      <c r="D44" s="6"/>
      <c r="E44" s="6"/>
      <c r="F44" s="6"/>
      <c r="G44" s="6"/>
      <c r="H44" s="6"/>
      <c r="I44" s="6"/>
      <c r="K44" t="s">
        <v>44</v>
      </c>
      <c r="L44" s="6"/>
      <c r="M44" s="6"/>
      <c r="N44" s="6"/>
      <c r="O44" s="6"/>
      <c r="P44" s="6">
        <f>-O37/5</f>
        <v>0.77279999999999993</v>
      </c>
      <c r="Q44" s="6">
        <f>P44</f>
        <v>0.77279999999999993</v>
      </c>
      <c r="R44" s="6">
        <f>Q44</f>
        <v>0.77279999999999993</v>
      </c>
    </row>
    <row r="45" spans="3:18" x14ac:dyDescent="0.35">
      <c r="D45" s="6"/>
      <c r="E45" s="6"/>
      <c r="F45" s="6"/>
      <c r="G45" s="6"/>
      <c r="H45" s="6"/>
      <c r="I45" s="6"/>
      <c r="K45" t="s">
        <v>93</v>
      </c>
      <c r="L45" s="6"/>
      <c r="M45" s="6"/>
      <c r="N45" s="6"/>
      <c r="O45" s="6"/>
      <c r="P45" s="6"/>
      <c r="Q45" s="6">
        <f>-P37/5</f>
        <v>0.77279999999999993</v>
      </c>
      <c r="R45" s="6">
        <f>-Q37/5</f>
        <v>0</v>
      </c>
    </row>
    <row r="46" spans="3:18" x14ac:dyDescent="0.35">
      <c r="C46" s="28" t="s">
        <v>45</v>
      </c>
      <c r="D46" s="31">
        <f>SUM(D41:D44)</f>
        <v>0</v>
      </c>
      <c r="E46" s="31">
        <f>SUM(E41:E45)</f>
        <v>0.67200000000000004</v>
      </c>
      <c r="F46" s="31">
        <f t="shared" ref="F46" si="26">SUM(F41:F45)</f>
        <v>1.3440000000000001</v>
      </c>
      <c r="G46" s="31">
        <f t="shared" ref="G46" si="27">SUM(G41:G45)</f>
        <v>2.016</v>
      </c>
      <c r="H46" s="31">
        <f t="shared" ref="H46" si="28">SUM(H41:H45)</f>
        <v>2.016</v>
      </c>
      <c r="I46" s="31">
        <f t="shared" ref="I46" si="29">SUM(I41:I45)</f>
        <v>2.016</v>
      </c>
      <c r="K46" t="s">
        <v>94</v>
      </c>
      <c r="L46" s="6"/>
      <c r="M46" s="6"/>
      <c r="N46" s="6"/>
      <c r="O46" s="6"/>
      <c r="P46" s="6"/>
      <c r="Q46" s="6"/>
    </row>
    <row r="47" spans="3:18" x14ac:dyDescent="0.35">
      <c r="K47" s="28" t="s">
        <v>45</v>
      </c>
      <c r="L47" s="31">
        <f>SUM(L41:L44)</f>
        <v>0</v>
      </c>
      <c r="M47" s="31">
        <f t="shared" ref="M47:R47" si="30">SUM(M41:M46)</f>
        <v>0.2898</v>
      </c>
      <c r="N47" s="31">
        <f t="shared" si="30"/>
        <v>0.67619999999999991</v>
      </c>
      <c r="O47" s="31">
        <f t="shared" si="30"/>
        <v>1.0625999999999998</v>
      </c>
      <c r="P47" s="31">
        <f t="shared" si="30"/>
        <v>1.8353999999999997</v>
      </c>
      <c r="Q47" s="31">
        <f t="shared" si="30"/>
        <v>2.6081999999999996</v>
      </c>
      <c r="R47" s="31">
        <f t="shared" si="30"/>
        <v>1.8353999999999997</v>
      </c>
    </row>
    <row r="49" spans="3:9" x14ac:dyDescent="0.35">
      <c r="C49" s="10" t="s">
        <v>88</v>
      </c>
      <c r="D49" s="10" t="s">
        <v>10</v>
      </c>
      <c r="E49" s="10" t="s">
        <v>11</v>
      </c>
      <c r="F49" s="10" t="s">
        <v>12</v>
      </c>
      <c r="G49" s="10" t="s">
        <v>19</v>
      </c>
      <c r="H49" s="10" t="s">
        <v>20</v>
      </c>
      <c r="I49" s="10" t="s">
        <v>26</v>
      </c>
    </row>
    <row r="50" spans="3:9" x14ac:dyDescent="0.35">
      <c r="C50" t="s">
        <v>4</v>
      </c>
      <c r="D50" s="6">
        <f>'Aquisition costs'!D8</f>
        <v>0.74534800000000001</v>
      </c>
      <c r="E50" s="6">
        <f>'Aquisition costs'!E8</f>
        <v>0.74534800000000001</v>
      </c>
      <c r="F50" s="6">
        <f>'Aquisition costs'!F8</f>
        <v>0.74534800000000001</v>
      </c>
      <c r="G50" s="6">
        <f>'45% Portfolio'!R28</f>
        <v>0</v>
      </c>
      <c r="H50" s="6">
        <f>'45% Portfolio'!S28</f>
        <v>0</v>
      </c>
      <c r="I50" s="6">
        <v>0</v>
      </c>
    </row>
    <row r="51" spans="3:9" x14ac:dyDescent="0.35">
      <c r="C51" t="s">
        <v>39</v>
      </c>
      <c r="D51" s="6">
        <f>D50*-0.6</f>
        <v>-0.44720880000000002</v>
      </c>
      <c r="E51" s="6">
        <f t="shared" ref="E51:H51" si="31">E50*-0.6</f>
        <v>-0.44720880000000002</v>
      </c>
      <c r="F51" s="6">
        <f t="shared" si="31"/>
        <v>-0.44720880000000002</v>
      </c>
      <c r="G51" s="6">
        <f t="shared" si="31"/>
        <v>0</v>
      </c>
      <c r="H51" s="6">
        <f t="shared" si="31"/>
        <v>0</v>
      </c>
      <c r="I51" s="6"/>
    </row>
    <row r="52" spans="3:9" x14ac:dyDescent="0.35">
      <c r="C52" t="s">
        <v>40</v>
      </c>
      <c r="D52" s="6">
        <f>D60</f>
        <v>0</v>
      </c>
      <c r="E52" s="6">
        <f t="shared" ref="E52:I52" si="32">E60</f>
        <v>8.9441760000000009E-2</v>
      </c>
      <c r="F52" s="6">
        <f t="shared" si="32"/>
        <v>0.17888352000000002</v>
      </c>
      <c r="G52" s="6">
        <f t="shared" si="32"/>
        <v>0.26832528</v>
      </c>
      <c r="H52" s="6">
        <f t="shared" si="32"/>
        <v>0.26832528</v>
      </c>
      <c r="I52" s="6">
        <f t="shared" si="32"/>
        <v>0.26832528</v>
      </c>
    </row>
    <row r="53" spans="3:9" x14ac:dyDescent="0.35">
      <c r="D53" s="6"/>
      <c r="E53" s="6"/>
      <c r="F53" s="6"/>
      <c r="G53" s="6"/>
      <c r="H53" s="6"/>
      <c r="I53" s="6"/>
    </row>
    <row r="54" spans="3:9" x14ac:dyDescent="0.35">
      <c r="D54" s="6"/>
      <c r="E54" s="6"/>
      <c r="F54" s="6"/>
      <c r="G54" s="6"/>
      <c r="H54" s="6"/>
      <c r="I54" s="6"/>
    </row>
    <row r="55" spans="3:9" x14ac:dyDescent="0.35">
      <c r="C55" t="s">
        <v>41</v>
      </c>
      <c r="D55" s="6"/>
      <c r="E55" s="6">
        <f>-D51/5</f>
        <v>8.9441760000000009E-2</v>
      </c>
      <c r="F55" s="6">
        <f>E55</f>
        <v>8.9441760000000009E-2</v>
      </c>
      <c r="G55" s="6">
        <f t="shared" ref="G55" si="33">F55</f>
        <v>8.9441760000000009E-2</v>
      </c>
      <c r="H55" s="6">
        <f t="shared" ref="H55" si="34">G55</f>
        <v>8.9441760000000009E-2</v>
      </c>
      <c r="I55" s="6">
        <f t="shared" ref="I55" si="35">H55</f>
        <v>8.9441760000000009E-2</v>
      </c>
    </row>
    <row r="56" spans="3:9" x14ac:dyDescent="0.35">
      <c r="C56" t="s">
        <v>42</v>
      </c>
      <c r="D56" s="6"/>
      <c r="E56" s="6"/>
      <c r="F56" s="6">
        <f>-E51/5</f>
        <v>8.9441760000000009E-2</v>
      </c>
      <c r="G56" s="6">
        <f>F56</f>
        <v>8.9441760000000009E-2</v>
      </c>
      <c r="H56" s="6">
        <f>G56</f>
        <v>8.9441760000000009E-2</v>
      </c>
      <c r="I56" s="6">
        <f>H56</f>
        <v>8.9441760000000009E-2</v>
      </c>
    </row>
    <row r="57" spans="3:9" x14ac:dyDescent="0.35">
      <c r="C57" t="s">
        <v>43</v>
      </c>
      <c r="D57" s="6"/>
      <c r="E57" s="6"/>
      <c r="F57" s="6"/>
      <c r="G57" s="6">
        <f>G56</f>
        <v>8.9441760000000009E-2</v>
      </c>
      <c r="H57" s="6">
        <f>G57</f>
        <v>8.9441760000000009E-2</v>
      </c>
      <c r="I57" s="6">
        <f>H57</f>
        <v>8.9441760000000009E-2</v>
      </c>
    </row>
    <row r="58" spans="3:9" x14ac:dyDescent="0.35">
      <c r="C58" t="s">
        <v>44</v>
      </c>
      <c r="D58" s="6"/>
      <c r="E58" s="6"/>
      <c r="F58" s="6"/>
      <c r="G58" s="6"/>
      <c r="H58" s="6"/>
      <c r="I58" s="6"/>
    </row>
    <row r="59" spans="3:9" x14ac:dyDescent="0.35">
      <c r="D59" s="6"/>
      <c r="E59" s="6"/>
      <c r="F59" s="6"/>
      <c r="G59" s="6"/>
      <c r="H59" s="6"/>
      <c r="I59" s="6"/>
    </row>
    <row r="60" spans="3:9" x14ac:dyDescent="0.35">
      <c r="C60" s="28" t="s">
        <v>45</v>
      </c>
      <c r="D60" s="31">
        <f>SUM(D55:D58)</f>
        <v>0</v>
      </c>
      <c r="E60" s="31">
        <f>SUM(E55:E59)</f>
        <v>8.9441760000000009E-2</v>
      </c>
      <c r="F60" s="31">
        <f t="shared" ref="F60:I60" si="36">SUM(F55:F59)</f>
        <v>0.17888352000000002</v>
      </c>
      <c r="G60" s="31">
        <f t="shared" si="36"/>
        <v>0.26832528</v>
      </c>
      <c r="H60" s="31">
        <f t="shared" si="36"/>
        <v>0.26832528</v>
      </c>
      <c r="I60" s="31">
        <f t="shared" si="36"/>
        <v>0.26832528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R39"/>
  <sheetViews>
    <sheetView workbookViewId="0">
      <selection activeCell="J15" sqref="J15"/>
    </sheetView>
  </sheetViews>
  <sheetFormatPr defaultRowHeight="14.5" x14ac:dyDescent="0.35"/>
  <cols>
    <col min="1" max="1" width="19.54296875" bestFit="1" customWidth="1"/>
    <col min="2" max="4" width="5.6328125" bestFit="1" customWidth="1"/>
    <col min="5" max="5" width="12.54296875" bestFit="1" customWidth="1"/>
    <col min="6" max="9" width="6.6328125" bestFit="1" customWidth="1"/>
    <col min="10" max="13" width="5.7265625" bestFit="1" customWidth="1"/>
  </cols>
  <sheetData>
    <row r="4" spans="1:16" ht="15" x14ac:dyDescent="0.25">
      <c r="B4" t="s">
        <v>70</v>
      </c>
      <c r="C4" t="s">
        <v>69</v>
      </c>
      <c r="D4" t="s">
        <v>68</v>
      </c>
      <c r="E4" t="s">
        <v>9</v>
      </c>
      <c r="F4" t="s">
        <v>10</v>
      </c>
      <c r="G4" t="s">
        <v>11</v>
      </c>
      <c r="H4" t="s">
        <v>12</v>
      </c>
      <c r="I4" t="s">
        <v>19</v>
      </c>
    </row>
    <row r="5" spans="1:16" ht="15" x14ac:dyDescent="0.25">
      <c r="E5" t="s">
        <v>59</v>
      </c>
    </row>
    <row r="6" spans="1:16" x14ac:dyDescent="0.35">
      <c r="A6" s="10" t="s">
        <v>58</v>
      </c>
      <c r="B6" s="10">
        <v>20</v>
      </c>
      <c r="C6" s="10">
        <v>20</v>
      </c>
      <c r="D6" s="10">
        <v>20</v>
      </c>
      <c r="E6" s="42">
        <v>20</v>
      </c>
      <c r="F6" s="42">
        <v>18</v>
      </c>
      <c r="G6" s="42">
        <v>16</v>
      </c>
      <c r="H6" s="42">
        <v>14</v>
      </c>
      <c r="I6" s="42">
        <v>12</v>
      </c>
      <c r="J6" s="42">
        <v>10</v>
      </c>
      <c r="K6" s="42">
        <v>10</v>
      </c>
      <c r="L6" s="42">
        <v>10</v>
      </c>
      <c r="M6" s="10"/>
      <c r="P6" t="s">
        <v>105</v>
      </c>
    </row>
    <row r="7" spans="1:16" ht="15" x14ac:dyDescent="0.25">
      <c r="A7" t="s">
        <v>73</v>
      </c>
      <c r="B7" s="30">
        <f>B6/4</f>
        <v>5</v>
      </c>
      <c r="C7" s="30">
        <f>B7</f>
        <v>5</v>
      </c>
      <c r="D7" s="30">
        <f t="shared" ref="D7:E7" si="0">C7</f>
        <v>5</v>
      </c>
      <c r="E7" s="30">
        <f t="shared" si="0"/>
        <v>5</v>
      </c>
      <c r="F7" s="30"/>
      <c r="G7" s="30"/>
      <c r="H7" s="30"/>
      <c r="I7" s="30"/>
      <c r="J7" s="30"/>
      <c r="K7" s="30"/>
      <c r="L7" s="30"/>
      <c r="M7" s="30"/>
    </row>
    <row r="8" spans="1:16" ht="15" x14ac:dyDescent="0.25">
      <c r="A8" t="s">
        <v>72</v>
      </c>
      <c r="B8" s="30"/>
      <c r="C8" s="30">
        <f>C6/4</f>
        <v>5</v>
      </c>
      <c r="D8" s="30">
        <f t="shared" ref="D8:E8" si="1">D6/4</f>
        <v>5</v>
      </c>
      <c r="E8" s="30">
        <f t="shared" si="1"/>
        <v>5</v>
      </c>
      <c r="F8" s="30">
        <f>E8</f>
        <v>5</v>
      </c>
      <c r="G8" s="30"/>
      <c r="H8" s="30"/>
      <c r="I8" s="30"/>
      <c r="J8" s="30"/>
      <c r="K8" s="30"/>
      <c r="L8" s="30"/>
      <c r="M8" s="30"/>
    </row>
    <row r="9" spans="1:16" ht="15" x14ac:dyDescent="0.25">
      <c r="A9" t="s">
        <v>71</v>
      </c>
      <c r="B9" s="30"/>
      <c r="C9" s="30"/>
      <c r="D9" s="30">
        <f>D6/4</f>
        <v>5</v>
      </c>
      <c r="E9" s="30">
        <f>D9</f>
        <v>5</v>
      </c>
      <c r="F9" s="30">
        <f t="shared" ref="F9:G9" si="2">E9</f>
        <v>5</v>
      </c>
      <c r="G9" s="30">
        <f t="shared" si="2"/>
        <v>5</v>
      </c>
      <c r="H9" s="30"/>
      <c r="I9" s="30"/>
      <c r="J9" s="30"/>
      <c r="K9" s="30"/>
      <c r="L9" s="30"/>
      <c r="M9" s="30"/>
    </row>
    <row r="10" spans="1:16" ht="15" x14ac:dyDescent="0.25">
      <c r="A10" t="s">
        <v>60</v>
      </c>
      <c r="B10" s="30"/>
      <c r="C10" s="30"/>
      <c r="D10" s="30"/>
      <c r="E10" s="30">
        <f>E6/4</f>
        <v>5</v>
      </c>
      <c r="F10" s="30">
        <f>E10</f>
        <v>5</v>
      </c>
      <c r="G10" s="30">
        <f t="shared" ref="G10:H10" si="3">F10</f>
        <v>5</v>
      </c>
      <c r="H10" s="30">
        <f t="shared" si="3"/>
        <v>5</v>
      </c>
      <c r="I10" s="30"/>
      <c r="J10" s="30"/>
      <c r="K10" s="30"/>
      <c r="L10" s="30"/>
      <c r="M10" s="30"/>
    </row>
    <row r="11" spans="1:16" ht="15" x14ac:dyDescent="0.25">
      <c r="A11" t="s">
        <v>61</v>
      </c>
      <c r="B11" s="30"/>
      <c r="C11" s="30"/>
      <c r="D11" s="30"/>
      <c r="E11" s="30"/>
      <c r="F11" s="30">
        <f>F6/4</f>
        <v>4.5</v>
      </c>
      <c r="G11" s="30">
        <f>F11</f>
        <v>4.5</v>
      </c>
      <c r="H11" s="30">
        <f>G11</f>
        <v>4.5</v>
      </c>
      <c r="I11" s="30">
        <f>H11</f>
        <v>4.5</v>
      </c>
      <c r="J11" s="30"/>
      <c r="K11" s="30"/>
      <c r="L11" s="30"/>
      <c r="M11" s="30"/>
    </row>
    <row r="12" spans="1:16" ht="15" x14ac:dyDescent="0.25">
      <c r="A12" t="s">
        <v>62</v>
      </c>
      <c r="B12" s="30"/>
      <c r="C12" s="30"/>
      <c r="D12" s="30"/>
      <c r="E12" s="30"/>
      <c r="F12" s="30"/>
      <c r="G12" s="30">
        <f>G6/4</f>
        <v>4</v>
      </c>
      <c r="H12" s="30">
        <f>G12</f>
        <v>4</v>
      </c>
      <c r="I12" s="30">
        <f>H12</f>
        <v>4</v>
      </c>
      <c r="J12" s="30">
        <f>I12</f>
        <v>4</v>
      </c>
      <c r="K12" s="30"/>
      <c r="L12" s="30"/>
      <c r="M12" s="30"/>
    </row>
    <row r="13" spans="1:16" ht="15" x14ac:dyDescent="0.25">
      <c r="A13" t="s">
        <v>63</v>
      </c>
      <c r="B13" s="30"/>
      <c r="C13" s="30"/>
      <c r="D13" s="30"/>
      <c r="E13" s="30"/>
      <c r="F13" s="30"/>
      <c r="G13" s="30"/>
      <c r="H13" s="30">
        <f>H6/4</f>
        <v>3.5</v>
      </c>
      <c r="I13" s="30">
        <f>H13</f>
        <v>3.5</v>
      </c>
      <c r="J13" s="30">
        <f t="shared" ref="J13:K13" si="4">I13</f>
        <v>3.5</v>
      </c>
      <c r="K13" s="30">
        <f t="shared" si="4"/>
        <v>3.5</v>
      </c>
      <c r="L13" s="30"/>
      <c r="M13" s="30"/>
    </row>
    <row r="14" spans="1:16" ht="15" x14ac:dyDescent="0.25">
      <c r="A14" t="s">
        <v>64</v>
      </c>
      <c r="B14" s="30"/>
      <c r="C14" s="30"/>
      <c r="D14" s="30"/>
      <c r="E14" s="30"/>
      <c r="F14" s="30"/>
      <c r="G14" s="30"/>
      <c r="H14" s="30"/>
      <c r="I14" s="30">
        <f>I6/4</f>
        <v>3</v>
      </c>
      <c r="J14" s="30">
        <f>I14</f>
        <v>3</v>
      </c>
      <c r="K14" s="30">
        <f t="shared" ref="K14:L14" si="5">J14</f>
        <v>3</v>
      </c>
      <c r="L14" s="30">
        <f t="shared" si="5"/>
        <v>3</v>
      </c>
      <c r="M14" s="30"/>
    </row>
    <row r="15" spans="1:16" ht="15" x14ac:dyDescent="0.25">
      <c r="A15" t="s">
        <v>89</v>
      </c>
      <c r="B15" s="30"/>
      <c r="C15" s="30"/>
      <c r="D15" s="30"/>
      <c r="E15" s="30"/>
      <c r="F15" s="30"/>
      <c r="G15" s="30"/>
      <c r="H15" s="30"/>
      <c r="I15" s="30"/>
      <c r="J15" s="30">
        <f>J6/4</f>
        <v>2.5</v>
      </c>
      <c r="K15" s="30">
        <f>J15</f>
        <v>2.5</v>
      </c>
      <c r="L15" s="30">
        <f t="shared" ref="L15:M15" si="6">K15</f>
        <v>2.5</v>
      </c>
      <c r="M15" s="30">
        <f t="shared" si="6"/>
        <v>2.5</v>
      </c>
    </row>
    <row r="16" spans="1:16" ht="15" x14ac:dyDescent="0.25">
      <c r="A16" t="s">
        <v>45</v>
      </c>
      <c r="B16" s="30"/>
      <c r="C16" s="30"/>
      <c r="D16" s="30"/>
      <c r="E16" s="30">
        <f>SUM(E7:E14)</f>
        <v>20</v>
      </c>
      <c r="F16" s="30">
        <f t="shared" ref="F16:H16" si="7">SUM(F7:F14)</f>
        <v>19.5</v>
      </c>
      <c r="G16" s="30">
        <f>SUM(G7:G14)</f>
        <v>18.5</v>
      </c>
      <c r="H16" s="30">
        <f t="shared" si="7"/>
        <v>17</v>
      </c>
      <c r="I16" s="30">
        <f>SUM(I7:I14)</f>
        <v>15</v>
      </c>
      <c r="J16" s="30">
        <f t="shared" ref="J16:M16" si="8">SUM(J7:J14)</f>
        <v>10.5</v>
      </c>
      <c r="K16" s="30">
        <f t="shared" si="8"/>
        <v>6.5</v>
      </c>
      <c r="L16" s="30">
        <f t="shared" si="8"/>
        <v>3</v>
      </c>
      <c r="M16" s="30">
        <f t="shared" si="8"/>
        <v>0</v>
      </c>
    </row>
    <row r="17" spans="1:18" x14ac:dyDescent="0.3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</row>
    <row r="18" spans="1:18" ht="15" x14ac:dyDescent="0.25">
      <c r="A18" t="s">
        <v>65</v>
      </c>
      <c r="B18" s="30"/>
      <c r="C18" s="30"/>
      <c r="D18" s="30"/>
      <c r="E18" s="30">
        <f>E6</f>
        <v>20</v>
      </c>
      <c r="F18" s="30">
        <f t="shared" ref="F18:M18" si="9">F6</f>
        <v>18</v>
      </c>
      <c r="G18" s="30">
        <f t="shared" si="9"/>
        <v>16</v>
      </c>
      <c r="H18" s="30">
        <f t="shared" si="9"/>
        <v>14</v>
      </c>
      <c r="I18" s="30">
        <f t="shared" si="9"/>
        <v>12</v>
      </c>
      <c r="J18" s="30">
        <f t="shared" si="9"/>
        <v>10</v>
      </c>
      <c r="K18" s="30">
        <f t="shared" si="9"/>
        <v>10</v>
      </c>
      <c r="L18" s="30">
        <f t="shared" si="9"/>
        <v>10</v>
      </c>
      <c r="M18" s="30">
        <f t="shared" si="9"/>
        <v>0</v>
      </c>
    </row>
    <row r="19" spans="1:18" ht="15" x14ac:dyDescent="0.25">
      <c r="A19" t="s">
        <v>66</v>
      </c>
      <c r="B19" s="30"/>
      <c r="C19" s="30"/>
      <c r="D19" s="30"/>
      <c r="E19" s="30">
        <f>E16-E6</f>
        <v>0</v>
      </c>
      <c r="F19" s="30">
        <f>F16-F6</f>
        <v>1.5</v>
      </c>
      <c r="G19" s="30">
        <f>G16-G6</f>
        <v>2.5</v>
      </c>
      <c r="H19" s="30">
        <f>H16-H6</f>
        <v>3</v>
      </c>
      <c r="I19" s="30">
        <f>I16-I6</f>
        <v>3</v>
      </c>
      <c r="J19" s="30"/>
      <c r="K19" s="30"/>
      <c r="L19" s="30"/>
      <c r="M19" s="30"/>
      <c r="R19">
        <f>'Aquisition costs'!C26/20</f>
        <v>0.2</v>
      </c>
    </row>
    <row r="20" spans="1:18" ht="15" x14ac:dyDescent="0.25">
      <c r="A20" t="s">
        <v>67</v>
      </c>
      <c r="B20" s="30"/>
      <c r="C20" s="30"/>
      <c r="D20" s="30"/>
      <c r="E20" s="65">
        <f>E18+E19</f>
        <v>20</v>
      </c>
      <c r="F20" s="65">
        <f t="shared" ref="F20:M20" si="10">F18+F19</f>
        <v>19.5</v>
      </c>
      <c r="G20" s="65">
        <f t="shared" si="10"/>
        <v>18.5</v>
      </c>
      <c r="H20" s="65">
        <f t="shared" si="10"/>
        <v>17</v>
      </c>
      <c r="I20" s="65">
        <f t="shared" si="10"/>
        <v>15</v>
      </c>
      <c r="J20" s="65">
        <f t="shared" si="10"/>
        <v>10</v>
      </c>
      <c r="K20" s="65">
        <f t="shared" si="10"/>
        <v>10</v>
      </c>
      <c r="L20" s="65">
        <f t="shared" si="10"/>
        <v>10</v>
      </c>
      <c r="M20" s="65">
        <f t="shared" si="10"/>
        <v>0</v>
      </c>
    </row>
    <row r="24" spans="1:18" x14ac:dyDescent="0.35">
      <c r="B24" t="s">
        <v>70</v>
      </c>
      <c r="C24" t="s">
        <v>69</v>
      </c>
      <c r="D24" t="s">
        <v>68</v>
      </c>
      <c r="E24" t="s">
        <v>9</v>
      </c>
      <c r="F24" t="s">
        <v>10</v>
      </c>
      <c r="G24" t="s">
        <v>11</v>
      </c>
      <c r="H24" t="s">
        <v>12</v>
      </c>
      <c r="I24" t="s">
        <v>19</v>
      </c>
    </row>
    <row r="25" spans="1:18" x14ac:dyDescent="0.35">
      <c r="E25" t="s">
        <v>59</v>
      </c>
    </row>
    <row r="26" spans="1:18" x14ac:dyDescent="0.35">
      <c r="A26" s="10" t="s">
        <v>58</v>
      </c>
      <c r="B26" s="10">
        <v>2</v>
      </c>
      <c r="C26" s="10">
        <v>2</v>
      </c>
      <c r="D26" s="10">
        <v>2</v>
      </c>
      <c r="E26" s="42">
        <v>2</v>
      </c>
      <c r="F26" s="42">
        <v>1.5</v>
      </c>
      <c r="G26" s="42">
        <v>1</v>
      </c>
      <c r="H26" s="42">
        <v>0.5</v>
      </c>
      <c r="I26" s="30">
        <v>0</v>
      </c>
    </row>
    <row r="27" spans="1:18" x14ac:dyDescent="0.35">
      <c r="A27" t="s">
        <v>73</v>
      </c>
      <c r="B27">
        <f>B26/4</f>
        <v>0.5</v>
      </c>
      <c r="C27">
        <f>B27</f>
        <v>0.5</v>
      </c>
      <c r="D27">
        <f t="shared" ref="D27" si="11">C27</f>
        <v>0.5</v>
      </c>
      <c r="E27">
        <f t="shared" ref="E27" si="12">D27</f>
        <v>0.5</v>
      </c>
      <c r="F27" s="30"/>
      <c r="G27" s="30"/>
      <c r="H27" s="30"/>
      <c r="I27" s="30"/>
    </row>
    <row r="28" spans="1:18" x14ac:dyDescent="0.35">
      <c r="A28" t="s">
        <v>72</v>
      </c>
      <c r="C28">
        <f>C26/4</f>
        <v>0.5</v>
      </c>
      <c r="D28">
        <f t="shared" ref="D28:E28" si="13">D26/4</f>
        <v>0.5</v>
      </c>
      <c r="E28">
        <f t="shared" si="13"/>
        <v>0.5</v>
      </c>
      <c r="F28">
        <f>E28</f>
        <v>0.5</v>
      </c>
      <c r="G28" s="30"/>
      <c r="H28" s="30"/>
      <c r="I28" s="30"/>
    </row>
    <row r="29" spans="1:18" x14ac:dyDescent="0.35">
      <c r="A29" t="s">
        <v>71</v>
      </c>
      <c r="D29">
        <f>D26/4</f>
        <v>0.5</v>
      </c>
      <c r="E29" s="30">
        <f>D29</f>
        <v>0.5</v>
      </c>
      <c r="F29" s="30">
        <f t="shared" ref="F29" si="14">E29</f>
        <v>0.5</v>
      </c>
      <c r="G29" s="30">
        <f t="shared" ref="G29:G30" si="15">F29</f>
        <v>0.5</v>
      </c>
      <c r="H29" s="30"/>
      <c r="I29" s="30"/>
    </row>
    <row r="30" spans="1:18" x14ac:dyDescent="0.35">
      <c r="A30" t="s">
        <v>60</v>
      </c>
      <c r="E30" s="30">
        <f>E26/4</f>
        <v>0.5</v>
      </c>
      <c r="F30" s="30">
        <f>E30</f>
        <v>0.5</v>
      </c>
      <c r="G30" s="30">
        <f t="shared" si="15"/>
        <v>0.5</v>
      </c>
      <c r="H30" s="30">
        <f t="shared" ref="H30" si="16">G30</f>
        <v>0.5</v>
      </c>
      <c r="I30" s="30"/>
    </row>
    <row r="31" spans="1:18" x14ac:dyDescent="0.35">
      <c r="A31" t="s">
        <v>61</v>
      </c>
      <c r="E31" s="30"/>
      <c r="F31" s="43">
        <f>F26/4</f>
        <v>0.375</v>
      </c>
      <c r="G31" s="30">
        <f>F31</f>
        <v>0.375</v>
      </c>
      <c r="H31" s="30">
        <f>G31</f>
        <v>0.375</v>
      </c>
      <c r="I31" s="30">
        <f>H31</f>
        <v>0.375</v>
      </c>
    </row>
    <row r="32" spans="1:18" x14ac:dyDescent="0.35">
      <c r="A32" t="s">
        <v>62</v>
      </c>
      <c r="E32" s="30"/>
      <c r="F32" s="30"/>
      <c r="G32" s="43">
        <f>G26/4</f>
        <v>0.25</v>
      </c>
      <c r="H32" s="30">
        <f>G32</f>
        <v>0.25</v>
      </c>
      <c r="I32" s="30">
        <f>H32</f>
        <v>0.25</v>
      </c>
    </row>
    <row r="33" spans="1:9" x14ac:dyDescent="0.35">
      <c r="A33" t="s">
        <v>63</v>
      </c>
      <c r="E33" s="30"/>
      <c r="F33" s="30"/>
      <c r="G33" s="30"/>
      <c r="H33" s="43">
        <f>H26/4</f>
        <v>0.125</v>
      </c>
      <c r="I33" s="30">
        <f>H33</f>
        <v>0.125</v>
      </c>
    </row>
    <row r="34" spans="1:9" x14ac:dyDescent="0.35">
      <c r="A34" t="s">
        <v>64</v>
      </c>
      <c r="E34" s="30"/>
      <c r="F34" s="30"/>
      <c r="G34" s="30"/>
      <c r="H34" s="30"/>
      <c r="I34" s="43">
        <f>I26/4</f>
        <v>0</v>
      </c>
    </row>
    <row r="35" spans="1:9" x14ac:dyDescent="0.35">
      <c r="A35" t="s">
        <v>45</v>
      </c>
      <c r="E35" s="30">
        <f>SUM(E27:E34)</f>
        <v>2</v>
      </c>
      <c r="F35" s="30">
        <f t="shared" ref="F35:I35" si="17">SUM(F27:F34)</f>
        <v>1.875</v>
      </c>
      <c r="G35" s="30">
        <f t="shared" si="17"/>
        <v>1.625</v>
      </c>
      <c r="H35" s="30">
        <f t="shared" si="17"/>
        <v>1.25</v>
      </c>
      <c r="I35" s="30">
        <f t="shared" si="17"/>
        <v>0.75</v>
      </c>
    </row>
    <row r="37" spans="1:9" x14ac:dyDescent="0.35">
      <c r="A37" t="s">
        <v>65</v>
      </c>
      <c r="E37" s="40">
        <f>E26</f>
        <v>2</v>
      </c>
      <c r="F37" s="40">
        <f t="shared" ref="F37:I37" si="18">F26</f>
        <v>1.5</v>
      </c>
      <c r="G37" s="40">
        <f t="shared" si="18"/>
        <v>1</v>
      </c>
      <c r="H37" s="40">
        <f t="shared" si="18"/>
        <v>0.5</v>
      </c>
      <c r="I37" s="40">
        <f t="shared" si="18"/>
        <v>0</v>
      </c>
    </row>
    <row r="38" spans="1:9" x14ac:dyDescent="0.35">
      <c r="A38" t="s">
        <v>66</v>
      </c>
      <c r="E38" s="40">
        <f>E35-E26</f>
        <v>0</v>
      </c>
      <c r="F38" s="40">
        <f>F35-F26</f>
        <v>0.375</v>
      </c>
      <c r="G38" s="40">
        <f>G35-G26</f>
        <v>0.625</v>
      </c>
      <c r="H38" s="40">
        <f>H35-H26</f>
        <v>0.75</v>
      </c>
      <c r="I38" s="40">
        <f>I35-I26</f>
        <v>0.75</v>
      </c>
    </row>
    <row r="39" spans="1:9" x14ac:dyDescent="0.35">
      <c r="A39" t="s">
        <v>67</v>
      </c>
      <c r="E39" s="41">
        <f>E37+E38</f>
        <v>2</v>
      </c>
      <c r="F39" s="41">
        <f t="shared" ref="F39:I39" si="19">F37+F38</f>
        <v>1.875</v>
      </c>
      <c r="G39" s="41">
        <f t="shared" si="19"/>
        <v>1.625</v>
      </c>
      <c r="H39" s="41">
        <f t="shared" si="19"/>
        <v>1.25</v>
      </c>
      <c r="I39" s="41">
        <f t="shared" si="19"/>
        <v>0.75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6"/>
  <sheetViews>
    <sheetView showGridLines="0" workbookViewId="0">
      <selection activeCell="D12" sqref="D12"/>
    </sheetView>
  </sheetViews>
  <sheetFormatPr defaultRowHeight="14.5" x14ac:dyDescent="0.35"/>
  <cols>
    <col min="2" max="2" width="45" customWidth="1"/>
    <col min="3" max="3" width="5.7265625" bestFit="1" customWidth="1"/>
    <col min="4" max="4" width="5.6328125" bestFit="1" customWidth="1"/>
    <col min="5" max="7" width="5.6328125" customWidth="1"/>
    <col min="8" max="9" width="5.6328125" bestFit="1" customWidth="1"/>
  </cols>
  <sheetData>
    <row r="3" spans="2:9" ht="21.5" thickBot="1" x14ac:dyDescent="0.55000000000000004">
      <c r="B3" s="14" t="s">
        <v>103</v>
      </c>
      <c r="C3" s="14"/>
      <c r="D3" s="15"/>
      <c r="E3" s="15"/>
      <c r="F3" s="15"/>
      <c r="G3" s="15"/>
      <c r="H3" s="15"/>
      <c r="I3" s="15"/>
    </row>
    <row r="5" spans="2:9" x14ac:dyDescent="0.35">
      <c r="B5" s="10"/>
      <c r="C5" s="23" t="s">
        <v>9</v>
      </c>
      <c r="D5" s="23" t="s">
        <v>10</v>
      </c>
      <c r="E5" s="23" t="s">
        <v>11</v>
      </c>
      <c r="F5" s="23" t="s">
        <v>12</v>
      </c>
      <c r="G5" s="23" t="s">
        <v>19</v>
      </c>
      <c r="H5" s="23" t="s">
        <v>20</v>
      </c>
      <c r="I5" s="23" t="s">
        <v>26</v>
      </c>
    </row>
    <row r="7" spans="2:9" x14ac:dyDescent="0.35">
      <c r="B7" s="1" t="s">
        <v>5</v>
      </c>
      <c r="C7" s="1"/>
    </row>
    <row r="8" spans="2:9" x14ac:dyDescent="0.35">
      <c r="B8" s="2" t="s">
        <v>4</v>
      </c>
      <c r="C8" s="2">
        <v>0</v>
      </c>
      <c r="D8" s="21">
        <f>($C$28)*(0.8/1.8)*0.3/5</f>
        <v>0.74534800000000001</v>
      </c>
      <c r="E8" s="21">
        <f>($C$28)*(0.8/1.8)*0.3/5</f>
        <v>0.74534800000000001</v>
      </c>
      <c r="F8" s="21">
        <f>($C$28)*(0.8/1.8)*0.3/5</f>
        <v>0.74534800000000001</v>
      </c>
      <c r="G8" s="21">
        <f t="shared" ref="G8:H8" si="0">($C$28)*(0.8/1.8)*0.3/5</f>
        <v>0.74534800000000001</v>
      </c>
      <c r="H8" s="21">
        <f t="shared" si="0"/>
        <v>0.74534800000000001</v>
      </c>
      <c r="I8" s="21">
        <v>0</v>
      </c>
    </row>
    <row r="9" spans="2:9" x14ac:dyDescent="0.35">
      <c r="B9" s="2" t="s">
        <v>75</v>
      </c>
      <c r="C9" s="2">
        <v>0</v>
      </c>
      <c r="D9" s="21">
        <f>'Investment Cost'!D51+'Investment Cost'!D52</f>
        <v>-0.44720880000000002</v>
      </c>
      <c r="E9" s="21">
        <f>'Investment Cost'!E51+'Investment Cost'!E52</f>
        <v>-0.35776704000000004</v>
      </c>
      <c r="F9" s="21">
        <f>'Investment Cost'!F51+'Investment Cost'!F52</f>
        <v>-0.26832528</v>
      </c>
      <c r="G9" s="21">
        <f>'Investment Cost'!G51+'Investment Cost'!G52</f>
        <v>0.26832528</v>
      </c>
      <c r="H9" s="21">
        <f>'Investment Cost'!H51+'Investment Cost'!H52</f>
        <v>0.26832528</v>
      </c>
      <c r="I9" s="21">
        <f>'Investment Cost'!I51+'Investment Cost'!I52</f>
        <v>0.26832528</v>
      </c>
    </row>
    <row r="10" spans="2:9" x14ac:dyDescent="0.35">
      <c r="B10" s="32" t="s">
        <v>48</v>
      </c>
      <c r="C10" s="33">
        <f>C8+C9</f>
        <v>0</v>
      </c>
      <c r="D10" s="34">
        <f>D8+D9</f>
        <v>0.29813919999999999</v>
      </c>
      <c r="E10" s="34">
        <f t="shared" ref="E10:G10" si="1">E8+E9</f>
        <v>0.38758095999999997</v>
      </c>
      <c r="F10" s="34">
        <f t="shared" si="1"/>
        <v>0.47702272000000001</v>
      </c>
      <c r="G10" s="34">
        <f t="shared" si="1"/>
        <v>1.0136732799999999</v>
      </c>
      <c r="H10" s="34">
        <f t="shared" ref="H10:I10" si="2">H8+H9</f>
        <v>1.0136732799999999</v>
      </c>
      <c r="I10" s="34">
        <f t="shared" si="2"/>
        <v>0.26832528</v>
      </c>
    </row>
    <row r="11" spans="2:9" x14ac:dyDescent="0.35">
      <c r="B11" s="1" t="s">
        <v>8</v>
      </c>
      <c r="C11" s="1"/>
    </row>
    <row r="12" spans="2:9" x14ac:dyDescent="0.35">
      <c r="B12" s="44" t="s">
        <v>23</v>
      </c>
      <c r="C12" s="45">
        <v>0</v>
      </c>
      <c r="D12" s="46">
        <v>0</v>
      </c>
      <c r="E12" s="46">
        <v>0</v>
      </c>
      <c r="F12" s="46">
        <v>0</v>
      </c>
      <c r="G12" s="46">
        <f>F12</f>
        <v>0</v>
      </c>
      <c r="H12" s="46">
        <f t="shared" ref="H12:I12" si="3">G12</f>
        <v>0</v>
      </c>
      <c r="I12" s="46">
        <f t="shared" si="3"/>
        <v>0</v>
      </c>
    </row>
    <row r="13" spans="2:9" x14ac:dyDescent="0.35">
      <c r="B13" s="18" t="s">
        <v>22</v>
      </c>
      <c r="C13" s="19">
        <v>0</v>
      </c>
      <c r="D13" s="21">
        <f>D12*0.25</f>
        <v>0</v>
      </c>
      <c r="E13" s="21">
        <f t="shared" ref="E13:G13" si="4">E12*0.25</f>
        <v>0</v>
      </c>
      <c r="F13" s="21">
        <f t="shared" si="4"/>
        <v>0</v>
      </c>
      <c r="G13" s="21">
        <f t="shared" si="4"/>
        <v>0</v>
      </c>
      <c r="H13" s="21">
        <f t="shared" ref="H13:I13" si="5">H12*0.25</f>
        <v>0</v>
      </c>
      <c r="I13" s="21">
        <f t="shared" si="5"/>
        <v>0</v>
      </c>
    </row>
    <row r="14" spans="2:9" x14ac:dyDescent="0.35">
      <c r="B14" s="18" t="s">
        <v>24</v>
      </c>
      <c r="C14" s="19">
        <v>0</v>
      </c>
      <c r="D14" s="21">
        <f>2.4*12*0.35*0</f>
        <v>0</v>
      </c>
      <c r="E14" s="21">
        <f>2.4*12*0.35*0</f>
        <v>0</v>
      </c>
      <c r="F14" s="21">
        <f>2.4*12*0.35*0</f>
        <v>0</v>
      </c>
      <c r="G14" s="21">
        <f>2.4*12*0.35*0</f>
        <v>0</v>
      </c>
      <c r="H14" s="21">
        <f t="shared" ref="H14:I14" si="6">2.4*12*0.35*0</f>
        <v>0</v>
      </c>
      <c r="I14" s="21">
        <f t="shared" si="6"/>
        <v>0</v>
      </c>
    </row>
    <row r="15" spans="2:9" x14ac:dyDescent="0.35">
      <c r="B15" s="36" t="s">
        <v>21</v>
      </c>
      <c r="C15" s="37">
        <f>C12+C13+C14</f>
        <v>0</v>
      </c>
      <c r="D15" s="38">
        <f t="shared" ref="D15:G15" si="7">D12+D13+D14</f>
        <v>0</v>
      </c>
      <c r="E15" s="38">
        <f t="shared" si="7"/>
        <v>0</v>
      </c>
      <c r="F15" s="38">
        <f t="shared" si="7"/>
        <v>0</v>
      </c>
      <c r="G15" s="38">
        <f t="shared" si="7"/>
        <v>0</v>
      </c>
      <c r="H15" s="38">
        <f t="shared" ref="H15:I15" si="8">H12+H13+H14</f>
        <v>0</v>
      </c>
      <c r="I15" s="38">
        <f t="shared" si="8"/>
        <v>0</v>
      </c>
    </row>
    <row r="16" spans="2:9" x14ac:dyDescent="0.35">
      <c r="B16" s="2"/>
      <c r="C16" s="3"/>
      <c r="D16" s="3"/>
      <c r="E16" s="3"/>
      <c r="F16" s="3"/>
      <c r="G16" s="3"/>
      <c r="H16" s="3"/>
      <c r="I16" s="3"/>
    </row>
    <row r="17" spans="2:10" x14ac:dyDescent="0.35">
      <c r="B17" s="16" t="s">
        <v>7</v>
      </c>
      <c r="C17" s="17">
        <v>0</v>
      </c>
      <c r="D17" s="22">
        <v>0</v>
      </c>
      <c r="E17" s="22">
        <v>0</v>
      </c>
      <c r="F17" s="22">
        <v>0</v>
      </c>
      <c r="G17" s="22">
        <v>0</v>
      </c>
      <c r="H17" s="22">
        <v>1</v>
      </c>
      <c r="I17" s="22">
        <v>2</v>
      </c>
    </row>
    <row r="18" spans="2:10" x14ac:dyDescent="0.35">
      <c r="B18" s="2"/>
      <c r="C18" s="2"/>
    </row>
    <row r="19" spans="2:10" ht="15" thickBot="1" x14ac:dyDescent="0.4">
      <c r="B19" s="4" t="s">
        <v>6</v>
      </c>
      <c r="C19" s="48">
        <f>C17+C15+C8</f>
        <v>0</v>
      </c>
      <c r="D19" s="57">
        <f>D17+D15+D10</f>
        <v>0.29813919999999999</v>
      </c>
      <c r="E19" s="57">
        <f t="shared" ref="E19:G19" si="9">E17+E15+E10</f>
        <v>0.38758095999999997</v>
      </c>
      <c r="F19" s="57">
        <f t="shared" si="9"/>
        <v>0.47702272000000001</v>
      </c>
      <c r="G19" s="57">
        <f t="shared" si="9"/>
        <v>1.0136732799999999</v>
      </c>
      <c r="H19" s="57">
        <f t="shared" ref="H19:I19" si="10">H17+H15+H10</f>
        <v>2.0136732799999999</v>
      </c>
      <c r="I19" s="57">
        <f t="shared" si="10"/>
        <v>2.26832528</v>
      </c>
    </row>
    <row r="20" spans="2:10" x14ac:dyDescent="0.35">
      <c r="B20" s="2"/>
      <c r="C20" s="2"/>
    </row>
    <row r="21" spans="2:10" ht="21.5" thickBot="1" x14ac:dyDescent="0.55000000000000004">
      <c r="B21" s="14" t="s">
        <v>78</v>
      </c>
      <c r="C21" s="14"/>
      <c r="D21" s="15"/>
      <c r="E21" s="15"/>
      <c r="F21" s="15"/>
      <c r="G21" s="15"/>
      <c r="H21" s="15"/>
      <c r="I21" s="15"/>
    </row>
    <row r="22" spans="2:10" x14ac:dyDescent="0.35">
      <c r="B22" s="2"/>
      <c r="C22" s="2"/>
    </row>
    <row r="23" spans="2:10" x14ac:dyDescent="0.35">
      <c r="B23" s="1" t="s">
        <v>0</v>
      </c>
      <c r="C23" s="23" t="s">
        <v>9</v>
      </c>
      <c r="D23" s="23" t="s">
        <v>10</v>
      </c>
      <c r="E23" s="23" t="s">
        <v>11</v>
      </c>
      <c r="F23" s="23" t="s">
        <v>12</v>
      </c>
      <c r="G23" s="23" t="s">
        <v>19</v>
      </c>
      <c r="H23" s="23" t="s">
        <v>20</v>
      </c>
      <c r="I23" s="23" t="s">
        <v>26</v>
      </c>
    </row>
    <row r="24" spans="2:10" x14ac:dyDescent="0.35">
      <c r="B24" s="2" t="s">
        <v>3</v>
      </c>
      <c r="C24" s="6">
        <f>((5.486*2)+(2.181*10))*0.15</f>
        <v>4.9173</v>
      </c>
      <c r="D24" s="6">
        <f>C24*0.86</f>
        <v>4.2288779999999999</v>
      </c>
      <c r="E24" s="6">
        <f t="shared" ref="E24:G24" si="11">D24*0.86</f>
        <v>3.63683508</v>
      </c>
      <c r="F24" s="6">
        <f t="shared" si="11"/>
        <v>3.1276781688000002</v>
      </c>
      <c r="G24" s="6">
        <f t="shared" si="11"/>
        <v>2.6898032251680002</v>
      </c>
      <c r="H24" s="6">
        <f t="shared" ref="H24" si="12">G24*0.86</f>
        <v>2.3132307736444799</v>
      </c>
      <c r="I24" s="6">
        <f t="shared" ref="I24" si="13">H24*0.86</f>
        <v>1.9893784653342528</v>
      </c>
      <c r="J24" t="s">
        <v>102</v>
      </c>
    </row>
    <row r="25" spans="2:10" x14ac:dyDescent="0.35">
      <c r="B25" s="2" t="s">
        <v>36</v>
      </c>
      <c r="C25" s="6">
        <f>((204*10)+(665*2))*0.002</f>
        <v>6.74</v>
      </c>
      <c r="D25" s="6">
        <f>C25*0.97</f>
        <v>6.5377999999999998</v>
      </c>
      <c r="E25" s="6">
        <f t="shared" ref="E25:G25" si="14">D25*0.97</f>
        <v>6.341666</v>
      </c>
      <c r="F25" s="6">
        <f t="shared" si="14"/>
        <v>6.1514160200000001</v>
      </c>
      <c r="G25" s="6">
        <f t="shared" si="14"/>
        <v>5.9668735393999999</v>
      </c>
      <c r="H25" s="6">
        <f t="shared" ref="H25" si="15">G25*0.97</f>
        <v>5.7878673332179993</v>
      </c>
      <c r="I25" s="6">
        <f t="shared" ref="I25" si="16">H25*0.97</f>
        <v>5.6142313132214587</v>
      </c>
      <c r="J25" t="s">
        <v>87</v>
      </c>
    </row>
    <row r="26" spans="2:10" x14ac:dyDescent="0.35">
      <c r="B26" s="2" t="s">
        <v>74</v>
      </c>
      <c r="C26" s="6">
        <f>Depr!E20*0.2</f>
        <v>4</v>
      </c>
      <c r="D26" s="6">
        <f>Depr!F20*0.2</f>
        <v>3.9000000000000004</v>
      </c>
      <c r="E26" s="6">
        <f>Depr!G20*0.2</f>
        <v>3.7</v>
      </c>
      <c r="F26" s="6">
        <f>Depr!H20*0.2</f>
        <v>3.4000000000000004</v>
      </c>
      <c r="G26" s="6">
        <f>Depr!I20*0.2</f>
        <v>3</v>
      </c>
      <c r="H26" s="6">
        <f>Depr!J20*0.2</f>
        <v>2</v>
      </c>
      <c r="I26" s="6">
        <f>Depr!K20*0.2</f>
        <v>2</v>
      </c>
      <c r="J26" t="s">
        <v>87</v>
      </c>
    </row>
    <row r="27" spans="2:10" x14ac:dyDescent="0.35">
      <c r="B27" s="2" t="s">
        <v>2</v>
      </c>
      <c r="C27" s="7">
        <f>2.5*C24</f>
        <v>12.29325</v>
      </c>
      <c r="D27" s="7">
        <f>C27</f>
        <v>12.29325</v>
      </c>
      <c r="E27" s="7">
        <f t="shared" ref="E27:G27" si="17">D27</f>
        <v>12.29325</v>
      </c>
      <c r="F27" s="7">
        <f t="shared" si="17"/>
        <v>12.29325</v>
      </c>
      <c r="G27" s="7">
        <f t="shared" si="17"/>
        <v>12.29325</v>
      </c>
      <c r="H27" s="7">
        <f t="shared" ref="H27" si="18">G27</f>
        <v>12.29325</v>
      </c>
      <c r="I27" s="7">
        <f t="shared" ref="I27" si="19">H27</f>
        <v>12.29325</v>
      </c>
      <c r="J27" t="s">
        <v>87</v>
      </c>
    </row>
    <row r="28" spans="2:10" x14ac:dyDescent="0.35">
      <c r="B28" s="8" t="s">
        <v>16</v>
      </c>
      <c r="C28" s="9">
        <f>SUM(C24:C27)</f>
        <v>27.95055</v>
      </c>
      <c r="D28" s="9">
        <f>SUM(D24:D27)</f>
        <v>26.959927999999998</v>
      </c>
      <c r="E28" s="9">
        <f t="shared" ref="E28:G28" si="20">SUM(E24:E27)</f>
        <v>25.971751080000001</v>
      </c>
      <c r="F28" s="9">
        <f t="shared" si="20"/>
        <v>24.972344188800001</v>
      </c>
      <c r="G28" s="9">
        <f t="shared" si="20"/>
        <v>23.949926764568001</v>
      </c>
      <c r="H28" s="9">
        <f t="shared" ref="H28:I28" si="21">SUM(H24:H27)</f>
        <v>22.394348106862481</v>
      </c>
      <c r="I28" s="9">
        <f t="shared" si="21"/>
        <v>21.896859778555712</v>
      </c>
    </row>
    <row r="30" spans="2:10" x14ac:dyDescent="0.35">
      <c r="B30" s="25" t="s">
        <v>47</v>
      </c>
      <c r="C30" s="26">
        <f>C19</f>
        <v>0</v>
      </c>
      <c r="D30" s="26">
        <f t="shared" ref="D30:G30" si="22">D19</f>
        <v>0.29813919999999999</v>
      </c>
      <c r="E30" s="26">
        <f t="shared" si="22"/>
        <v>0.38758095999999997</v>
      </c>
      <c r="F30" s="26">
        <f t="shared" si="22"/>
        <v>0.47702272000000001</v>
      </c>
      <c r="G30" s="26">
        <f t="shared" si="22"/>
        <v>1.0136732799999999</v>
      </c>
      <c r="H30" s="26">
        <f t="shared" ref="H30:I30" si="23">H19</f>
        <v>2.0136732799999999</v>
      </c>
      <c r="I30" s="26">
        <f t="shared" si="23"/>
        <v>2.26832528</v>
      </c>
    </row>
    <row r="32" spans="2:10" ht="15" thickBot="1" x14ac:dyDescent="0.4">
      <c r="B32" s="12" t="s">
        <v>17</v>
      </c>
      <c r="C32" s="13">
        <f>C28+C30</f>
        <v>27.95055</v>
      </c>
      <c r="D32" s="13">
        <f t="shared" ref="D32:G32" si="24">D28+D30</f>
        <v>27.258067199999999</v>
      </c>
      <c r="E32" s="13">
        <f t="shared" si="24"/>
        <v>26.359332040000002</v>
      </c>
      <c r="F32" s="13">
        <f t="shared" si="24"/>
        <v>25.449366908800002</v>
      </c>
      <c r="G32" s="13">
        <f t="shared" si="24"/>
        <v>24.963600044568</v>
      </c>
      <c r="H32" s="13">
        <f t="shared" ref="H32:I32" si="25">H28+H30</f>
        <v>24.40802138686248</v>
      </c>
      <c r="I32" s="13">
        <f t="shared" si="25"/>
        <v>24.165185058555711</v>
      </c>
    </row>
    <row r="33" spans="2:9" ht="15" thickBot="1" x14ac:dyDescent="0.4"/>
    <row r="34" spans="2:9" ht="15" thickBot="1" x14ac:dyDescent="0.4">
      <c r="B34" s="49" t="s">
        <v>84</v>
      </c>
      <c r="C34" s="50"/>
      <c r="D34" s="51">
        <f>$C$32-D32</f>
        <v>0.69248280000000051</v>
      </c>
      <c r="E34" s="51">
        <f t="shared" ref="E34:G34" si="26">$C$32-E32</f>
        <v>1.591217959999998</v>
      </c>
      <c r="F34" s="51">
        <f t="shared" si="26"/>
        <v>2.5011830911999979</v>
      </c>
      <c r="G34" s="51">
        <f t="shared" si="26"/>
        <v>2.9869499554319994</v>
      </c>
      <c r="H34" s="51">
        <f t="shared" ref="H34:I34" si="27">$C$32-H32</f>
        <v>3.5425286131375202</v>
      </c>
      <c r="I34" s="51">
        <f t="shared" si="27"/>
        <v>3.7853649414442891</v>
      </c>
    </row>
    <row r="35" spans="2:9" ht="15" thickBot="1" x14ac:dyDescent="0.4">
      <c r="B35" s="54"/>
      <c r="C35" s="54"/>
      <c r="D35" s="55"/>
      <c r="E35" s="55"/>
      <c r="F35" s="55"/>
      <c r="G35" s="64"/>
      <c r="H35" s="55"/>
      <c r="I35" s="55"/>
    </row>
    <row r="36" spans="2:9" ht="15" thickBot="1" x14ac:dyDescent="0.4">
      <c r="B36" s="49" t="s">
        <v>79</v>
      </c>
      <c r="C36" s="50"/>
      <c r="D36" s="51">
        <f>$C$32-D32</f>
        <v>0.69248280000000051</v>
      </c>
      <c r="E36" s="51">
        <f>$C$32-E32+D36</f>
        <v>2.2837007599999986</v>
      </c>
      <c r="F36" s="51">
        <f>$C$32-F32+E36</f>
        <v>4.7848838511999965</v>
      </c>
      <c r="G36" s="63">
        <f>$C$32-G32+F36</f>
        <v>7.7718338066319959</v>
      </c>
      <c r="H36" s="51">
        <f t="shared" ref="H36:I36" si="28">$C$32-H32+G36</f>
        <v>11.314362419769516</v>
      </c>
      <c r="I36" s="51">
        <f t="shared" si="28"/>
        <v>15.099727361213805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55% Portfolio</vt:lpstr>
      <vt:lpstr>45% Portfolio</vt:lpstr>
      <vt:lpstr>Investment Cost</vt:lpstr>
      <vt:lpstr>Depr</vt:lpstr>
      <vt:lpstr>Aquisition costs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W7admin</dc:creator>
  <cp:lastModifiedBy>Powers, Benjamin R</cp:lastModifiedBy>
  <cp:lastPrinted>2020-03-09T21:25:41Z</cp:lastPrinted>
  <dcterms:created xsi:type="dcterms:W3CDTF">2020-03-09T21:09:56Z</dcterms:created>
  <dcterms:modified xsi:type="dcterms:W3CDTF">2020-03-18T21:02:28Z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