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5" windowHeight="6915" activeTab="1"/>
  </bookViews>
  <sheets>
    <sheet name="Water Activity" sheetId="1" r:id="rId1"/>
    <sheet name="Cappa Organics" sheetId="2" r:id="rId2"/>
    <sheet name="Dissociation and Volatility" sheetId="3" r:id="rId3"/>
    <sheet name="Raoult-Simple" sheetId="13" r:id="rId4"/>
    <sheet name="Raoult-Gas" sheetId="14" r:id="rId5"/>
    <sheet name="UNIFAC-Gas-Diss" sheetId="17" r:id="rId6"/>
    <sheet name="UNIFAC" sheetId="4" r:id="rId7"/>
    <sheet name="Raoult-Gas-Diss" sheetId="15" r:id="rId8"/>
    <sheet name="Peng" sheetId="5" r:id="rId9"/>
    <sheet name="NoSolid" sheetId="8" r:id="rId10"/>
    <sheet name="NoGas" sheetId="9" r:id="rId11"/>
    <sheet name="HiRH" sheetId="10" r:id="rId12"/>
    <sheet name="Sheet15" sheetId="18" r:id="rId13"/>
    <sheet name="Partitioning" sheetId="21" r:id="rId14"/>
    <sheet name="SolubilityEffects" sheetId="22" r:id="rId15"/>
  </sheets>
  <calcPr calcId="145621"/>
  <fileRecoveryPr repairLoad="1"/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24" i="2"/>
  <c r="E25" i="2"/>
  <c r="E26" i="2"/>
  <c r="E27" i="2"/>
  <c r="E28" i="2"/>
  <c r="E29" i="2"/>
  <c r="E30" i="2"/>
  <c r="E31" i="2"/>
  <c r="E32" i="2"/>
  <c r="E24" i="2"/>
  <c r="B25" i="2"/>
  <c r="B26" i="2"/>
  <c r="B27" i="2"/>
  <c r="B28" i="2"/>
  <c r="B29" i="2"/>
  <c r="B30" i="2"/>
  <c r="B31" i="2"/>
  <c r="B32" i="2"/>
  <c r="B24" i="2"/>
  <c r="C81" i="22" l="1"/>
  <c r="F58" i="22" l="1"/>
  <c r="F59" i="22"/>
  <c r="F60" i="22"/>
  <c r="F61" i="22"/>
  <c r="F62" i="22"/>
  <c r="F65" i="22"/>
  <c r="F66" i="22"/>
  <c r="F67" i="22"/>
  <c r="F68" i="22"/>
  <c r="F69" i="22"/>
  <c r="F72" i="22"/>
  <c r="F73" i="22"/>
  <c r="F74" i="22"/>
  <c r="F75" i="22"/>
  <c r="F76" i="22"/>
  <c r="F71" i="22"/>
  <c r="F64" i="22"/>
  <c r="F57" i="22"/>
  <c r="F39" i="22"/>
  <c r="F40" i="22"/>
  <c r="F41" i="22"/>
  <c r="F42" i="22"/>
  <c r="F43" i="22"/>
  <c r="F38" i="22"/>
  <c r="F32" i="22"/>
  <c r="F33" i="22"/>
  <c r="F34" i="22"/>
  <c r="F35" i="22"/>
  <c r="F36" i="22"/>
  <c r="F31" i="22"/>
  <c r="M50" i="22"/>
  <c r="M49" i="22"/>
  <c r="M48" i="22"/>
  <c r="M47" i="22"/>
  <c r="M46" i="22"/>
  <c r="M45" i="22"/>
  <c r="M43" i="22"/>
  <c r="M42" i="22"/>
  <c r="M41" i="22"/>
  <c r="M40" i="22"/>
  <c r="M39" i="22"/>
  <c r="M38" i="22"/>
  <c r="M36" i="22"/>
  <c r="M35" i="22"/>
  <c r="M34" i="22"/>
  <c r="M33" i="22"/>
  <c r="M32" i="22"/>
  <c r="M31" i="22"/>
  <c r="F50" i="22"/>
  <c r="F49" i="22"/>
  <c r="F48" i="22"/>
  <c r="F47" i="22"/>
  <c r="F46" i="22"/>
  <c r="F45" i="22"/>
  <c r="M24" i="22"/>
  <c r="M23" i="22"/>
  <c r="M22" i="22"/>
  <c r="M21" i="22"/>
  <c r="M20" i="22"/>
  <c r="M19" i="22"/>
  <c r="M17" i="22"/>
  <c r="M16" i="22"/>
  <c r="M15" i="22"/>
  <c r="M14" i="22"/>
  <c r="M13" i="22"/>
  <c r="M12" i="22"/>
  <c r="M10" i="22"/>
  <c r="M9" i="22"/>
  <c r="M8" i="22"/>
  <c r="M7" i="22"/>
  <c r="M6" i="22"/>
  <c r="M5" i="22"/>
  <c r="F20" i="22"/>
  <c r="F21" i="22"/>
  <c r="F22" i="22"/>
  <c r="F23" i="22"/>
  <c r="F24" i="22"/>
  <c r="F19" i="22"/>
  <c r="F13" i="22"/>
  <c r="F14" i="22"/>
  <c r="F15" i="22"/>
  <c r="F16" i="22"/>
  <c r="F17" i="22"/>
  <c r="F12" i="22"/>
  <c r="F6" i="22"/>
  <c r="F7" i="22"/>
  <c r="F8" i="22"/>
  <c r="F9" i="22"/>
  <c r="F10" i="22"/>
  <c r="F5" i="22"/>
  <c r="R16" i="21"/>
  <c r="S16" i="21"/>
  <c r="R17" i="21"/>
  <c r="S17" i="21"/>
  <c r="R18" i="21"/>
  <c r="S18" i="21"/>
  <c r="R19" i="21"/>
  <c r="S19" i="21"/>
  <c r="R20" i="21"/>
  <c r="S20" i="21"/>
  <c r="R21" i="21"/>
  <c r="S21" i="21"/>
  <c r="R22" i="21"/>
  <c r="S22" i="21"/>
  <c r="R23" i="21"/>
  <c r="S23" i="21"/>
  <c r="R24" i="21"/>
  <c r="S24" i="21"/>
  <c r="Q17" i="21"/>
  <c r="Q18" i="21"/>
  <c r="Q19" i="21"/>
  <c r="Q20" i="21"/>
  <c r="Q21" i="21"/>
  <c r="Q22" i="21"/>
  <c r="Q23" i="21"/>
  <c r="Q24" i="21"/>
  <c r="Q16" i="21"/>
  <c r="J16" i="21"/>
  <c r="M38" i="21" l="1"/>
  <c r="L30" i="21"/>
  <c r="L31" i="21"/>
  <c r="L32" i="21"/>
  <c r="L33" i="21"/>
  <c r="L34" i="21"/>
  <c r="L35" i="21"/>
  <c r="L36" i="21"/>
  <c r="L37" i="21"/>
  <c r="L38" i="21"/>
  <c r="L29" i="21"/>
  <c r="F32" i="21"/>
  <c r="F31" i="21"/>
  <c r="K30" i="21"/>
  <c r="K31" i="21"/>
  <c r="K32" i="21"/>
  <c r="K33" i="21"/>
  <c r="K34" i="21"/>
  <c r="K35" i="21"/>
  <c r="K36" i="21"/>
  <c r="K37" i="21"/>
  <c r="K38" i="21"/>
  <c r="K29" i="21"/>
  <c r="J30" i="21"/>
  <c r="J31" i="21"/>
  <c r="J32" i="21"/>
  <c r="J33" i="21"/>
  <c r="J34" i="21"/>
  <c r="J35" i="21"/>
  <c r="J36" i="21"/>
  <c r="J37" i="21"/>
  <c r="J29" i="21"/>
  <c r="E11" i="21"/>
  <c r="G3" i="21"/>
  <c r="G4" i="21"/>
  <c r="G5" i="21"/>
  <c r="G6" i="21"/>
  <c r="G7" i="21"/>
  <c r="G8" i="21"/>
  <c r="G9" i="21"/>
  <c r="G10" i="21"/>
  <c r="G2" i="21"/>
  <c r="B11" i="21"/>
  <c r="B19" i="21"/>
  <c r="B20" i="21" s="1"/>
  <c r="B22" i="21" s="1"/>
  <c r="B23" i="21" s="1"/>
  <c r="L16" i="21" l="1"/>
  <c r="K2" i="21"/>
  <c r="K16" i="21" s="1"/>
  <c r="L2" i="21"/>
  <c r="M2" i="21"/>
  <c r="N2" i="21"/>
  <c r="K3" i="21"/>
  <c r="L3" i="21"/>
  <c r="M3" i="21"/>
  <c r="N3" i="21"/>
  <c r="K4" i="21"/>
  <c r="L4" i="21"/>
  <c r="M4" i="21"/>
  <c r="N4" i="21"/>
  <c r="K5" i="21"/>
  <c r="L5" i="21"/>
  <c r="L19" i="21" s="1"/>
  <c r="M5" i="21"/>
  <c r="N5" i="21"/>
  <c r="K6" i="21"/>
  <c r="K20" i="21" s="1"/>
  <c r="L6" i="21"/>
  <c r="L20" i="21" s="1"/>
  <c r="M6" i="21"/>
  <c r="N6" i="21"/>
  <c r="K7" i="21"/>
  <c r="L7" i="21"/>
  <c r="M7" i="21"/>
  <c r="N7" i="21"/>
  <c r="K8" i="21"/>
  <c r="L8" i="21"/>
  <c r="M8" i="21"/>
  <c r="M22" i="21" s="1"/>
  <c r="N8" i="21"/>
  <c r="K9" i="21"/>
  <c r="L9" i="21"/>
  <c r="L23" i="21" s="1"/>
  <c r="M9" i="21"/>
  <c r="N9" i="21"/>
  <c r="K10" i="21"/>
  <c r="L10" i="21"/>
  <c r="M10" i="21"/>
  <c r="N10" i="21"/>
  <c r="J3" i="21"/>
  <c r="J4" i="21"/>
  <c r="J18" i="21" s="1"/>
  <c r="J5" i="21"/>
  <c r="J6" i="21"/>
  <c r="J7" i="21"/>
  <c r="J21" i="21" s="1"/>
  <c r="J8" i="21"/>
  <c r="J22" i="21" s="1"/>
  <c r="J9" i="21"/>
  <c r="J10" i="21"/>
  <c r="J2" i="21"/>
  <c r="B15" i="21"/>
  <c r="L21" i="21" s="1"/>
  <c r="K24" i="21" l="1"/>
  <c r="K23" i="21"/>
  <c r="J20" i="21"/>
  <c r="N23" i="21"/>
  <c r="N21" i="21"/>
  <c r="N19" i="21"/>
  <c r="N17" i="21"/>
  <c r="J19" i="21"/>
  <c r="M21" i="21"/>
  <c r="M19" i="21"/>
  <c r="M17" i="21"/>
  <c r="L17" i="21"/>
  <c r="J17" i="21"/>
  <c r="K17" i="21"/>
  <c r="J24" i="21"/>
  <c r="N20" i="21"/>
  <c r="M24" i="21"/>
  <c r="M20" i="21"/>
  <c r="M16" i="21"/>
  <c r="K21" i="21"/>
  <c r="N18" i="21"/>
  <c r="N22" i="21"/>
  <c r="N16" i="21"/>
  <c r="M18" i="21"/>
  <c r="L24" i="21"/>
  <c r="L22" i="21"/>
  <c r="L18" i="21"/>
  <c r="K19" i="21"/>
  <c r="M23" i="21"/>
  <c r="N24" i="21"/>
  <c r="J23" i="21"/>
  <c r="K22" i="21"/>
  <c r="K18" i="21"/>
  <c r="G19" i="2"/>
  <c r="G16" i="2" l="1"/>
  <c r="D19" i="2"/>
  <c r="D18" i="2"/>
  <c r="D15" i="2"/>
  <c r="D14" i="2"/>
  <c r="D16" i="2"/>
  <c r="D13" i="2"/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P3" i="2"/>
  <c r="P4" i="2"/>
  <c r="P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B3" i="2" l="1"/>
  <c r="B4" i="2"/>
  <c r="B5" i="2"/>
  <c r="B6" i="2"/>
  <c r="B7" i="2"/>
  <c r="B8" i="2"/>
  <c r="B9" i="2"/>
  <c r="B10" i="2"/>
  <c r="B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E3" i="2"/>
  <c r="E4" i="2"/>
  <c r="E5" i="2"/>
  <c r="E6" i="2"/>
  <c r="E7" i="2"/>
  <c r="E8" i="2"/>
  <c r="E9" i="2"/>
  <c r="E10" i="2"/>
  <c r="E2" i="2"/>
  <c r="C4" i="3"/>
  <c r="C3" i="3"/>
  <c r="F4" i="3"/>
  <c r="C5" i="3" l="1"/>
</calcChain>
</file>

<file path=xl/sharedStrings.xml><?xml version="1.0" encoding="utf-8"?>
<sst xmlns="http://schemas.openxmlformats.org/spreadsheetml/2006/main" count="1952" uniqueCount="482">
  <si>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</si>
  <si>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</si>
  <si>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</si>
  <si>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</si>
  <si>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</si>
  <si>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</si>
  <si>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</si>
  <si>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</si>
  <si>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</si>
  <si>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</si>
  <si>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</si>
  <si>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</si>
  <si>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</si>
  <si>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</si>
  <si>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</si>
  <si>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</si>
  <si>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</si>
  <si>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</si>
  <si>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</si>
  <si>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</si>
  <si>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</si>
  <si>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</si>
  <si>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</si>
  <si>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</si>
  <si>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</si>
  <si>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</si>
  <si>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</si>
  <si>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</si>
  <si>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</si>
  <si>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</si>
  <si>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</si>
  <si>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</si>
  <si>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</si>
  <si>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</si>
  <si>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</si>
  <si>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</si>
  <si>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</si>
  <si>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</si>
  <si>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</si>
  <si>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</si>
  <si>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</si>
  <si>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</si>
  <si>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</si>
  <si>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</si>
  <si>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</si>
  <si>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</si>
  <si>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</si>
  <si>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</si>
  <si>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</si>
  <si>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</si>
  <si>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</si>
  <si>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</si>
  <si>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</si>
  <si>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</si>
  <si>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</si>
  <si>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</si>
  <si>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</si>
  <si>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</si>
  <si>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</si>
  <si>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</si>
  <si>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</si>
  <si>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</si>
  <si>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</si>
  <si>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</si>
  <si>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</si>
  <si>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</si>
  <si>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</si>
  <si>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</si>
  <si>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</si>
  <si>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</si>
  <si>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</si>
  <si>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</si>
  <si>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</si>
  <si>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</si>
  <si>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</si>
  <si>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</si>
  <si>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</si>
  <si>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</si>
  <si>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</si>
  <si>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</si>
  <si>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</si>
  <si>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</si>
  <si>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</si>
  <si>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</si>
  <si>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</si>
  <si>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</si>
  <si>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</si>
  <si>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</si>
  <si>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</si>
  <si>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</si>
  <si>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</si>
  <si>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</si>
  <si>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</si>
  <si>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</si>
  <si>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</si>
  <si>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</si>
  <si>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</si>
  <si>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</si>
  <si>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</si>
  <si>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</si>
  <si>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</si>
  <si>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</si>
  <si>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</si>
  <si>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</si>
  <si>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</si>
  <si>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</si>
  <si>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</si>
  <si>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</si>
  <si>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</si>
  <si>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</si>
  <si>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</si>
  <si>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</si>
  <si>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</si>
  <si>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</si>
  <si>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</si>
  <si>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</si>
  <si>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</si>
  <si>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</si>
  <si>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</si>
  <si>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</si>
  <si>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</si>
  <si>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</si>
  <si>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</si>
  <si>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</si>
  <si>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</si>
  <si>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</si>
  <si>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</si>
  <si>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</si>
  <si>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</si>
  <si>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</si>
  <si>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</si>
  <si>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</si>
  <si>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</si>
  <si>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</si>
  <si>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</si>
  <si>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</si>
  <si>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</si>
  <si>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</si>
  <si>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</si>
  <si>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</si>
  <si>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</si>
  <si>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</si>
  <si>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</si>
  <si>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</si>
  <si>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</si>
  <si>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</si>
  <si>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</si>
  <si>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</si>
  <si>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</si>
  <si>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</si>
  <si>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</si>
  <si>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</si>
  <si>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</si>
  <si>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</si>
  <si>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</si>
  <si>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</si>
  <si>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</si>
  <si>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</si>
  <si>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</si>
  <si>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</si>
  <si>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</si>
  <si>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</si>
  <si>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</si>
  <si>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</si>
  <si>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</si>
  <si>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</si>
  <si>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</si>
  <si>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</si>
  <si>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</si>
  <si>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</si>
  <si>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</si>
  <si>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</si>
  <si>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</si>
  <si>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</si>
  <si>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</si>
  <si>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</si>
  <si>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</si>
  <si>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</si>
  <si>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</si>
  <si>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</si>
  <si>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</si>
  <si>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</si>
  <si>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</si>
  <si>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</si>
  <si>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</si>
  <si>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</si>
  <si>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</si>
  <si>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</si>
  <si>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</si>
  <si>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</si>
  <si>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</si>
  <si>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</si>
  <si>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</si>
  <si>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</si>
  <si>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</si>
  <si>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</si>
  <si>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</si>
  <si>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</si>
  <si>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</si>
  <si>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</si>
  <si>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</si>
  <si>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</si>
  <si>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</si>
  <si>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</si>
  <si>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</si>
  <si>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</si>
  <si>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</si>
  <si>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</si>
  <si>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</si>
  <si>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</si>
  <si>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</si>
  <si>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</si>
  <si>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</si>
  <si>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</si>
  <si>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</si>
  <si>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</si>
  <si>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</si>
  <si>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</si>
  <si>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</si>
  <si>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</si>
  <si>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</si>
  <si>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</si>
  <si>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</si>
  <si>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</si>
  <si>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</si>
  <si>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</si>
  <si>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</si>
  <si>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</si>
  <si>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</si>
  <si>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</si>
  <si>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</si>
  <si>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</si>
  <si>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</si>
  <si>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</si>
  <si>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</si>
  <si>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</si>
  <si>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</si>
  <si>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</si>
  <si>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</si>
  <si>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</si>
  <si>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</si>
  <si>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</si>
  <si>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</si>
  <si>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</si>
  <si>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</si>
  <si>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</si>
  <si>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</si>
  <si>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</si>
  <si>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</si>
  <si>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</si>
  <si>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</si>
  <si>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</si>
  <si>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</si>
  <si>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</si>
  <si>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</si>
  <si>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</si>
  <si>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</si>
  <si>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</si>
  <si>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</si>
  <si>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</si>
  <si>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</si>
  <si>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</si>
  <si>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</si>
  <si>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</si>
  <si>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</si>
  <si>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</si>
  <si>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</si>
  <si>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</si>
  <si>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</si>
  <si>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</si>
  <si>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</si>
  <si>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</si>
  <si>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</si>
  <si>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</si>
  <si>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</si>
  <si>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</si>
  <si>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</si>
  <si>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</si>
  <si>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</si>
  <si>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</si>
  <si>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</si>
  <si>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</si>
  <si>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</si>
  <si>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</si>
  <si>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</si>
  <si>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</si>
  <si>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</si>
  <si>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</si>
  <si>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</si>
  <si>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</si>
  <si>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</si>
  <si>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</si>
  <si>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</si>
  <si>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</si>
  <si>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</si>
  <si>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</si>
  <si>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</si>
  <si>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</si>
  <si>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</si>
  <si>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</si>
  <si>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</si>
  <si>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</si>
  <si>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</si>
  <si>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</si>
  <si>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</si>
  <si>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</si>
  <si>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</si>
  <si>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</si>
  <si>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</si>
  <si>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</si>
  <si>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</si>
  <si>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</si>
  <si>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</si>
  <si>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</si>
  <si>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</si>
  <si>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</si>
  <si>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</si>
  <si>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</si>
  <si>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</si>
  <si>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</si>
  <si>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</si>
  <si>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</si>
  <si>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</si>
  <si>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</si>
  <si>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</si>
  <si>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</si>
  <si>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</si>
  <si>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</si>
  <si>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</si>
  <si>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</si>
  <si>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</si>
  <si>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</si>
  <si>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</si>
  <si>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</si>
  <si>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</si>
  <si>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</si>
  <si>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</si>
  <si>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</si>
  <si>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</si>
  <si>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</si>
  <si>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</si>
  <si>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</si>
  <si>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</si>
  <si>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</si>
  <si>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</si>
  <si>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</si>
  <si>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</si>
  <si>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</si>
  <si>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</si>
  <si>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</si>
  <si>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</si>
  <si>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</si>
  <si>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</si>
  <si>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</si>
  <si>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</si>
  <si>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</si>
  <si>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</si>
  <si>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</si>
  <si>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</si>
  <si>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</si>
  <si>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</si>
  <si>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</si>
  <si>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</si>
  <si>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</si>
  <si>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</si>
  <si>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</si>
  <si>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</si>
  <si>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</si>
  <si>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</si>
  <si>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</si>
  <si>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</si>
  <si>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</si>
  <si>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</si>
  <si>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</si>
  <si>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</si>
  <si>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</si>
  <si>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</si>
  <si>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</si>
  <si>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</si>
  <si>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</si>
  <si>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</si>
  <si>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</si>
  <si>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</si>
  <si>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</si>
  <si>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</si>
  <si>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</si>
  <si>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</si>
  <si>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</si>
  <si>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</si>
  <si>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</si>
  <si>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</si>
  <si>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</si>
  <si>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</si>
  <si>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</si>
  <si>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</si>
  <si>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</si>
  <si>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</si>
  <si>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</si>
  <si>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</si>
  <si>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</si>
  <si>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</si>
  <si>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</si>
  <si>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</si>
  <si>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</si>
  <si>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</si>
  <si>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</si>
  <si>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</si>
  <si>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</si>
  <si>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</si>
  <si>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</si>
  <si>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</si>
  <si>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</si>
  <si>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</si>
  <si>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</si>
  <si>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</si>
  <si>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</si>
  <si>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</si>
  <si>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</si>
  <si>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</si>
  <si>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</si>
  <si>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</si>
  <si>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</si>
  <si>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</si>
  <si>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</si>
  <si>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</si>
  <si>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</si>
  <si>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</si>
  <si>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</si>
  <si>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</si>
  <si>
    <t>g</t>
  </si>
  <si>
    <t>g/cm3</t>
  </si>
  <si>
    <t>Density (g cm-3)</t>
  </si>
  <si>
    <t>m3</t>
  </si>
  <si>
    <t>cm3</t>
  </si>
  <si>
    <t>ug</t>
  </si>
  <si>
    <t>Vaer</t>
  </si>
  <si>
    <t>Vgas</t>
  </si>
  <si>
    <t>Heat Capacity Solid (J mol-1 K-1)</t>
  </si>
  <si>
    <t>Heat Capacity Vapor (J mol-1 K-1)</t>
  </si>
  <si>
    <t xml:space="preserve">adipic </t>
  </si>
  <si>
    <t>cal/g</t>
  </si>
  <si>
    <t>solid</t>
  </si>
  <si>
    <t>vapor</t>
  </si>
  <si>
    <t>Heat Capacity Liquid (J mol-1 K-1)</t>
  </si>
  <si>
    <t>R</t>
  </si>
  <si>
    <t>m3 atm K-1 mol-1</t>
  </si>
  <si>
    <t>T deg C</t>
  </si>
  <si>
    <t>Saturation Conc</t>
  </si>
  <si>
    <t>mg m-3</t>
  </si>
  <si>
    <t>kg m-3</t>
  </si>
  <si>
    <t>Rho</t>
  </si>
  <si>
    <t>Mass</t>
  </si>
  <si>
    <t>mg</t>
  </si>
  <si>
    <t>Liq Vol</t>
  </si>
  <si>
    <t>Tot Vol</t>
  </si>
  <si>
    <t>Liq Conc</t>
  </si>
  <si>
    <t>Mole Fraction</t>
  </si>
  <si>
    <t>Mass Fraction</t>
  </si>
  <si>
    <t>Liquid Mass (mg)</t>
  </si>
  <si>
    <t>Liquid Vol (cm3)</t>
  </si>
  <si>
    <t>Total Volume (cm3)</t>
  </si>
  <si>
    <t>Mass Concentration (mg m-3)</t>
  </si>
  <si>
    <t>Condensed Mass Fraction</t>
  </si>
  <si>
    <t>µg m-3</t>
  </si>
  <si>
    <t>gamma</t>
  </si>
  <si>
    <t>T=0</t>
  </si>
  <si>
    <t>T=25</t>
  </si>
  <si>
    <t>T=90</t>
  </si>
  <si>
    <t>Water</t>
  </si>
  <si>
    <t>Temperature</t>
  </si>
  <si>
    <t>Water Mole Frac</t>
  </si>
  <si>
    <t>C*</t>
  </si>
  <si>
    <t>MadeUp - C18O10</t>
  </si>
  <si>
    <t>C18</t>
  </si>
  <si>
    <t>O:C</t>
  </si>
  <si>
    <t>Liquid Vapor Press (Pa)</t>
  </si>
  <si>
    <t>Solid Pvap</t>
  </si>
  <si>
    <t>Entropy of Fusion (J mol-1 K-1)</t>
  </si>
  <si>
    <t>Tmelt (K)</t>
  </si>
  <si>
    <t>Cappa Solid</t>
  </si>
  <si>
    <t>Cappa Liquid</t>
  </si>
  <si>
    <t>Sublimation 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</si>
</sst>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68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49824"/>
        <c:axId val="177164288"/>
      </c:scatterChart>
      <c:valAx>
        <c:axId val="1771498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77164288"/>
        <c:crosses val="autoZero"/>
        <c:crossBetween val="midCat"/>
      </c:valAx>
      <c:valAx>
        <c:axId val="177164288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7714982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431872"/>
        <c:axId val="176433792"/>
      </c:barChart>
      <c:catAx>
        <c:axId val="1764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433792"/>
        <c:crosses val="autoZero"/>
        <c:auto val="1"/>
        <c:lblAlgn val="ctr"/>
        <c:lblOffset val="100"/>
        <c:noMultiLvlLbl val="0"/>
      </c:catAx>
      <c:valAx>
        <c:axId val="176433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43187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513792"/>
        <c:axId val="176515712"/>
      </c:barChart>
      <c:catAx>
        <c:axId val="1765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515712"/>
        <c:crosses val="autoZero"/>
        <c:auto val="1"/>
        <c:lblAlgn val="ctr"/>
        <c:lblOffset val="100"/>
        <c:noMultiLvlLbl val="0"/>
      </c:catAx>
      <c:valAx>
        <c:axId val="176515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51379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535808"/>
        <c:axId val="176583040"/>
      </c:barChart>
      <c:catAx>
        <c:axId val="1765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583040"/>
        <c:crosses val="autoZero"/>
        <c:auto val="1"/>
        <c:lblAlgn val="ctr"/>
        <c:lblOffset val="100"/>
        <c:noMultiLvlLbl val="0"/>
      </c:catAx>
      <c:valAx>
        <c:axId val="176583040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653580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7115904"/>
        <c:axId val="177117824"/>
      </c:barChart>
      <c:catAx>
        <c:axId val="1771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117824"/>
        <c:crosses val="autoZero"/>
        <c:auto val="1"/>
        <c:lblAlgn val="ctr"/>
        <c:lblOffset val="100"/>
        <c:noMultiLvlLbl val="0"/>
      </c:catAx>
      <c:valAx>
        <c:axId val="177117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1159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7644672"/>
        <c:axId val="177646592"/>
      </c:barChart>
      <c:catAx>
        <c:axId val="1776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646592"/>
        <c:crosses val="autoZero"/>
        <c:auto val="1"/>
        <c:lblAlgn val="ctr"/>
        <c:lblOffset val="100"/>
        <c:noMultiLvlLbl val="0"/>
      </c:catAx>
      <c:valAx>
        <c:axId val="177646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64467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7466752"/>
        <c:axId val="177468928"/>
      </c:barChart>
      <c:catAx>
        <c:axId val="1774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468928"/>
        <c:crosses val="autoZero"/>
        <c:auto val="1"/>
        <c:lblAlgn val="ctr"/>
        <c:lblOffset val="100"/>
        <c:noMultiLvlLbl val="0"/>
      </c:catAx>
      <c:valAx>
        <c:axId val="177468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46675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7938816"/>
        <c:axId val="177940736"/>
      </c:barChart>
      <c:catAx>
        <c:axId val="1779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940736"/>
        <c:crosses val="autoZero"/>
        <c:auto val="1"/>
        <c:lblAlgn val="ctr"/>
        <c:lblOffset val="100"/>
        <c:noMultiLvlLbl val="0"/>
      </c:catAx>
      <c:valAx>
        <c:axId val="177940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93881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7988352"/>
        <c:axId val="177990272"/>
      </c:barChart>
      <c:catAx>
        <c:axId val="1779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990272"/>
        <c:crosses val="autoZero"/>
        <c:auto val="1"/>
        <c:lblAlgn val="ctr"/>
        <c:lblOffset val="100"/>
        <c:noMultiLvlLbl val="0"/>
      </c:catAx>
      <c:valAx>
        <c:axId val="177990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98835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opLeftCell="A4"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45</v>
      </c>
    </row>
    <row r="3" spans="2:17" ht="25.5" x14ac:dyDescent="0.2">
      <c r="B3" s="1" t="s">
        <v>0</v>
      </c>
      <c r="C3" s="1" t="s">
        <v>2</v>
      </c>
      <c r="D3" t="s">
        <v>44</v>
      </c>
      <c r="E3" t="s">
        <v>44</v>
      </c>
      <c r="F3" t="s">
        <v>3</v>
      </c>
      <c r="G3" t="s">
        <v>271</v>
      </c>
      <c r="H3" t="s">
        <v>295</v>
      </c>
      <c r="I3" t="s">
        <v>297</v>
      </c>
      <c r="J3" t="s">
        <v>318</v>
      </c>
      <c r="K3" t="s">
        <v>319</v>
      </c>
      <c r="L3" t="s">
        <v>44</v>
      </c>
      <c r="M3" t="s">
        <v>345</v>
      </c>
      <c r="N3" s="1" t="s">
        <v>369</v>
      </c>
      <c r="P3" t="s">
        <v>44</v>
      </c>
      <c r="Q3" t="s">
        <v>422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2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298</v>
      </c>
    </row>
    <row r="5" spans="1:1" ht="15" x14ac:dyDescent="0.2">
      <c r="A5" s="12" t="s">
        <v>299</v>
      </c>
    </row>
    <row r="6" spans="1:1" ht="15" x14ac:dyDescent="0.2">
      <c r="A6" s="12" t="s">
        <v>300</v>
      </c>
    </row>
    <row r="7" spans="1:1" ht="15" x14ac:dyDescent="0.2">
      <c r="A7" s="12" t="s">
        <v>301</v>
      </c>
    </row>
    <row r="8" spans="1:1" ht="15" x14ac:dyDescent="0.2">
      <c r="A8" s="12" t="s">
        <v>302</v>
      </c>
    </row>
    <row r="9" spans="1:1" ht="15" x14ac:dyDescent="0.2">
      <c r="A9" s="12" t="s">
        <v>303</v>
      </c>
    </row>
    <row r="10" spans="1:1" ht="15" x14ac:dyDescent="0.2">
      <c r="A10" s="12" t="s">
        <v>304</v>
      </c>
    </row>
    <row r="11" spans="1:1" ht="15" x14ac:dyDescent="0.2">
      <c r="A11" s="12" t="s">
        <v>305</v>
      </c>
    </row>
    <row r="12" spans="1:1" ht="15" x14ac:dyDescent="0.2">
      <c r="A12" s="12" t="s">
        <v>306</v>
      </c>
    </row>
    <row r="13" spans="1:1" ht="15" x14ac:dyDescent="0.2">
      <c r="A13" s="12" t="s">
        <v>307</v>
      </c>
    </row>
    <row r="14" spans="1:1" ht="15" x14ac:dyDescent="0.2">
      <c r="A14" s="12" t="s">
        <v>308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60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75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309</v>
      </c>
    </row>
    <row r="74" spans="1:1" ht="15" x14ac:dyDescent="0.2">
      <c r="A74" s="12" t="s">
        <v>310</v>
      </c>
    </row>
    <row r="75" spans="1:1" ht="15" x14ac:dyDescent="0.2">
      <c r="A75" s="12" t="s">
        <v>311</v>
      </c>
    </row>
    <row r="76" spans="1:1" ht="15" x14ac:dyDescent="0.2">
      <c r="A76" s="12" t="s">
        <v>312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316</v>
      </c>
    </row>
    <row r="81" spans="1:1" ht="15" x14ac:dyDescent="0.2">
      <c r="A81" s="12" t="s">
        <v>317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320</v>
      </c>
    </row>
    <row r="5" spans="1:1" ht="15" x14ac:dyDescent="0.2">
      <c r="A5" s="12" t="s">
        <v>321</v>
      </c>
    </row>
    <row r="6" spans="1:1" ht="15" x14ac:dyDescent="0.2">
      <c r="A6" s="12" t="s">
        <v>322</v>
      </c>
    </row>
    <row r="7" spans="1:1" ht="15" x14ac:dyDescent="0.2">
      <c r="A7" s="12" t="s">
        <v>323</v>
      </c>
    </row>
    <row r="8" spans="1:1" ht="15" x14ac:dyDescent="0.2">
      <c r="A8" s="12" t="s">
        <v>324</v>
      </c>
    </row>
    <row r="9" spans="1:1" ht="15" x14ac:dyDescent="0.2">
      <c r="A9" s="12" t="s">
        <v>325</v>
      </c>
    </row>
    <row r="10" spans="1:1" ht="15" x14ac:dyDescent="0.2">
      <c r="A10" s="12" t="s">
        <v>326</v>
      </c>
    </row>
    <row r="11" spans="1:1" ht="15" x14ac:dyDescent="0.2">
      <c r="A11" s="12" t="s">
        <v>327</v>
      </c>
    </row>
    <row r="12" spans="1:1" ht="15" x14ac:dyDescent="0.2">
      <c r="A12" s="12" t="s">
        <v>328</v>
      </c>
    </row>
    <row r="13" spans="1:1" ht="15" x14ac:dyDescent="0.2">
      <c r="A13" s="12" t="s">
        <v>329</v>
      </c>
    </row>
    <row r="14" spans="1:1" ht="15" x14ac:dyDescent="0.2">
      <c r="A14" s="12" t="s">
        <v>330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331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332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333</v>
      </c>
    </row>
    <row r="74" spans="1:1" ht="15" x14ac:dyDescent="0.2">
      <c r="A74" s="12" t="s">
        <v>334</v>
      </c>
    </row>
    <row r="75" spans="1:1" ht="15" x14ac:dyDescent="0.2">
      <c r="A75" s="12" t="s">
        <v>335</v>
      </c>
    </row>
    <row r="76" spans="1:1" ht="15" x14ac:dyDescent="0.2">
      <c r="A76" s="12" t="s">
        <v>336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337</v>
      </c>
    </row>
    <row r="81" spans="1:1" ht="15" x14ac:dyDescent="0.2">
      <c r="A81" s="12" t="s">
        <v>338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132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132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132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132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132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132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132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48</v>
      </c>
    </row>
    <row r="27" spans="1:49" ht="15" x14ac:dyDescent="0.2">
      <c r="A27" s="11" t="s">
        <v>49</v>
      </c>
    </row>
    <row r="28" spans="1:49" x14ac:dyDescent="0.2">
      <c r="A28" s="10"/>
      <c r="M28" t="s">
        <v>427</v>
      </c>
      <c r="Q28" t="s">
        <v>428</v>
      </c>
    </row>
    <row r="29" spans="1:49" ht="15" x14ac:dyDescent="0.2">
      <c r="A29" s="12" t="s">
        <v>81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M29" t="s">
        <v>425</v>
      </c>
      <c r="N29" t="s">
        <v>424</v>
      </c>
      <c r="O29" t="s">
        <v>426</v>
      </c>
      <c r="P29" t="s">
        <v>423</v>
      </c>
      <c r="Q29" t="s">
        <v>425</v>
      </c>
      <c r="R29" t="s">
        <v>424</v>
      </c>
      <c r="S29" t="s">
        <v>426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 t="shared" ref="N30:N47" si="0"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>N30/$P30</f>
        <v>0</v>
      </c>
      <c r="S30" s="3">
        <f>O30/$P30</f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 t="shared" si="0"/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 t="shared" si="0"/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 t="shared" si="0"/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 t="shared" si="0"/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 t="shared" si="0"/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 t="shared" si="0"/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 t="shared" si="0"/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 t="shared" si="0"/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 t="shared" si="0"/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 t="shared" si="0"/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 t="shared" si="0"/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 t="shared" si="0"/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 t="shared" si="0"/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 t="shared" si="0"/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 t="shared" si="0"/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 t="shared" si="0"/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 t="shared" si="0"/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61</v>
      </c>
    </row>
    <row r="51" spans="1:99" ht="15" x14ac:dyDescent="0.2">
      <c r="A51" s="11" t="s">
        <v>62</v>
      </c>
    </row>
    <row r="52" spans="1:99" ht="15" x14ac:dyDescent="0.2">
      <c r="A52" s="11"/>
    </row>
    <row r="53" spans="1:99" ht="15" x14ac:dyDescent="0.2">
      <c r="A53" s="12" t="s">
        <v>81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t="s">
        <v>153</v>
      </c>
      <c r="M53" t="s">
        <v>154</v>
      </c>
      <c r="N53" t="s">
        <v>155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X53" t="s">
        <v>165</v>
      </c>
      <c r="Y53" t="s">
        <v>166</v>
      </c>
      <c r="Z53" t="s">
        <v>167</v>
      </c>
      <c r="AA53" t="s">
        <v>168</v>
      </c>
      <c r="AB53" t="s">
        <v>169</v>
      </c>
      <c r="AC53" t="s">
        <v>170</v>
      </c>
      <c r="AD53" t="s">
        <v>171</v>
      </c>
      <c r="AE53" t="s">
        <v>172</v>
      </c>
      <c r="AF53" t="s">
        <v>173</v>
      </c>
      <c r="AG53" t="s">
        <v>174</v>
      </c>
      <c r="AH53" t="s">
        <v>175</v>
      </c>
      <c r="AI53" t="s">
        <v>176</v>
      </c>
      <c r="AJ53" t="s">
        <v>177</v>
      </c>
      <c r="AK53" t="s">
        <v>178</v>
      </c>
      <c r="AL53" t="s">
        <v>179</v>
      </c>
      <c r="AM53" t="s">
        <v>180</v>
      </c>
      <c r="AN53" t="s">
        <v>181</v>
      </c>
      <c r="AO53" t="s">
        <v>182</v>
      </c>
      <c r="AP53" t="s">
        <v>183</v>
      </c>
      <c r="AQ53" t="s">
        <v>184</v>
      </c>
      <c r="AR53" t="s">
        <v>185</v>
      </c>
      <c r="AS53" t="s">
        <v>186</v>
      </c>
      <c r="AT53" t="s">
        <v>187</v>
      </c>
      <c r="AU53" t="s">
        <v>188</v>
      </c>
      <c r="AV53" t="s">
        <v>189</v>
      </c>
      <c r="AW53" t="s">
        <v>190</v>
      </c>
      <c r="AX53" t="s">
        <v>191</v>
      </c>
      <c r="AY53" t="s">
        <v>192</v>
      </c>
      <c r="AZ53" t="s">
        <v>193</v>
      </c>
      <c r="BA53" t="s">
        <v>194</v>
      </c>
      <c r="BB53" t="s">
        <v>195</v>
      </c>
      <c r="BC53" t="s">
        <v>196</v>
      </c>
      <c r="BD53" t="s">
        <v>197</v>
      </c>
      <c r="BE53" t="s">
        <v>198</v>
      </c>
      <c r="BF53" t="s">
        <v>199</v>
      </c>
      <c r="BG53" t="s">
        <v>200</v>
      </c>
      <c r="BH53" t="s">
        <v>201</v>
      </c>
      <c r="BI53" t="s">
        <v>202</v>
      </c>
      <c r="BJ53" t="s">
        <v>203</v>
      </c>
      <c r="BK53" t="s">
        <v>204</v>
      </c>
      <c r="BL53" t="s">
        <v>205</v>
      </c>
      <c r="BM53" t="s">
        <v>206</v>
      </c>
      <c r="BN53" t="s">
        <v>207</v>
      </c>
      <c r="BO53" t="s">
        <v>208</v>
      </c>
      <c r="BP53" t="s">
        <v>209</v>
      </c>
      <c r="BQ53" t="s">
        <v>210</v>
      </c>
      <c r="BR53" t="s">
        <v>211</v>
      </c>
      <c r="BS53" t="s">
        <v>212</v>
      </c>
      <c r="BT53" t="s">
        <v>213</v>
      </c>
      <c r="BU53" t="s">
        <v>214</v>
      </c>
      <c r="BV53" t="s">
        <v>215</v>
      </c>
      <c r="BW53" t="s">
        <v>216</v>
      </c>
      <c r="BX53" t="s">
        <v>217</v>
      </c>
      <c r="BY53" t="s">
        <v>218</v>
      </c>
      <c r="BZ53" t="s">
        <v>219</v>
      </c>
      <c r="CA53" t="s">
        <v>220</v>
      </c>
      <c r="CB53" t="s">
        <v>221</v>
      </c>
      <c r="CC53" t="s">
        <v>222</v>
      </c>
      <c r="CD53" t="s">
        <v>223</v>
      </c>
      <c r="CE53" t="s">
        <v>224</v>
      </c>
      <c r="CF53" t="s">
        <v>225</v>
      </c>
      <c r="CG53" t="s">
        <v>226</v>
      </c>
      <c r="CH53" t="s">
        <v>227</v>
      </c>
      <c r="CI53" t="s">
        <v>228</v>
      </c>
      <c r="CJ53" t="s">
        <v>229</v>
      </c>
      <c r="CK53" t="s">
        <v>230</v>
      </c>
      <c r="CL53" t="s">
        <v>231</v>
      </c>
      <c r="CM53" t="s">
        <v>232</v>
      </c>
      <c r="CN53" t="s">
        <v>233</v>
      </c>
      <c r="CO53" t="s">
        <v>234</v>
      </c>
      <c r="CP53" t="s">
        <v>235</v>
      </c>
      <c r="CQ53" t="s">
        <v>236</v>
      </c>
      <c r="CR53" t="s">
        <v>237</v>
      </c>
      <c r="CS53" t="s">
        <v>238</v>
      </c>
      <c r="CT53" t="s">
        <v>239</v>
      </c>
      <c r="CU53" t="s">
        <v>240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63</v>
      </c>
    </row>
    <row r="75" spans="1:99" ht="15" x14ac:dyDescent="0.2">
      <c r="A75" s="11" t="s">
        <v>64</v>
      </c>
    </row>
    <row r="76" spans="1:99" x14ac:dyDescent="0.2">
      <c r="A76" s="10"/>
    </row>
    <row r="77" spans="1:99" ht="15" x14ac:dyDescent="0.2">
      <c r="A77" s="12" t="s">
        <v>81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  <c r="G77" t="s">
        <v>246</v>
      </c>
      <c r="H77" t="s">
        <v>247</v>
      </c>
      <c r="I77" t="s">
        <v>248</v>
      </c>
      <c r="J77" t="s">
        <v>249</v>
      </c>
      <c r="K77" t="s">
        <v>250</v>
      </c>
      <c r="L77" t="s">
        <v>251</v>
      </c>
      <c r="M77" t="s">
        <v>252</v>
      </c>
      <c r="N77" t="s">
        <v>253</v>
      </c>
      <c r="O77" t="s">
        <v>254</v>
      </c>
      <c r="P77" t="s">
        <v>255</v>
      </c>
      <c r="Q77" t="s">
        <v>256</v>
      </c>
      <c r="R77" t="s">
        <v>257</v>
      </c>
      <c r="S77" t="s">
        <v>258</v>
      </c>
      <c r="T77" t="s">
        <v>259</v>
      </c>
      <c r="U77" t="s">
        <v>260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76</v>
      </c>
    </row>
    <row r="99" spans="1:11" ht="15" x14ac:dyDescent="0.2">
      <c r="A99" s="11" t="s">
        <v>77</v>
      </c>
    </row>
    <row r="100" spans="1:11" x14ac:dyDescent="0.2">
      <c r="A100" s="10"/>
    </row>
    <row r="101" spans="1:11" ht="15" x14ac:dyDescent="0.2">
      <c r="A101" s="12" t="s">
        <v>81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267</v>
      </c>
      <c r="I101" t="s">
        <v>268</v>
      </c>
      <c r="J101" t="s">
        <v>269</v>
      </c>
      <c r="K101" t="s">
        <v>270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opLeftCell="G1" workbookViewId="0">
      <selection activeCell="Q24" sqref="Q24:S24"/>
    </sheetView>
  </sheetViews>
  <sheetFormatPr defaultRowHeight="12.75" x14ac:dyDescent="0.2"/>
  <cols>
    <col min="1" max="1" width="14.28515625" customWidth="1"/>
    <col min="2" max="2" width="13.7109375" customWidth="1"/>
    <col min="3" max="3" width="10.140625" customWidth="1"/>
    <col min="5" max="5" width="8.5703125" customWidth="1"/>
    <col min="6" max="6" width="9.28515625" customWidth="1"/>
    <col min="7" max="7" width="11.7109375" customWidth="1"/>
    <col min="8" max="8" width="12.42578125" bestFit="1" customWidth="1"/>
    <col min="9" max="9" width="15.7109375" customWidth="1"/>
    <col min="16" max="16" width="22" customWidth="1"/>
  </cols>
  <sheetData>
    <row r="1" spans="1:41" ht="38.25" x14ac:dyDescent="0.2">
      <c r="A1" s="4" t="s">
        <v>4</v>
      </c>
      <c r="B1" s="4" t="s">
        <v>22</v>
      </c>
      <c r="C1" s="4" t="s">
        <v>17</v>
      </c>
      <c r="D1" s="4" t="s">
        <v>16</v>
      </c>
      <c r="E1" s="4" t="s">
        <v>431</v>
      </c>
      <c r="F1" s="4" t="s">
        <v>456</v>
      </c>
      <c r="G1" s="4" t="s">
        <v>457</v>
      </c>
      <c r="I1" s="4" t="s">
        <v>446</v>
      </c>
      <c r="J1">
        <v>5</v>
      </c>
      <c r="K1">
        <v>20</v>
      </c>
      <c r="L1">
        <v>70</v>
      </c>
      <c r="M1">
        <v>100</v>
      </c>
      <c r="N1">
        <v>120</v>
      </c>
    </row>
    <row r="2" spans="1:41" x14ac:dyDescent="0.2">
      <c r="A2" t="s">
        <v>5</v>
      </c>
      <c r="B2">
        <v>104.06</v>
      </c>
      <c r="C2" s="6">
        <v>141.9</v>
      </c>
      <c r="D2" s="3">
        <v>6.6100000000000001E-9</v>
      </c>
      <c r="E2">
        <v>1.619</v>
      </c>
      <c r="F2">
        <v>0.111</v>
      </c>
      <c r="G2" s="14">
        <f>F2*B2/$B$11</f>
        <v>7.1548404840484053E-2</v>
      </c>
      <c r="I2" t="s">
        <v>26</v>
      </c>
      <c r="J2">
        <f t="shared" ref="J2:N10" si="0">$D2*EXP($C2*1000/8.314 * (1/300 - 1/(273+J$1)))</f>
        <v>7.3265890985914041E-11</v>
      </c>
      <c r="K2">
        <f t="shared" si="0"/>
        <v>1.6978952019926303E-9</v>
      </c>
      <c r="L2">
        <f t="shared" si="0"/>
        <v>8.2735219095512976E-6</v>
      </c>
      <c r="M2">
        <f t="shared" si="0"/>
        <v>4.5268003558298823E-4</v>
      </c>
      <c r="N2">
        <f t="shared" si="0"/>
        <v>4.6462616850542603E-3</v>
      </c>
    </row>
    <row r="3" spans="1:41" x14ac:dyDescent="0.2">
      <c r="A3" t="s">
        <v>6</v>
      </c>
      <c r="B3">
        <v>118.09</v>
      </c>
      <c r="C3" s="6">
        <v>88.5</v>
      </c>
      <c r="D3">
        <v>3.1034617019529003E-9</v>
      </c>
      <c r="E3">
        <v>1.56</v>
      </c>
      <c r="F3">
        <v>0.111</v>
      </c>
      <c r="G3" s="14">
        <f t="shared" ref="G3:G10" si="1">F3*B3/$B$11</f>
        <v>8.1194994499449946E-2</v>
      </c>
      <c r="J3">
        <f t="shared" si="0"/>
        <v>1.8722669304359297E-10</v>
      </c>
      <c r="K3">
        <f t="shared" si="0"/>
        <v>1.3295196519772113E-9</v>
      </c>
      <c r="L3">
        <f t="shared" si="0"/>
        <v>2.6526754309926318E-7</v>
      </c>
      <c r="M3">
        <f t="shared" si="0"/>
        <v>3.2188485636764732E-6</v>
      </c>
      <c r="N3">
        <f t="shared" si="0"/>
        <v>1.3754171888362402E-5</v>
      </c>
    </row>
    <row r="4" spans="1:41" x14ac:dyDescent="0.2">
      <c r="A4" t="s">
        <v>7</v>
      </c>
      <c r="B4">
        <v>132.11000000000001</v>
      </c>
      <c r="C4" s="6">
        <v>141</v>
      </c>
      <c r="D4">
        <v>1.7251781202045787E-9</v>
      </c>
      <c r="E4">
        <v>1.429</v>
      </c>
      <c r="F4">
        <v>0.111</v>
      </c>
      <c r="G4" s="14">
        <f t="shared" si="1"/>
        <v>9.0834708470847098E-2</v>
      </c>
      <c r="J4">
        <f t="shared" si="0"/>
        <v>1.9675953838100909E-11</v>
      </c>
      <c r="K4">
        <f t="shared" si="0"/>
        <v>4.4697916304981649E-10</v>
      </c>
      <c r="L4">
        <f t="shared" si="0"/>
        <v>2.0638450875011236E-6</v>
      </c>
      <c r="M4">
        <f t="shared" si="0"/>
        <v>1.1009158392560196E-4</v>
      </c>
      <c r="N4">
        <f t="shared" si="0"/>
        <v>1.1134025253503456E-3</v>
      </c>
    </row>
    <row r="5" spans="1:41" x14ac:dyDescent="0.2">
      <c r="A5" t="s">
        <v>8</v>
      </c>
      <c r="B5">
        <v>146.13999999999999</v>
      </c>
      <c r="C5" s="6">
        <v>111</v>
      </c>
      <c r="D5">
        <v>9.698635822500413E-10</v>
      </c>
      <c r="E5">
        <v>1.36</v>
      </c>
      <c r="F5">
        <v>0.111</v>
      </c>
      <c r="G5" s="14">
        <f t="shared" si="1"/>
        <v>0.10048129812981296</v>
      </c>
      <c r="J5">
        <f t="shared" si="0"/>
        <v>2.8654648801291795E-11</v>
      </c>
      <c r="K5">
        <f t="shared" si="0"/>
        <v>3.3493547685386663E-10</v>
      </c>
      <c r="L5">
        <f t="shared" si="0"/>
        <v>2.5685827463590652E-7</v>
      </c>
      <c r="M5">
        <f t="shared" si="0"/>
        <v>5.87905317745583E-6</v>
      </c>
      <c r="N5">
        <f t="shared" si="0"/>
        <v>3.634104135370465E-5</v>
      </c>
    </row>
    <row r="6" spans="1:41" x14ac:dyDescent="0.2">
      <c r="A6" t="s">
        <v>9</v>
      </c>
      <c r="B6">
        <v>160</v>
      </c>
      <c r="C6" s="6">
        <v>124</v>
      </c>
      <c r="D6">
        <v>5.5089634831751143E-10</v>
      </c>
      <c r="E6">
        <v>1.28</v>
      </c>
      <c r="F6">
        <v>0.111</v>
      </c>
      <c r="G6" s="14">
        <f t="shared" si="1"/>
        <v>0.11001100110011001</v>
      </c>
      <c r="J6">
        <f t="shared" si="0"/>
        <v>1.0775114113168855E-11</v>
      </c>
      <c r="K6">
        <f t="shared" si="0"/>
        <v>1.6797382898783059E-10</v>
      </c>
      <c r="L6">
        <f t="shared" si="0"/>
        <v>2.8043071258873064E-7</v>
      </c>
      <c r="M6">
        <f t="shared" si="0"/>
        <v>9.2613320399465005E-6</v>
      </c>
      <c r="N6">
        <f t="shared" si="0"/>
        <v>7.0862033680852107E-5</v>
      </c>
    </row>
    <row r="7" spans="1:41" x14ac:dyDescent="0.2">
      <c r="A7" t="s">
        <v>10</v>
      </c>
      <c r="B7">
        <v>174</v>
      </c>
      <c r="C7" s="6">
        <v>130</v>
      </c>
      <c r="D7">
        <v>3.1502915556764066E-10</v>
      </c>
      <c r="E7">
        <v>1.272</v>
      </c>
      <c r="F7">
        <v>0.111</v>
      </c>
      <c r="G7" s="14">
        <f t="shared" si="1"/>
        <v>0.11963696369636964</v>
      </c>
      <c r="J7">
        <f t="shared" si="0"/>
        <v>5.0936161848797512E-12</v>
      </c>
      <c r="K7">
        <f t="shared" si="0"/>
        <v>9.0690760784450839E-11</v>
      </c>
      <c r="L7">
        <f t="shared" si="0"/>
        <v>2.1680958599706951E-7</v>
      </c>
      <c r="M7">
        <f t="shared" si="0"/>
        <v>8.4804519706529205E-6</v>
      </c>
      <c r="N7">
        <f t="shared" si="0"/>
        <v>7.1601278405301642E-5</v>
      </c>
    </row>
    <row r="8" spans="1:41" x14ac:dyDescent="0.2">
      <c r="A8" t="s">
        <v>36</v>
      </c>
      <c r="B8">
        <v>188</v>
      </c>
      <c r="C8" s="6">
        <v>146</v>
      </c>
      <c r="D8">
        <v>1.813227383537549E-10</v>
      </c>
      <c r="E8">
        <v>1.0286999999999999</v>
      </c>
      <c r="F8">
        <v>0.111</v>
      </c>
      <c r="G8" s="14">
        <f t="shared" si="1"/>
        <v>0.12926292629262925</v>
      </c>
      <c r="J8">
        <f t="shared" si="0"/>
        <v>1.7646436808698628E-12</v>
      </c>
      <c r="K8">
        <f t="shared" si="0"/>
        <v>4.4782267373134398E-11</v>
      </c>
      <c r="L8">
        <f t="shared" si="0"/>
        <v>2.788937603247148E-7</v>
      </c>
      <c r="M8">
        <f t="shared" si="0"/>
        <v>1.7130091713940574E-5</v>
      </c>
      <c r="N8">
        <f t="shared" si="0"/>
        <v>1.8805827746019683E-4</v>
      </c>
    </row>
    <row r="9" spans="1:41" x14ac:dyDescent="0.2">
      <c r="A9" t="s">
        <v>11</v>
      </c>
      <c r="B9">
        <v>202</v>
      </c>
      <c r="C9" s="6">
        <v>140</v>
      </c>
      <c r="D9">
        <v>1.0494672009578797E-10</v>
      </c>
      <c r="E9">
        <v>1.2090000000000001</v>
      </c>
      <c r="F9">
        <v>0.111</v>
      </c>
      <c r="G9" s="14">
        <f t="shared" si="1"/>
        <v>0.1388888888888889</v>
      </c>
      <c r="J9">
        <f t="shared" si="0"/>
        <v>1.2355210330262409E-12</v>
      </c>
      <c r="K9">
        <f t="shared" si="0"/>
        <v>2.7452513386458491E-11</v>
      </c>
      <c r="L9">
        <f t="shared" si="0"/>
        <v>1.1939423293905721E-7</v>
      </c>
      <c r="M9">
        <f t="shared" si="0"/>
        <v>6.1917241636108988E-6</v>
      </c>
      <c r="N9">
        <f t="shared" si="0"/>
        <v>6.1600288447139959E-5</v>
      </c>
    </row>
    <row r="10" spans="1:41" x14ac:dyDescent="0.2">
      <c r="A10" t="s">
        <v>12</v>
      </c>
      <c r="B10">
        <v>230</v>
      </c>
      <c r="C10" s="6">
        <v>119</v>
      </c>
      <c r="D10">
        <v>1.71752775175217E-9</v>
      </c>
      <c r="E10">
        <v>0.88</v>
      </c>
      <c r="F10">
        <v>0.111</v>
      </c>
      <c r="G10" s="14">
        <f t="shared" si="1"/>
        <v>0.15814081408140815</v>
      </c>
      <c r="J10">
        <f t="shared" si="0"/>
        <v>3.9368860540391805E-11</v>
      </c>
      <c r="K10">
        <f t="shared" si="0"/>
        <v>5.4938274969823734E-10</v>
      </c>
      <c r="L10">
        <f t="shared" si="0"/>
        <v>6.8001120788587221E-7</v>
      </c>
      <c r="M10">
        <f t="shared" si="0"/>
        <v>1.9503838136292235E-5</v>
      </c>
      <c r="N10">
        <f t="shared" si="0"/>
        <v>1.3747557898978198E-4</v>
      </c>
    </row>
    <row r="11" spans="1:41" x14ac:dyDescent="0.2">
      <c r="A11" t="s">
        <v>423</v>
      </c>
      <c r="B11">
        <f>SUMPRODUCT(F2:F10,B2:B10)</f>
        <v>161.4384</v>
      </c>
      <c r="E11">
        <f>SUMPRODUCT(G2:G10,E2:E10)</f>
        <v>1.2420040772827283</v>
      </c>
    </row>
    <row r="13" spans="1:41" x14ac:dyDescent="0.2">
      <c r="U13" t="s">
        <v>465</v>
      </c>
      <c r="AB13" t="s">
        <v>466</v>
      </c>
      <c r="AI13" t="s">
        <v>467</v>
      </c>
    </row>
    <row r="14" spans="1:41" x14ac:dyDescent="0.2">
      <c r="I14" t="s">
        <v>447</v>
      </c>
      <c r="J14" t="s">
        <v>448</v>
      </c>
      <c r="P14" t="s">
        <v>447</v>
      </c>
      <c r="Q14" t="s">
        <v>463</v>
      </c>
      <c r="U14" t="s">
        <v>464</v>
      </c>
      <c r="AB14" t="s">
        <v>464</v>
      </c>
      <c r="AI14" t="s">
        <v>464</v>
      </c>
    </row>
    <row r="15" spans="1:41" ht="25.5" x14ac:dyDescent="0.2">
      <c r="A15" s="4" t="s">
        <v>444</v>
      </c>
      <c r="B15">
        <f>0.0821/1000</f>
        <v>8.2100000000000003E-5</v>
      </c>
      <c r="C15" s="4" t="s">
        <v>445</v>
      </c>
      <c r="I15" s="4" t="s">
        <v>446</v>
      </c>
      <c r="J15">
        <v>5</v>
      </c>
      <c r="K15">
        <v>20</v>
      </c>
      <c r="L15">
        <v>70</v>
      </c>
      <c r="M15">
        <v>100</v>
      </c>
      <c r="N15">
        <v>120</v>
      </c>
      <c r="P15" s="4" t="s">
        <v>446</v>
      </c>
      <c r="Q15">
        <v>0</v>
      </c>
      <c r="R15">
        <v>25</v>
      </c>
      <c r="S15">
        <v>90</v>
      </c>
      <c r="U15">
        <v>0</v>
      </c>
      <c r="V15">
        <v>0.1</v>
      </c>
      <c r="W15">
        <v>0.2</v>
      </c>
      <c r="X15">
        <v>0.5</v>
      </c>
      <c r="Y15">
        <v>0.7</v>
      </c>
      <c r="Z15">
        <v>0.9</v>
      </c>
      <c r="AA15">
        <v>0.95</v>
      </c>
      <c r="AB15">
        <v>0</v>
      </c>
      <c r="AC15">
        <v>0.1</v>
      </c>
      <c r="AD15">
        <v>0.2</v>
      </c>
      <c r="AE15">
        <v>0.5</v>
      </c>
      <c r="AF15">
        <v>0.7</v>
      </c>
      <c r="AG15">
        <v>0.9</v>
      </c>
      <c r="AH15">
        <v>0.95</v>
      </c>
      <c r="AI15">
        <v>0</v>
      </c>
      <c r="AJ15">
        <v>0.1</v>
      </c>
      <c r="AK15">
        <v>0.2</v>
      </c>
      <c r="AL15">
        <v>0.5</v>
      </c>
      <c r="AM15">
        <v>0.7</v>
      </c>
      <c r="AN15">
        <v>0.9</v>
      </c>
      <c r="AO15">
        <v>0.95</v>
      </c>
    </row>
    <row r="16" spans="1:41" x14ac:dyDescent="0.2">
      <c r="I16" t="s">
        <v>5</v>
      </c>
      <c r="J16" s="3">
        <f>J2/(273+J$1)/$B$15*$B2*1000</f>
        <v>3.3403940693461275E-4</v>
      </c>
      <c r="K16" s="3">
        <f t="shared" ref="J16:N24" si="2">K2/(273+K$1)/$B$15*$B2*1000</f>
        <v>7.3448668160178048E-3</v>
      </c>
      <c r="L16" s="3">
        <f t="shared" si="2"/>
        <v>30.572923225530552</v>
      </c>
      <c r="M16" s="3">
        <f t="shared" si="2"/>
        <v>1538.2367185367273</v>
      </c>
      <c r="N16" s="3">
        <f t="shared" si="2"/>
        <v>14984.828622289157</v>
      </c>
      <c r="P16" t="s">
        <v>5</v>
      </c>
      <c r="Q16" s="3">
        <f>J2/(273+Q$15)/$B$15*$B2*1000000</f>
        <v>0.34015734479055809</v>
      </c>
      <c r="R16" s="3">
        <f t="shared" ref="R16:S24" si="3">K2/(273+R$15)/$B$15*$B2*1000000</f>
        <v>7.2216307956148214</v>
      </c>
      <c r="S16" s="3">
        <f t="shared" si="3"/>
        <v>28888.464645611515</v>
      </c>
      <c r="T16" s="3"/>
      <c r="U16" s="3"/>
      <c r="AB16" s="3"/>
      <c r="AI16" s="3"/>
    </row>
    <row r="17" spans="1:41" x14ac:dyDescent="0.2">
      <c r="A17" t="s">
        <v>451</v>
      </c>
      <c r="B17">
        <v>10</v>
      </c>
      <c r="C17" t="s">
        <v>452</v>
      </c>
      <c r="I17" t="s">
        <v>6</v>
      </c>
      <c r="J17" s="3">
        <f t="shared" si="2"/>
        <v>9.6870811089818049E-4</v>
      </c>
      <c r="K17" s="3">
        <f t="shared" si="2"/>
        <v>6.5267519300108027E-3</v>
      </c>
      <c r="L17" s="3">
        <f t="shared" si="2"/>
        <v>1.1123973879749858</v>
      </c>
      <c r="M17" s="3">
        <f t="shared" si="2"/>
        <v>12.412569085779609</v>
      </c>
      <c r="N17" s="3">
        <f t="shared" si="2"/>
        <v>50.339843680260721</v>
      </c>
      <c r="P17" t="s">
        <v>6</v>
      </c>
      <c r="Q17" s="3">
        <f t="shared" ref="Q17:Q24" si="4">J3/(273+Q$15)/$B$15*$B3*1000000</f>
        <v>0.98645001769118745</v>
      </c>
      <c r="R17" s="3">
        <f t="shared" si="3"/>
        <v>6.4172426694401521</v>
      </c>
      <c r="S17" s="3">
        <f t="shared" si="3"/>
        <v>1051.1082756898625</v>
      </c>
      <c r="T17" s="3"/>
      <c r="U17" s="3">
        <v>0.49719950237655403</v>
      </c>
      <c r="V17">
        <v>0.99445706981299298</v>
      </c>
      <c r="W17">
        <v>0.97633697010028497</v>
      </c>
      <c r="X17">
        <v>0.82954311690540095</v>
      </c>
      <c r="Y17">
        <v>0.663795861962027</v>
      </c>
      <c r="Z17">
        <v>0.54249361585387001</v>
      </c>
      <c r="AA17">
        <v>0.56436930698509702</v>
      </c>
      <c r="AB17" s="3">
        <v>0.54823903508056804</v>
      </c>
      <c r="AC17">
        <v>0.995028148778767</v>
      </c>
      <c r="AD17">
        <v>0.97879471172807597</v>
      </c>
      <c r="AE17">
        <v>0.84764506181293398</v>
      </c>
      <c r="AF17">
        <v>0.70157350747794101</v>
      </c>
      <c r="AG17">
        <v>0.61723594404061499</v>
      </c>
      <c r="AH17">
        <v>0.66177397548088301</v>
      </c>
      <c r="AI17" s="3">
        <v>0.66458398142850394</v>
      </c>
      <c r="AJ17">
        <v>0.99615873719790804</v>
      </c>
      <c r="AK17">
        <v>0.98368726571905896</v>
      </c>
      <c r="AL17">
        <v>0.88486805539790703</v>
      </c>
      <c r="AM17">
        <v>0.78288689726873495</v>
      </c>
      <c r="AN17">
        <v>0.79328691990503397</v>
      </c>
      <c r="AO17">
        <v>0.89954371401751498</v>
      </c>
    </row>
    <row r="18" spans="1:41" x14ac:dyDescent="0.2">
      <c r="A18" t="s">
        <v>450</v>
      </c>
      <c r="B18">
        <v>1242</v>
      </c>
      <c r="C18" t="s">
        <v>449</v>
      </c>
      <c r="I18" t="s">
        <v>7</v>
      </c>
      <c r="J18" s="3">
        <f t="shared" si="2"/>
        <v>1.1388946019293508E-4</v>
      </c>
      <c r="K18" s="3">
        <f t="shared" si="2"/>
        <v>2.4547778340120994E-3</v>
      </c>
      <c r="L18" s="3">
        <f t="shared" si="2"/>
        <v>9.6822325937498324</v>
      </c>
      <c r="M18" s="3">
        <f t="shared" si="2"/>
        <v>474.93898934508286</v>
      </c>
      <c r="N18" s="3">
        <f t="shared" si="2"/>
        <v>4558.8172936260999</v>
      </c>
      <c r="P18" t="s">
        <v>7</v>
      </c>
      <c r="Q18" s="3">
        <f t="shared" si="4"/>
        <v>0.11597534774225621</v>
      </c>
      <c r="R18" s="3">
        <f t="shared" si="3"/>
        <v>2.4135902864615613</v>
      </c>
      <c r="S18" s="3">
        <f t="shared" si="3"/>
        <v>9148.7762524964</v>
      </c>
      <c r="T18" s="3"/>
      <c r="U18" s="3"/>
      <c r="AB18" s="3"/>
      <c r="AI18" s="3"/>
    </row>
    <row r="19" spans="1:41" x14ac:dyDescent="0.2">
      <c r="A19" t="s">
        <v>453</v>
      </c>
      <c r="B19">
        <f>B17/1000000/B18</f>
        <v>8.0515297906602265E-9</v>
      </c>
      <c r="C19" t="s">
        <v>432</v>
      </c>
      <c r="I19" t="s">
        <v>8</v>
      </c>
      <c r="J19" s="3">
        <f t="shared" si="2"/>
        <v>1.8347472269388893E-4</v>
      </c>
      <c r="K19" s="3">
        <f t="shared" si="2"/>
        <v>2.0347894471249191E-3</v>
      </c>
      <c r="L19" s="3">
        <f t="shared" si="2"/>
        <v>1.3329853820907935</v>
      </c>
      <c r="M19" s="3">
        <f t="shared" si="2"/>
        <v>28.055919229913005</v>
      </c>
      <c r="N19" s="3">
        <f t="shared" si="2"/>
        <v>164.6003534270686</v>
      </c>
      <c r="P19" t="s">
        <v>8</v>
      </c>
      <c r="Q19" s="3">
        <f t="shared" si="4"/>
        <v>0.18683506560037044</v>
      </c>
      <c r="R19" s="3">
        <f t="shared" si="3"/>
        <v>2.0006486845892661</v>
      </c>
      <c r="S19" s="3">
        <f t="shared" si="3"/>
        <v>1259.5426613144414</v>
      </c>
      <c r="T19" s="3"/>
      <c r="U19" s="3"/>
      <c r="AB19" s="3"/>
      <c r="AI19" s="3"/>
    </row>
    <row r="20" spans="1:41" x14ac:dyDescent="0.2">
      <c r="A20" t="s">
        <v>454</v>
      </c>
      <c r="B20">
        <f>B19*10</f>
        <v>8.0515297906602268E-8</v>
      </c>
      <c r="C20" t="s">
        <v>432</v>
      </c>
      <c r="I20" t="s">
        <v>9</v>
      </c>
      <c r="J20" s="3">
        <f t="shared" si="2"/>
        <v>7.5535986913091439E-5</v>
      </c>
      <c r="K20" s="3">
        <f t="shared" si="2"/>
        <v>1.1172511936268887E-3</v>
      </c>
      <c r="L20" s="3">
        <f t="shared" si="2"/>
        <v>1.593339347030994</v>
      </c>
      <c r="M20" s="3">
        <f t="shared" si="2"/>
        <v>48.388420790425592</v>
      </c>
      <c r="N20" s="3">
        <f t="shared" si="2"/>
        <v>351.39686873936819</v>
      </c>
      <c r="P20" t="s">
        <v>9</v>
      </c>
      <c r="Q20" s="3">
        <f t="shared" si="4"/>
        <v>7.6919429896847719E-2</v>
      </c>
      <c r="R20" s="3">
        <f t="shared" si="3"/>
        <v>1.0985053682304642</v>
      </c>
      <c r="S20" s="3">
        <f t="shared" si="3"/>
        <v>1505.5520551835564</v>
      </c>
      <c r="T20" s="3"/>
      <c r="U20" s="3"/>
      <c r="AB20" s="3"/>
      <c r="AI20" s="3"/>
    </row>
    <row r="21" spans="1:41" x14ac:dyDescent="0.2">
      <c r="I21" t="s">
        <v>10</v>
      </c>
      <c r="J21" s="3">
        <f t="shared" si="2"/>
        <v>3.8831799094325949E-5</v>
      </c>
      <c r="K21" s="3">
        <f t="shared" si="2"/>
        <v>6.5599649044054511E-4</v>
      </c>
      <c r="L21" s="3">
        <f t="shared" si="2"/>
        <v>1.3396472325752957</v>
      </c>
      <c r="M21" s="3">
        <f t="shared" si="2"/>
        <v>48.185487615430347</v>
      </c>
      <c r="N21" s="3">
        <f t="shared" si="2"/>
        <v>386.13068660519144</v>
      </c>
      <c r="P21" t="s">
        <v>10</v>
      </c>
      <c r="Q21" s="3">
        <f t="shared" si="4"/>
        <v>3.9543004205943637E-2</v>
      </c>
      <c r="R21" s="3">
        <f t="shared" si="3"/>
        <v>0.64498983791637488</v>
      </c>
      <c r="S21" s="3">
        <f t="shared" si="3"/>
        <v>1265.8374676951141</v>
      </c>
      <c r="T21" s="3"/>
      <c r="U21" s="3"/>
      <c r="AB21" s="3"/>
      <c r="AI21" s="3"/>
    </row>
    <row r="22" spans="1:41" x14ac:dyDescent="0.2">
      <c r="A22" t="s">
        <v>455</v>
      </c>
      <c r="B22">
        <f>B17/B20</f>
        <v>124199999.99999999</v>
      </c>
      <c r="C22" t="s">
        <v>448</v>
      </c>
      <c r="I22" t="s">
        <v>36</v>
      </c>
      <c r="J22" s="3">
        <f t="shared" si="2"/>
        <v>1.4535397786675937E-5</v>
      </c>
      <c r="K22" s="3">
        <f t="shared" si="2"/>
        <v>3.4998799707961517E-4</v>
      </c>
      <c r="L22" s="3">
        <f t="shared" si="2"/>
        <v>1.8619129391748803</v>
      </c>
      <c r="M22" s="3">
        <f t="shared" si="2"/>
        <v>105.16362515538259</v>
      </c>
      <c r="N22" s="3">
        <f t="shared" si="2"/>
        <v>1095.7578625494573</v>
      </c>
      <c r="P22" t="s">
        <v>36</v>
      </c>
      <c r="Q22" s="3">
        <f t="shared" si="4"/>
        <v>1.4801613863354981E-2</v>
      </c>
      <c r="R22" s="3">
        <f t="shared" si="3"/>
        <v>0.34411571524942031</v>
      </c>
      <c r="S22" s="3">
        <f t="shared" si="3"/>
        <v>1759.3282042341154</v>
      </c>
      <c r="T22" s="3"/>
      <c r="U22" s="3"/>
      <c r="AB22" s="3"/>
      <c r="AI22" s="3"/>
    </row>
    <row r="23" spans="1:41" x14ac:dyDescent="0.2">
      <c r="B23">
        <f>B22/1000000</f>
        <v>124.19999999999999</v>
      </c>
      <c r="I23" t="s">
        <v>11</v>
      </c>
      <c r="J23" s="3">
        <f t="shared" si="2"/>
        <v>1.0934868368602101E-5</v>
      </c>
      <c r="K23" s="3">
        <f t="shared" si="2"/>
        <v>2.3052748059947768E-4</v>
      </c>
      <c r="L23" s="3">
        <f t="shared" si="2"/>
        <v>0.856440984424511</v>
      </c>
      <c r="M23" s="3">
        <f t="shared" si="2"/>
        <v>40.842374304839829</v>
      </c>
      <c r="N23" s="3">
        <f t="shared" si="2"/>
        <v>385.6545039507543</v>
      </c>
      <c r="P23" t="s">
        <v>11</v>
      </c>
      <c r="Q23" s="3">
        <f t="shared" si="4"/>
        <v>1.1135140683045363E-2</v>
      </c>
      <c r="R23" s="3">
        <f t="shared" si="3"/>
        <v>0.22665956985116426</v>
      </c>
      <c r="S23" s="3">
        <f t="shared" si="3"/>
        <v>809.25415332674186</v>
      </c>
      <c r="T23" s="3"/>
      <c r="U23" s="3"/>
      <c r="AB23" s="3"/>
      <c r="AI23" s="3"/>
    </row>
    <row r="24" spans="1:41" x14ac:dyDescent="0.2">
      <c r="I24" t="s">
        <v>12</v>
      </c>
      <c r="J24" s="3">
        <f t="shared" si="2"/>
        <v>3.9672788599138251E-4</v>
      </c>
      <c r="K24" s="3">
        <f t="shared" si="2"/>
        <v>5.252814657501448E-3</v>
      </c>
      <c r="L24" s="3">
        <f t="shared" si="2"/>
        <v>5.5540096452719112</v>
      </c>
      <c r="M24" s="3">
        <f t="shared" si="2"/>
        <v>146.48593624290046</v>
      </c>
      <c r="N24" s="3">
        <f t="shared" si="2"/>
        <v>979.98106844349354</v>
      </c>
      <c r="P24" t="s">
        <v>12</v>
      </c>
      <c r="Q24" s="3">
        <f t="shared" si="4"/>
        <v>0.40399396448939312</v>
      </c>
      <c r="R24" s="3">
        <f t="shared" si="3"/>
        <v>5.1646801833822957</v>
      </c>
      <c r="S24" s="3">
        <f t="shared" si="3"/>
        <v>5248.0036042100983</v>
      </c>
      <c r="T24" s="3"/>
      <c r="U24" s="3">
        <v>3.1007449401196401</v>
      </c>
      <c r="V24">
        <v>0.99903807382381105</v>
      </c>
      <c r="W24">
        <v>0.99810332230866505</v>
      </c>
      <c r="X24">
        <v>1.07008224551428</v>
      </c>
      <c r="Y24">
        <v>1.5693502224390901</v>
      </c>
      <c r="Z24">
        <v>19.203226471966001</v>
      </c>
      <c r="AA24">
        <v>208.63339186388501</v>
      </c>
      <c r="AB24" s="3">
        <v>3.4633577168132499</v>
      </c>
      <c r="AC24">
        <v>1.00035408185256</v>
      </c>
      <c r="AD24">
        <v>1.0034529387519999</v>
      </c>
      <c r="AE24">
        <v>1.1077136045765299</v>
      </c>
      <c r="AF24">
        <v>1.6756124678512501</v>
      </c>
      <c r="AG24">
        <v>20.2115539346871</v>
      </c>
      <c r="AH24">
        <v>202.92776722507199</v>
      </c>
      <c r="AI24" s="3">
        <v>4.1215911432716297</v>
      </c>
      <c r="AJ24">
        <v>1.0024709200059401</v>
      </c>
      <c r="AK24">
        <v>1.0122287603089899</v>
      </c>
      <c r="AL24">
        <v>1.17409142401191</v>
      </c>
      <c r="AM24">
        <v>1.87021749182311</v>
      </c>
      <c r="AN24">
        <v>21.415734642253199</v>
      </c>
      <c r="AO24">
        <v>182.36605371420501</v>
      </c>
    </row>
    <row r="28" spans="1:41" x14ac:dyDescent="0.2">
      <c r="J28" t="s">
        <v>458</v>
      </c>
      <c r="K28" t="s">
        <v>459</v>
      </c>
      <c r="L28" t="s">
        <v>461</v>
      </c>
      <c r="M28" t="s">
        <v>462</v>
      </c>
    </row>
    <row r="29" spans="1:41" x14ac:dyDescent="0.2">
      <c r="I29" t="s">
        <v>5</v>
      </c>
      <c r="J29" s="5">
        <f>G2*J$38</f>
        <v>0.71548404840484059</v>
      </c>
      <c r="K29" s="3">
        <f>J29/1000/E2</f>
        <v>4.4192961606228574E-4</v>
      </c>
      <c r="L29" s="3">
        <f>J29/F$32</f>
        <v>8886341.0534956492</v>
      </c>
      <c r="M29" s="5">
        <v>0.99</v>
      </c>
    </row>
    <row r="30" spans="1:41" x14ac:dyDescent="0.2">
      <c r="F30" t="s">
        <v>460</v>
      </c>
      <c r="I30" t="s">
        <v>6</v>
      </c>
      <c r="J30" s="5">
        <f t="shared" ref="J30:J37" si="5">G3*J$38</f>
        <v>0.81194994499449946</v>
      </c>
      <c r="K30" s="3">
        <f t="shared" ref="K30:K38" si="6">J30/1000/E3</f>
        <v>5.2048073397083304E-4</v>
      </c>
      <c r="L30" s="3">
        <f t="shared" ref="L30:L38" si="7">J30/F$32</f>
        <v>10084451.422326554</v>
      </c>
      <c r="M30" s="5">
        <v>1</v>
      </c>
    </row>
    <row r="31" spans="1:41" x14ac:dyDescent="0.2">
      <c r="F31">
        <f>10*K38</f>
        <v>8.0515033588924464E-2</v>
      </c>
      <c r="I31" t="s">
        <v>7</v>
      </c>
      <c r="J31" s="5">
        <f t="shared" si="5"/>
        <v>0.90834708470847092</v>
      </c>
      <c r="K31" s="3">
        <f t="shared" si="6"/>
        <v>6.3565226361684461E-4</v>
      </c>
      <c r="L31" s="3">
        <f t="shared" si="7"/>
        <v>11281707.827958006</v>
      </c>
      <c r="M31" s="5">
        <v>0.99</v>
      </c>
    </row>
    <row r="32" spans="1:41" x14ac:dyDescent="0.2">
      <c r="F32">
        <f>F31/1000000</f>
        <v>8.0515033588924463E-8</v>
      </c>
      <c r="I32" t="s">
        <v>8</v>
      </c>
      <c r="J32" s="5">
        <f t="shared" si="5"/>
        <v>1.0048129812981297</v>
      </c>
      <c r="K32" s="3">
        <f t="shared" si="6"/>
        <v>7.3883307448391886E-4</v>
      </c>
      <c r="L32" s="3">
        <f t="shared" si="7"/>
        <v>12479818.196788909</v>
      </c>
      <c r="M32" s="5">
        <v>0.99</v>
      </c>
    </row>
    <row r="33" spans="9:13" x14ac:dyDescent="0.2">
      <c r="I33" t="s">
        <v>9</v>
      </c>
      <c r="J33" s="5">
        <f t="shared" si="5"/>
        <v>1.1001100110011002</v>
      </c>
      <c r="K33" s="3">
        <f t="shared" si="6"/>
        <v>8.594609460946096E-4</v>
      </c>
      <c r="L33" s="3">
        <f t="shared" si="7"/>
        <v>13663411.191229135</v>
      </c>
      <c r="M33" s="5">
        <v>0.99</v>
      </c>
    </row>
    <row r="34" spans="9:13" x14ac:dyDescent="0.2">
      <c r="I34" t="s">
        <v>10</v>
      </c>
      <c r="J34" s="5">
        <f t="shared" si="5"/>
        <v>1.1963696369636965</v>
      </c>
      <c r="K34" s="3">
        <f t="shared" si="6"/>
        <v>9.4054216742428965E-4</v>
      </c>
      <c r="L34" s="3">
        <f t="shared" si="7"/>
        <v>14858959.670461684</v>
      </c>
      <c r="M34" s="5">
        <v>0.99</v>
      </c>
    </row>
    <row r="35" spans="9:13" x14ac:dyDescent="0.2">
      <c r="I35" t="s">
        <v>36</v>
      </c>
      <c r="J35" s="5">
        <f t="shared" si="5"/>
        <v>1.2926292629262925</v>
      </c>
      <c r="K35" s="3">
        <f t="shared" si="6"/>
        <v>1.2565658237837004E-3</v>
      </c>
      <c r="L35" s="3">
        <f t="shared" si="7"/>
        <v>16054508.14969423</v>
      </c>
      <c r="M35" s="5">
        <v>0.99</v>
      </c>
    </row>
    <row r="36" spans="9:13" x14ac:dyDescent="0.2">
      <c r="I36" t="s">
        <v>11</v>
      </c>
      <c r="J36" s="5">
        <f t="shared" si="5"/>
        <v>1.3888888888888888</v>
      </c>
      <c r="K36" s="3">
        <f t="shared" si="6"/>
        <v>1.1487914713721166E-3</v>
      </c>
      <c r="L36" s="3">
        <f t="shared" si="7"/>
        <v>17250056.62892678</v>
      </c>
      <c r="M36" s="5">
        <v>0.99</v>
      </c>
    </row>
    <row r="37" spans="9:13" x14ac:dyDescent="0.2">
      <c r="I37" t="s">
        <v>12</v>
      </c>
      <c r="J37" s="5">
        <f t="shared" si="5"/>
        <v>1.5814081408140814</v>
      </c>
      <c r="K37" s="3">
        <f t="shared" si="6"/>
        <v>1.797054705470547E-3</v>
      </c>
      <c r="L37" s="3">
        <f t="shared" si="7"/>
        <v>19641153.587391879</v>
      </c>
      <c r="M37" s="5">
        <v>0.99</v>
      </c>
    </row>
    <row r="38" spans="9:13" x14ac:dyDescent="0.2">
      <c r="I38" t="s">
        <v>423</v>
      </c>
      <c r="J38" s="5">
        <v>10</v>
      </c>
      <c r="K38" s="3">
        <f t="shared" si="6"/>
        <v>8.0515033588924468E-3</v>
      </c>
      <c r="L38" s="3">
        <f t="shared" si="7"/>
        <v>124200407.72827283</v>
      </c>
      <c r="M38" s="5">
        <f>(1+N25/L$38)^(-1)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52" workbookViewId="0">
      <selection activeCell="F57" sqref="F57"/>
    </sheetView>
  </sheetViews>
  <sheetFormatPr defaultRowHeight="12.75" x14ac:dyDescent="0.2"/>
  <cols>
    <col min="1" max="1" width="13.140625" customWidth="1"/>
    <col min="2" max="2" width="16" customWidth="1"/>
    <col min="3" max="3" width="9" customWidth="1"/>
    <col min="4" max="4" width="6.5703125" customWidth="1"/>
    <col min="5" max="5" width="12.140625" customWidth="1"/>
    <col min="6" max="6" width="15.5703125" customWidth="1"/>
    <col min="7" max="7" width="12.7109375" customWidth="1"/>
    <col min="8" max="8" width="16.140625" customWidth="1"/>
    <col min="9" max="9" width="14.42578125" customWidth="1"/>
    <col min="12" max="12" width="10.140625" customWidth="1"/>
    <col min="13" max="13" width="10.85546875" customWidth="1"/>
  </cols>
  <sheetData>
    <row r="2" spans="1:13" x14ac:dyDescent="0.2">
      <c r="A2" s="21" t="s">
        <v>469</v>
      </c>
      <c r="B2" s="21" t="s">
        <v>470</v>
      </c>
      <c r="C2" s="21" t="s">
        <v>468</v>
      </c>
      <c r="D2" s="21"/>
      <c r="E2" s="21" t="s">
        <v>6</v>
      </c>
      <c r="F2" s="21"/>
      <c r="H2" s="21" t="s">
        <v>469</v>
      </c>
      <c r="I2" s="21" t="s">
        <v>470</v>
      </c>
      <c r="J2" s="21" t="s">
        <v>468</v>
      </c>
      <c r="K2" s="21"/>
      <c r="L2" s="21" t="s">
        <v>12</v>
      </c>
    </row>
    <row r="3" spans="1:13" x14ac:dyDescent="0.2">
      <c r="C3" t="s">
        <v>464</v>
      </c>
      <c r="D3" t="s">
        <v>471</v>
      </c>
      <c r="E3" t="s">
        <v>464</v>
      </c>
      <c r="F3" t="s">
        <v>471</v>
      </c>
      <c r="J3" t="s">
        <v>464</v>
      </c>
      <c r="K3" t="s">
        <v>471</v>
      </c>
      <c r="L3" t="s">
        <v>464</v>
      </c>
      <c r="M3" t="s">
        <v>471</v>
      </c>
    </row>
    <row r="4" spans="1:13" x14ac:dyDescent="0.2">
      <c r="A4" s="15">
        <v>0</v>
      </c>
      <c r="B4" s="15">
        <v>0</v>
      </c>
      <c r="C4" s="15"/>
      <c r="D4" s="15"/>
      <c r="E4" s="16">
        <v>1</v>
      </c>
      <c r="F4" s="19">
        <v>0.98645001769118745</v>
      </c>
      <c r="G4" s="15"/>
      <c r="H4" s="15">
        <v>0</v>
      </c>
      <c r="I4" s="15">
        <v>0</v>
      </c>
      <c r="J4" s="15"/>
      <c r="K4" s="15"/>
      <c r="L4" s="16">
        <v>1</v>
      </c>
      <c r="M4" s="19">
        <v>0.40399396448939312</v>
      </c>
    </row>
    <row r="5" spans="1:13" x14ac:dyDescent="0.2">
      <c r="A5" s="15">
        <v>0</v>
      </c>
      <c r="B5" s="15">
        <v>0.1</v>
      </c>
      <c r="C5" s="15"/>
      <c r="D5" s="15"/>
      <c r="E5" s="16">
        <v>0.99445706981299298</v>
      </c>
      <c r="F5" s="19">
        <f t="shared" ref="F5:F10" si="0">F$4*E5*(1-B5)</f>
        <v>0.88288397469913804</v>
      </c>
      <c r="G5" s="15"/>
      <c r="H5" s="15">
        <v>0</v>
      </c>
      <c r="I5" s="15">
        <v>0.1</v>
      </c>
      <c r="J5" s="15"/>
      <c r="K5" s="15"/>
      <c r="L5" s="16">
        <v>0.99903807382381105</v>
      </c>
      <c r="M5" s="19">
        <f t="shared" ref="M5:M10" si="1">M$4*L5*(1-I5)</f>
        <v>0.36324481690793559</v>
      </c>
    </row>
    <row r="6" spans="1:13" x14ac:dyDescent="0.2">
      <c r="A6" s="15">
        <v>0</v>
      </c>
      <c r="B6" s="15">
        <v>0.2</v>
      </c>
      <c r="C6" s="15"/>
      <c r="D6" s="15"/>
      <c r="E6" s="16">
        <v>0.97633697010028497</v>
      </c>
      <c r="F6" s="19">
        <f t="shared" si="0"/>
        <v>0.77048609714238925</v>
      </c>
      <c r="G6" s="15"/>
      <c r="H6" s="15">
        <v>0</v>
      </c>
      <c r="I6" s="15">
        <v>0.2</v>
      </c>
      <c r="J6" s="15"/>
      <c r="K6" s="15"/>
      <c r="L6" s="16">
        <v>0.99810332230866505</v>
      </c>
      <c r="M6" s="19">
        <f t="shared" si="1"/>
        <v>0.32258217451960974</v>
      </c>
    </row>
    <row r="7" spans="1:13" x14ac:dyDescent="0.2">
      <c r="A7" s="15">
        <v>0</v>
      </c>
      <c r="B7" s="15">
        <v>0.5</v>
      </c>
      <c r="C7" s="15"/>
      <c r="D7" s="15"/>
      <c r="E7" s="16">
        <v>0.82954311690540095</v>
      </c>
      <c r="F7" s="19">
        <f t="shared" si="0"/>
        <v>0.40915141117346776</v>
      </c>
      <c r="G7" s="15"/>
      <c r="H7" s="15">
        <v>0</v>
      </c>
      <c r="I7" s="15">
        <v>0.5</v>
      </c>
      <c r="J7" s="15"/>
      <c r="K7" s="15"/>
      <c r="L7" s="16">
        <v>1.07008224551428</v>
      </c>
      <c r="M7" s="19">
        <f t="shared" si="1"/>
        <v>0.21615338434751305</v>
      </c>
    </row>
    <row r="8" spans="1:13" x14ac:dyDescent="0.2">
      <c r="A8" s="15">
        <v>0</v>
      </c>
      <c r="B8" s="15">
        <v>0.7</v>
      </c>
      <c r="C8" s="15"/>
      <c r="D8" s="15"/>
      <c r="E8" s="16">
        <v>0.663795861962027</v>
      </c>
      <c r="F8" s="19">
        <f t="shared" si="0"/>
        <v>0.19644043193273358</v>
      </c>
      <c r="G8" s="15"/>
      <c r="H8" s="15">
        <v>0</v>
      </c>
      <c r="I8" s="15">
        <v>0.7</v>
      </c>
      <c r="J8" s="15"/>
      <c r="K8" s="15"/>
      <c r="L8" s="16">
        <v>1.5693502224390901</v>
      </c>
      <c r="M8" s="19">
        <f t="shared" si="1"/>
        <v>0.1902024054106437</v>
      </c>
    </row>
    <row r="9" spans="1:13" x14ac:dyDescent="0.2">
      <c r="A9" s="15">
        <v>0</v>
      </c>
      <c r="B9" s="15">
        <v>0.9</v>
      </c>
      <c r="C9" s="15"/>
      <c r="D9" s="15"/>
      <c r="E9" s="16">
        <v>0.54249361585387001</v>
      </c>
      <c r="F9" s="19">
        <f t="shared" si="0"/>
        <v>5.3514283695640617E-2</v>
      </c>
      <c r="G9" s="15"/>
      <c r="H9" s="15">
        <v>0</v>
      </c>
      <c r="I9" s="15">
        <v>0.9</v>
      </c>
      <c r="J9" s="15"/>
      <c r="K9" s="15"/>
      <c r="L9" s="16">
        <v>19.203226471966001</v>
      </c>
      <c r="M9" s="19">
        <f t="shared" si="1"/>
        <v>0.77579875933972053</v>
      </c>
    </row>
    <row r="10" spans="1:13" ht="13.5" thickBot="1" x14ac:dyDescent="0.25">
      <c r="A10" s="17">
        <v>0</v>
      </c>
      <c r="B10" s="17">
        <v>0.95</v>
      </c>
      <c r="C10" s="17"/>
      <c r="D10" s="17"/>
      <c r="E10" s="18">
        <v>0.56436930698509702</v>
      </c>
      <c r="F10" s="20">
        <f t="shared" si="0"/>
        <v>2.7836105642990629E-2</v>
      </c>
      <c r="G10" s="15"/>
      <c r="H10" s="17">
        <v>0</v>
      </c>
      <c r="I10" s="17">
        <v>0.95</v>
      </c>
      <c r="J10" s="17"/>
      <c r="K10" s="17"/>
      <c r="L10" s="18">
        <v>208.63339186388501</v>
      </c>
      <c r="M10" s="20">
        <f t="shared" si="1"/>
        <v>4.2143315551980036</v>
      </c>
    </row>
    <row r="11" spans="1:13" x14ac:dyDescent="0.2">
      <c r="A11" s="15">
        <v>25</v>
      </c>
      <c r="B11" s="15">
        <v>0</v>
      </c>
      <c r="C11" s="15"/>
      <c r="D11" s="15"/>
      <c r="E11" s="16">
        <v>1</v>
      </c>
      <c r="F11" s="19">
        <v>6.4172426694401521</v>
      </c>
      <c r="G11" s="15"/>
      <c r="H11" s="15">
        <v>25</v>
      </c>
      <c r="I11" s="15">
        <v>0</v>
      </c>
      <c r="J11" s="15"/>
      <c r="K11" s="15"/>
      <c r="L11" s="16">
        <v>1</v>
      </c>
      <c r="M11" s="19">
        <v>5.1646801833822957</v>
      </c>
    </row>
    <row r="12" spans="1:13" x14ac:dyDescent="0.2">
      <c r="A12" s="15">
        <v>25</v>
      </c>
      <c r="B12" s="15">
        <v>0.1</v>
      </c>
      <c r="C12" s="15"/>
      <c r="D12" s="15"/>
      <c r="E12" s="16">
        <v>0.995028148778767</v>
      </c>
      <c r="F12" s="19">
        <f t="shared" ref="F12:F17" si="2">F$11*E12*(1-B12)</f>
        <v>5.7468033842734334</v>
      </c>
      <c r="G12" s="15"/>
      <c r="H12" s="15">
        <v>25</v>
      </c>
      <c r="I12" s="15">
        <v>0.1</v>
      </c>
      <c r="J12" s="15"/>
      <c r="K12" s="15"/>
      <c r="L12" s="16">
        <v>1.00035408185256</v>
      </c>
      <c r="M12" s="19">
        <f t="shared" ref="M12:M17" si="3">M$11*L12*(1-I12)</f>
        <v>4.6498580126185569</v>
      </c>
    </row>
    <row r="13" spans="1:13" x14ac:dyDescent="0.2">
      <c r="A13" s="15">
        <v>25</v>
      </c>
      <c r="B13" s="15">
        <v>0.2</v>
      </c>
      <c r="C13" s="15"/>
      <c r="D13" s="15"/>
      <c r="E13" s="16">
        <v>0.97879471172807597</v>
      </c>
      <c r="F13" s="19">
        <f t="shared" si="2"/>
        <v>5.0249305509790263</v>
      </c>
      <c r="G13" s="15"/>
      <c r="H13" s="15">
        <v>25</v>
      </c>
      <c r="I13" s="15">
        <v>0.2</v>
      </c>
      <c r="J13" s="15"/>
      <c r="K13" s="15"/>
      <c r="L13" s="16">
        <v>1.0034529387519999</v>
      </c>
      <c r="M13" s="19">
        <f t="shared" si="3"/>
        <v>4.1460108061833463</v>
      </c>
    </row>
    <row r="14" spans="1:13" x14ac:dyDescent="0.2">
      <c r="A14" s="15">
        <v>25</v>
      </c>
      <c r="B14" s="15">
        <v>0.5</v>
      </c>
      <c r="C14" s="15"/>
      <c r="D14" s="15"/>
      <c r="E14" s="16">
        <v>0.84764506181293398</v>
      </c>
      <c r="F14" s="19">
        <f t="shared" si="2"/>
        <v>2.7197720296030976</v>
      </c>
      <c r="G14" s="15"/>
      <c r="H14" s="15">
        <v>25</v>
      </c>
      <c r="I14" s="15">
        <v>0.5</v>
      </c>
      <c r="J14" s="15"/>
      <c r="K14" s="15"/>
      <c r="L14" s="16">
        <v>1.1077136045765299</v>
      </c>
      <c r="M14" s="19">
        <f t="shared" si="3"/>
        <v>2.8604932512096881</v>
      </c>
    </row>
    <row r="15" spans="1:13" x14ac:dyDescent="0.2">
      <c r="A15" s="15">
        <v>25</v>
      </c>
      <c r="B15" s="15">
        <v>0.7</v>
      </c>
      <c r="C15" s="15"/>
      <c r="D15" s="15"/>
      <c r="E15" s="16">
        <v>0.70157350747794101</v>
      </c>
      <c r="F15" s="19">
        <f t="shared" si="2"/>
        <v>1.3506502343808702</v>
      </c>
      <c r="G15" s="15"/>
      <c r="H15" s="15">
        <v>25</v>
      </c>
      <c r="I15" s="15">
        <v>0.7</v>
      </c>
      <c r="J15" s="15"/>
      <c r="K15" s="15"/>
      <c r="L15" s="16">
        <v>1.6756124678512501</v>
      </c>
      <c r="M15" s="19">
        <f t="shared" si="3"/>
        <v>2.5962007523218968</v>
      </c>
    </row>
    <row r="16" spans="1:13" x14ac:dyDescent="0.2">
      <c r="A16" s="15">
        <v>25</v>
      </c>
      <c r="B16" s="15">
        <v>0.9</v>
      </c>
      <c r="C16" s="15"/>
      <c r="D16" s="15"/>
      <c r="E16" s="16">
        <v>0.61723594404061499</v>
      </c>
      <c r="F16" s="19">
        <f t="shared" si="2"/>
        <v>0.39609528372096076</v>
      </c>
      <c r="G16" s="15"/>
      <c r="H16" s="15">
        <v>25</v>
      </c>
      <c r="I16" s="15">
        <v>0.9</v>
      </c>
      <c r="J16" s="15"/>
      <c r="K16" s="15"/>
      <c r="L16" s="16">
        <v>20.2115539346871</v>
      </c>
      <c r="M16" s="19">
        <f t="shared" si="3"/>
        <v>10.43862120818409</v>
      </c>
    </row>
    <row r="17" spans="1:13" ht="13.5" thickBot="1" x14ac:dyDescent="0.25">
      <c r="A17" s="17">
        <v>25</v>
      </c>
      <c r="B17" s="17">
        <v>0.95</v>
      </c>
      <c r="C17" s="17"/>
      <c r="D17" s="17"/>
      <c r="E17" s="18">
        <v>0.66177397548088301</v>
      </c>
      <c r="F17" s="20">
        <f t="shared" si="2"/>
        <v>0.21233820964904837</v>
      </c>
      <c r="G17" s="15"/>
      <c r="H17" s="17">
        <v>25</v>
      </c>
      <c r="I17" s="17">
        <v>0.95</v>
      </c>
      <c r="J17" s="17"/>
      <c r="K17" s="17"/>
      <c r="L17" s="18">
        <v>202.92776722507199</v>
      </c>
      <c r="M17" s="20">
        <f t="shared" si="3"/>
        <v>52.402850902267282</v>
      </c>
    </row>
    <row r="18" spans="1:13" x14ac:dyDescent="0.2">
      <c r="A18" s="15">
        <v>90</v>
      </c>
      <c r="B18" s="15">
        <v>0</v>
      </c>
      <c r="C18" s="15"/>
      <c r="D18" s="15"/>
      <c r="E18" s="16">
        <v>1</v>
      </c>
      <c r="F18" s="19">
        <v>1051.1082756898625</v>
      </c>
      <c r="G18" s="15"/>
      <c r="H18" s="15">
        <v>90</v>
      </c>
      <c r="I18" s="15">
        <v>0</v>
      </c>
      <c r="J18" s="15"/>
      <c r="K18" s="15"/>
      <c r="L18" s="16">
        <v>1</v>
      </c>
      <c r="M18" s="19">
        <v>5248.0036042100983</v>
      </c>
    </row>
    <row r="19" spans="1:13" x14ac:dyDescent="0.2">
      <c r="A19" s="15">
        <v>90</v>
      </c>
      <c r="B19" s="15">
        <v>0.1</v>
      </c>
      <c r="C19" s="15"/>
      <c r="D19" s="15"/>
      <c r="E19" s="16">
        <v>0.99615873719790804</v>
      </c>
      <c r="F19" s="19">
        <f t="shared" ref="F19:F24" si="4">F$18*E19*(1-B19)</f>
        <v>942.36362331253565</v>
      </c>
      <c r="G19" s="15"/>
      <c r="H19" s="15">
        <v>90</v>
      </c>
      <c r="I19" s="15">
        <v>0.1</v>
      </c>
      <c r="J19" s="15"/>
      <c r="K19" s="15"/>
      <c r="L19" s="16">
        <v>1.0024709200059401</v>
      </c>
      <c r="M19" s="19">
        <f t="shared" ref="M19:M24" si="5">M$18*L19*(1-I19)</f>
        <v>4734.8739011762873</v>
      </c>
    </row>
    <row r="20" spans="1:13" x14ac:dyDescent="0.2">
      <c r="A20" s="15">
        <v>90</v>
      </c>
      <c r="B20" s="15">
        <v>0.2</v>
      </c>
      <c r="C20" s="15"/>
      <c r="D20" s="15"/>
      <c r="E20" s="16">
        <v>0.98368726571905896</v>
      </c>
      <c r="F20" s="19">
        <f t="shared" si="4"/>
        <v>827.16946055042854</v>
      </c>
      <c r="G20" s="15"/>
      <c r="H20" s="15">
        <v>90</v>
      </c>
      <c r="I20" s="15">
        <v>0.2</v>
      </c>
      <c r="J20" s="15"/>
      <c r="K20" s="15"/>
      <c r="L20" s="16">
        <v>1.0122287603089899</v>
      </c>
      <c r="M20" s="19">
        <f t="shared" si="5"/>
        <v>4249.7441459093598</v>
      </c>
    </row>
    <row r="21" spans="1:13" x14ac:dyDescent="0.2">
      <c r="A21" s="15">
        <v>90</v>
      </c>
      <c r="B21" s="15">
        <v>0.5</v>
      </c>
      <c r="C21" s="15"/>
      <c r="D21" s="15"/>
      <c r="E21" s="16">
        <v>0.88486805539790703</v>
      </c>
      <c r="F21" s="19">
        <f t="shared" si="4"/>
        <v>465.04606796116786</v>
      </c>
      <c r="G21" s="15"/>
      <c r="H21" s="15">
        <v>90</v>
      </c>
      <c r="I21" s="15">
        <v>0.5</v>
      </c>
      <c r="J21" s="15"/>
      <c r="K21" s="15"/>
      <c r="L21" s="16">
        <v>1.17409142401191</v>
      </c>
      <c r="M21" s="19">
        <f t="shared" si="5"/>
        <v>3080.8180124433352</v>
      </c>
    </row>
    <row r="22" spans="1:13" x14ac:dyDescent="0.2">
      <c r="A22" s="15">
        <v>90</v>
      </c>
      <c r="B22" s="15">
        <v>0.7</v>
      </c>
      <c r="C22" s="15"/>
      <c r="D22" s="15"/>
      <c r="E22" s="16">
        <v>0.78288689726873495</v>
      </c>
      <c r="F22" s="19">
        <f t="shared" si="4"/>
        <v>246.869668994498</v>
      </c>
      <c r="G22" s="15"/>
      <c r="H22" s="15">
        <v>90</v>
      </c>
      <c r="I22" s="15">
        <v>0.7</v>
      </c>
      <c r="J22" s="15"/>
      <c r="K22" s="15"/>
      <c r="L22" s="16">
        <v>1.87021749182311</v>
      </c>
      <c r="M22" s="19">
        <f t="shared" si="5"/>
        <v>2944.4724413233357</v>
      </c>
    </row>
    <row r="23" spans="1:13" x14ac:dyDescent="0.2">
      <c r="A23" s="15">
        <v>90</v>
      </c>
      <c r="B23" s="15">
        <v>0.9</v>
      </c>
      <c r="C23" s="15"/>
      <c r="D23" s="15"/>
      <c r="E23" s="16">
        <v>0.79328691990503397</v>
      </c>
      <c r="F23" s="19">
        <f t="shared" si="4"/>
        <v>83.383044650870204</v>
      </c>
      <c r="G23" s="15"/>
      <c r="H23" s="15">
        <v>90</v>
      </c>
      <c r="I23" s="15">
        <v>0.9</v>
      </c>
      <c r="J23" s="15"/>
      <c r="K23" s="15"/>
      <c r="L23" s="16">
        <v>21.415734642253199</v>
      </c>
      <c r="M23" s="19">
        <f t="shared" si="5"/>
        <v>11238.985258935183</v>
      </c>
    </row>
    <row r="24" spans="1:13" x14ac:dyDescent="0.2">
      <c r="A24" s="15">
        <v>90</v>
      </c>
      <c r="B24" s="15">
        <v>0.95</v>
      </c>
      <c r="C24" s="15"/>
      <c r="D24" s="15"/>
      <c r="E24" s="16">
        <v>0.89954371401751498</v>
      </c>
      <c r="F24" s="19">
        <f t="shared" si="4"/>
        <v>47.275892107430288</v>
      </c>
      <c r="G24" s="15"/>
      <c r="H24" s="15">
        <v>90</v>
      </c>
      <c r="I24" s="15">
        <v>0.95</v>
      </c>
      <c r="J24" s="15"/>
      <c r="K24" s="15"/>
      <c r="L24" s="16">
        <v>182.36605371420501</v>
      </c>
      <c r="M24" s="19">
        <f t="shared" si="5"/>
        <v>47852.885358886058</v>
      </c>
    </row>
    <row r="28" spans="1:13" x14ac:dyDescent="0.2">
      <c r="A28" s="21" t="s">
        <v>469</v>
      </c>
      <c r="B28" s="21" t="s">
        <v>470</v>
      </c>
      <c r="C28" s="21" t="s">
        <v>468</v>
      </c>
      <c r="D28" s="21"/>
      <c r="E28" s="21" t="s">
        <v>6</v>
      </c>
      <c r="F28" s="21"/>
      <c r="H28" s="21" t="s">
        <v>469</v>
      </c>
      <c r="I28" s="21" t="s">
        <v>470</v>
      </c>
      <c r="J28" s="21" t="s">
        <v>468</v>
      </c>
      <c r="K28" s="21"/>
      <c r="L28" s="21" t="s">
        <v>12</v>
      </c>
    </row>
    <row r="29" spans="1:13" x14ac:dyDescent="0.2">
      <c r="C29" t="s">
        <v>464</v>
      </c>
      <c r="D29" t="s">
        <v>471</v>
      </c>
      <c r="E29" t="s">
        <v>464</v>
      </c>
      <c r="F29" t="s">
        <v>471</v>
      </c>
      <c r="J29" t="s">
        <v>464</v>
      </c>
      <c r="K29" t="s">
        <v>471</v>
      </c>
      <c r="L29" t="s">
        <v>464</v>
      </c>
      <c r="M29" t="s">
        <v>471</v>
      </c>
    </row>
    <row r="30" spans="1:13" x14ac:dyDescent="0.2">
      <c r="A30" s="15">
        <v>0</v>
      </c>
      <c r="B30" s="15">
        <v>0</v>
      </c>
      <c r="C30" s="16">
        <v>0.73433728332703996</v>
      </c>
      <c r="D30" s="15"/>
      <c r="E30" s="16">
        <v>1.3606275901892899</v>
      </c>
      <c r="F30" s="19">
        <v>0.98645001769118745</v>
      </c>
      <c r="G30" s="15"/>
      <c r="H30" s="15">
        <v>0</v>
      </c>
      <c r="I30" s="15">
        <v>0</v>
      </c>
      <c r="J30" s="16">
        <v>0.73433728332703996</v>
      </c>
      <c r="K30" s="15"/>
      <c r="L30" s="16">
        <v>3.1692965115980001</v>
      </c>
      <c r="M30" s="19">
        <v>0.40399396448939312</v>
      </c>
    </row>
    <row r="31" spans="1:13" x14ac:dyDescent="0.2">
      <c r="A31" s="15">
        <v>0</v>
      </c>
      <c r="B31" s="15">
        <v>0.1</v>
      </c>
      <c r="C31" s="16">
        <v>0.80664204460330602</v>
      </c>
      <c r="D31" s="15"/>
      <c r="E31" s="16">
        <v>1.3008907923664701</v>
      </c>
      <c r="F31" s="19">
        <f t="shared" ref="F31:F36" si="6">F$30*E31*(1-B31)</f>
        <v>1.1549373706297865</v>
      </c>
      <c r="G31" s="15"/>
      <c r="H31" s="15">
        <v>0</v>
      </c>
      <c r="I31" s="15">
        <v>0.1</v>
      </c>
      <c r="J31" s="16">
        <v>0.80664204460330602</v>
      </c>
      <c r="K31" s="15"/>
      <c r="L31" s="16">
        <v>3.5686852494902199</v>
      </c>
      <c r="M31" s="19">
        <f t="shared" ref="M31:M36" si="7">M$4*L31*(1-I31)</f>
        <v>1.2975545717607357</v>
      </c>
    </row>
    <row r="32" spans="1:13" x14ac:dyDescent="0.2">
      <c r="A32" s="15">
        <v>0</v>
      </c>
      <c r="B32" s="15">
        <v>0.2</v>
      </c>
      <c r="C32" s="16">
        <v>0.88435415688194596</v>
      </c>
      <c r="D32" s="15"/>
      <c r="E32" s="16">
        <v>1.2194434613310801</v>
      </c>
      <c r="F32" s="19">
        <f t="shared" si="6"/>
        <v>0.96233601920275746</v>
      </c>
      <c r="G32" s="15"/>
      <c r="H32" s="15">
        <v>0</v>
      </c>
      <c r="I32" s="15">
        <v>0.2</v>
      </c>
      <c r="J32" s="16">
        <v>0.88435415688194596</v>
      </c>
      <c r="K32" s="15"/>
      <c r="L32" s="16">
        <v>4.0791187251777803</v>
      </c>
      <c r="M32" s="19">
        <f t="shared" si="7"/>
        <v>1.3183514763259927</v>
      </c>
    </row>
    <row r="33" spans="1:13" x14ac:dyDescent="0.2">
      <c r="A33" s="15">
        <v>0</v>
      </c>
      <c r="B33" s="15">
        <v>0.5</v>
      </c>
      <c r="C33" s="16">
        <v>1.1220192966712399</v>
      </c>
      <c r="D33" s="15"/>
      <c r="E33" s="16">
        <v>0.84456772244364298</v>
      </c>
      <c r="F33" s="19">
        <f t="shared" si="6"/>
        <v>0.41656192237296874</v>
      </c>
      <c r="G33" s="15"/>
      <c r="H33" s="15">
        <v>0</v>
      </c>
      <c r="I33" s="15">
        <v>0.5</v>
      </c>
      <c r="J33" s="16">
        <v>1.1220192966712399</v>
      </c>
      <c r="K33" s="15"/>
      <c r="L33" s="16">
        <v>7.3468490173501602</v>
      </c>
      <c r="M33" s="19">
        <f t="shared" si="7"/>
        <v>1.4840413305121467</v>
      </c>
    </row>
    <row r="34" spans="1:13" x14ac:dyDescent="0.2">
      <c r="A34" s="15">
        <v>0</v>
      </c>
      <c r="B34" s="15">
        <v>0.7</v>
      </c>
      <c r="C34" s="16">
        <v>1.2067820015787101</v>
      </c>
      <c r="D34" s="15"/>
      <c r="E34" s="16">
        <v>0.53831656049412802</v>
      </c>
      <c r="F34" s="19">
        <f t="shared" si="6"/>
        <v>0.15930671418686754</v>
      </c>
      <c r="G34" s="15"/>
      <c r="H34" s="15">
        <v>0</v>
      </c>
      <c r="I34" s="15">
        <v>0.7</v>
      </c>
      <c r="J34" s="16">
        <v>1.2067820015787101</v>
      </c>
      <c r="K34" s="15"/>
      <c r="L34" s="16">
        <v>17.485478014666501</v>
      </c>
      <c r="M34" s="19">
        <f t="shared" si="7"/>
        <v>2.1192082752411734</v>
      </c>
    </row>
    <row r="35" spans="1:13" x14ac:dyDescent="0.2">
      <c r="A35" s="15">
        <v>0</v>
      </c>
      <c r="B35" s="15">
        <v>0.9</v>
      </c>
      <c r="C35" s="16">
        <v>1.09349848453833</v>
      </c>
      <c r="D35" s="15"/>
      <c r="E35" s="16">
        <v>0.34833814019592202</v>
      </c>
      <c r="F35" s="19">
        <f t="shared" si="6"/>
        <v>3.4361816455878255E-2</v>
      </c>
      <c r="G35" s="15"/>
      <c r="H35" s="15">
        <v>0</v>
      </c>
      <c r="I35" s="15">
        <v>0.9</v>
      </c>
      <c r="J35" s="16">
        <v>1.09349848453833</v>
      </c>
      <c r="K35" s="15"/>
      <c r="L35" s="16">
        <v>313.43436656665699</v>
      </c>
      <c r="M35" s="19">
        <f t="shared" si="7"/>
        <v>12.662559235648542</v>
      </c>
    </row>
    <row r="36" spans="1:13" ht="13.5" thickBot="1" x14ac:dyDescent="0.25">
      <c r="A36" s="17">
        <v>0</v>
      </c>
      <c r="B36" s="17">
        <v>0.95</v>
      </c>
      <c r="C36" s="18">
        <v>1.0351974419918499</v>
      </c>
      <c r="D36" s="17"/>
      <c r="E36" s="18">
        <v>0.38989120722332699</v>
      </c>
      <c r="F36" s="19">
        <f t="shared" si="6"/>
        <v>1.9230409413154483E-2</v>
      </c>
      <c r="G36" s="15"/>
      <c r="H36" s="17">
        <v>0</v>
      </c>
      <c r="I36" s="17">
        <v>0.95</v>
      </c>
      <c r="J36" s="18">
        <v>1.0351974419918499</v>
      </c>
      <c r="K36" s="17"/>
      <c r="L36" s="18">
        <v>2188.0397366820698</v>
      </c>
      <c r="M36" s="20">
        <f t="shared" si="7"/>
        <v>44.197742384125903</v>
      </c>
    </row>
    <row r="37" spans="1:13" x14ac:dyDescent="0.2">
      <c r="A37" s="15">
        <v>25</v>
      </c>
      <c r="B37" s="15">
        <v>0</v>
      </c>
      <c r="C37" s="16">
        <v>0.79613046308705504</v>
      </c>
      <c r="D37" s="15"/>
      <c r="E37" s="16">
        <v>1.34877038272247</v>
      </c>
      <c r="F37" s="19">
        <v>6.4172426694401521</v>
      </c>
      <c r="G37" s="15"/>
      <c r="H37" s="15">
        <v>25</v>
      </c>
      <c r="I37" s="15">
        <v>0</v>
      </c>
      <c r="J37" s="16">
        <v>0.79613046308705504</v>
      </c>
      <c r="K37" s="15"/>
      <c r="L37" s="16">
        <v>3.0857949471828001</v>
      </c>
      <c r="M37" s="19">
        <v>5.1646801833822957</v>
      </c>
    </row>
    <row r="38" spans="1:13" x14ac:dyDescent="0.2">
      <c r="A38" s="15">
        <v>25</v>
      </c>
      <c r="B38" s="15">
        <v>0.1</v>
      </c>
      <c r="C38" s="16">
        <v>0.86531014003488704</v>
      </c>
      <c r="D38" s="15"/>
      <c r="E38" s="16">
        <v>1.2898448371671001</v>
      </c>
      <c r="F38" s="19">
        <f t="shared" ref="F38:F43" si="8">F$37*E38*(1-B38)</f>
        <v>7.4495225934232199</v>
      </c>
      <c r="G38" s="15"/>
      <c r="H38" s="15">
        <v>25</v>
      </c>
      <c r="I38" s="15">
        <v>0.1</v>
      </c>
      <c r="J38" s="16">
        <v>0.86531014003488704</v>
      </c>
      <c r="K38" s="15"/>
      <c r="L38" s="16">
        <v>3.4789035370372798</v>
      </c>
      <c r="M38" s="19">
        <f t="shared" ref="M38:M43" si="9">M$11*L38*(1-I38)</f>
        <v>16.170681741871515</v>
      </c>
    </row>
    <row r="39" spans="1:13" x14ac:dyDescent="0.2">
      <c r="A39" s="15">
        <v>25</v>
      </c>
      <c r="B39" s="15">
        <v>0.2</v>
      </c>
      <c r="C39" s="16">
        <v>0.93858244345543096</v>
      </c>
      <c r="D39" s="15"/>
      <c r="E39" s="16">
        <v>1.21117638666203</v>
      </c>
      <c r="F39" s="19">
        <f t="shared" si="8"/>
        <v>6.2179302309647388</v>
      </c>
      <c r="G39" s="15"/>
      <c r="H39" s="15">
        <v>25</v>
      </c>
      <c r="I39" s="15">
        <v>0.2</v>
      </c>
      <c r="J39" s="16">
        <v>0.93858244345543096</v>
      </c>
      <c r="K39" s="15"/>
      <c r="L39" s="16">
        <v>3.98331786368685</v>
      </c>
      <c r="M39" s="19">
        <f t="shared" si="9"/>
        <v>16.458050267756942</v>
      </c>
    </row>
    <row r="40" spans="1:13" x14ac:dyDescent="0.2">
      <c r="A40" s="15">
        <v>25</v>
      </c>
      <c r="B40" s="15">
        <v>0.5</v>
      </c>
      <c r="C40" s="16">
        <v>1.1536187050450899</v>
      </c>
      <c r="D40" s="15"/>
      <c r="E40" s="16">
        <v>0.85555107567909605</v>
      </c>
      <c r="F40" s="19">
        <f t="shared" si="8"/>
        <v>2.7451394343666577</v>
      </c>
      <c r="G40" s="15"/>
      <c r="H40" s="15">
        <v>25</v>
      </c>
      <c r="I40" s="15">
        <v>0.5</v>
      </c>
      <c r="J40" s="16">
        <v>1.1536187050450899</v>
      </c>
      <c r="K40" s="15"/>
      <c r="L40" s="16">
        <v>7.2286301310547403</v>
      </c>
      <c r="M40" s="19">
        <f t="shared" si="9"/>
        <v>18.666781395429293</v>
      </c>
    </row>
    <row r="41" spans="1:13" x14ac:dyDescent="0.2">
      <c r="A41" s="15">
        <v>25</v>
      </c>
      <c r="B41" s="15">
        <v>0.7</v>
      </c>
      <c r="C41" s="16">
        <v>1.2179786016260501</v>
      </c>
      <c r="D41" s="15"/>
      <c r="E41" s="16">
        <v>0.56517794010789402</v>
      </c>
      <c r="F41" s="19">
        <f t="shared" si="8"/>
        <v>1.0880651979260008</v>
      </c>
      <c r="G41" s="15"/>
      <c r="H41" s="15">
        <v>25</v>
      </c>
      <c r="I41" s="15">
        <v>0.7</v>
      </c>
      <c r="J41" s="16">
        <v>1.2179786016260501</v>
      </c>
      <c r="K41" s="15"/>
      <c r="L41" s="16">
        <v>17.220041794172001</v>
      </c>
      <c r="M41" s="19">
        <f t="shared" si="9"/>
        <v>26.680802583412518</v>
      </c>
    </row>
    <row r="42" spans="1:13" x14ac:dyDescent="0.2">
      <c r="A42" s="15">
        <v>25</v>
      </c>
      <c r="B42" s="15">
        <v>0.9</v>
      </c>
      <c r="C42" s="16">
        <v>1.0925468639445499</v>
      </c>
      <c r="D42" s="15"/>
      <c r="E42" s="16">
        <v>0.39325000538862498</v>
      </c>
      <c r="F42" s="19">
        <f t="shared" si="8"/>
        <v>0.25235807143374533</v>
      </c>
      <c r="G42" s="15"/>
      <c r="H42" s="15">
        <v>25</v>
      </c>
      <c r="I42" s="15">
        <v>0.9</v>
      </c>
      <c r="J42" s="16">
        <v>1.0925468639445499</v>
      </c>
      <c r="K42" s="15"/>
      <c r="L42" s="16">
        <v>291.338586714097</v>
      </c>
      <c r="M42" s="19">
        <f t="shared" si="9"/>
        <v>150.46706254569011</v>
      </c>
    </row>
    <row r="43" spans="1:13" ht="13.5" thickBot="1" x14ac:dyDescent="0.25">
      <c r="A43" s="17">
        <v>25</v>
      </c>
      <c r="B43" s="17">
        <v>0.95</v>
      </c>
      <c r="C43" s="18">
        <v>1.0344513718304</v>
      </c>
      <c r="D43" s="17"/>
      <c r="E43" s="18">
        <v>0.450587674813543</v>
      </c>
      <c r="F43" s="19">
        <f t="shared" si="8"/>
        <v>0.14457652265686474</v>
      </c>
      <c r="G43" s="15"/>
      <c r="H43" s="17">
        <v>25</v>
      </c>
      <c r="I43" s="17">
        <v>0.95</v>
      </c>
      <c r="J43" s="18">
        <v>1.0344513718304</v>
      </c>
      <c r="K43" s="17"/>
      <c r="L43" s="18">
        <v>1903.7292053199801</v>
      </c>
      <c r="M43" s="20">
        <f t="shared" si="9"/>
        <v>491.60762506211177</v>
      </c>
    </row>
    <row r="44" spans="1:13" x14ac:dyDescent="0.2">
      <c r="A44" s="15">
        <v>90</v>
      </c>
      <c r="B44" s="15">
        <v>0</v>
      </c>
      <c r="C44" s="16">
        <v>0.98257755097441102</v>
      </c>
      <c r="D44" s="15"/>
      <c r="E44" s="16">
        <v>1.3095111363716201</v>
      </c>
      <c r="F44" s="19">
        <v>1051.1082756898625</v>
      </c>
      <c r="G44" s="15"/>
      <c r="H44" s="15">
        <v>90</v>
      </c>
      <c r="I44" s="15">
        <v>0</v>
      </c>
      <c r="J44" s="16">
        <v>0.98257755097441102</v>
      </c>
      <c r="K44" s="15"/>
      <c r="L44" s="16">
        <v>2.7954841170045199</v>
      </c>
      <c r="M44" s="19">
        <v>5248.0036042100983</v>
      </c>
    </row>
    <row r="45" spans="1:13" x14ac:dyDescent="0.2">
      <c r="A45" s="15">
        <v>90</v>
      </c>
      <c r="B45" s="15">
        <v>0.1</v>
      </c>
      <c r="C45" s="16">
        <v>1.03890398099284</v>
      </c>
      <c r="D45" s="15"/>
      <c r="E45" s="16">
        <v>1.2538411731569701</v>
      </c>
      <c r="F45" s="19">
        <f t="shared" ref="F45:F50" si="10">F$18*E45*(1-B45)</f>
        <v>1186.1305501553793</v>
      </c>
      <c r="G45" s="15"/>
      <c r="H45" s="15">
        <v>90</v>
      </c>
      <c r="I45" s="15">
        <v>0.1</v>
      </c>
      <c r="J45" s="16">
        <v>1.03890398099284</v>
      </c>
      <c r="K45" s="15"/>
      <c r="L45" s="16">
        <v>3.1567121500895401</v>
      </c>
      <c r="M45" s="19">
        <f t="shared" ref="M45:M50" si="11">M$18*L45*(1-I45)</f>
        <v>14909.793067011344</v>
      </c>
    </row>
    <row r="46" spans="1:13" x14ac:dyDescent="0.2">
      <c r="A46" s="15">
        <v>90</v>
      </c>
      <c r="B46" s="15">
        <v>0.2</v>
      </c>
      <c r="C46" s="16">
        <v>1.09574171872588</v>
      </c>
      <c r="D46" s="15"/>
      <c r="E46" s="16">
        <v>1.1835213303415</v>
      </c>
      <c r="F46" s="19">
        <f t="shared" si="10"/>
        <v>995.20725182194099</v>
      </c>
      <c r="G46" s="15"/>
      <c r="H46" s="15">
        <v>90</v>
      </c>
      <c r="I46" s="15">
        <v>0.2</v>
      </c>
      <c r="J46" s="16">
        <v>1.09574171872588</v>
      </c>
      <c r="K46" s="15"/>
      <c r="L46" s="16">
        <v>3.6245603730861999</v>
      </c>
      <c r="M46" s="19">
        <f t="shared" si="11"/>
        <v>15217.364721306782</v>
      </c>
    </row>
    <row r="47" spans="1:13" x14ac:dyDescent="0.2">
      <c r="A47" s="15">
        <v>90</v>
      </c>
      <c r="B47" s="15">
        <v>0.5</v>
      </c>
      <c r="C47" s="16">
        <v>1.2387455747709699</v>
      </c>
      <c r="D47" s="15"/>
      <c r="E47" s="16">
        <v>0.88289021838551696</v>
      </c>
      <c r="F47" s="19">
        <f t="shared" si="10"/>
        <v>464.00660753532344</v>
      </c>
      <c r="G47" s="15"/>
      <c r="H47" s="15">
        <v>90</v>
      </c>
      <c r="I47" s="15">
        <v>0.5</v>
      </c>
      <c r="J47" s="16">
        <v>1.2387455747709699</v>
      </c>
      <c r="K47" s="15"/>
      <c r="L47" s="16">
        <v>6.6676211569641204</v>
      </c>
      <c r="M47" s="19">
        <f t="shared" si="11"/>
        <v>17495.849931627603</v>
      </c>
    </row>
    <row r="48" spans="1:13" x14ac:dyDescent="0.2">
      <c r="A48" s="15">
        <v>90</v>
      </c>
      <c r="B48" s="15">
        <v>0.7</v>
      </c>
      <c r="C48" s="16">
        <v>1.24613300625469</v>
      </c>
      <c r="D48" s="15"/>
      <c r="E48" s="16">
        <v>0.64200196066063797</v>
      </c>
      <c r="F48" s="19">
        <f t="shared" si="10"/>
        <v>202.44407215785427</v>
      </c>
      <c r="G48" s="15"/>
      <c r="H48" s="15">
        <v>90</v>
      </c>
      <c r="I48" s="15">
        <v>0.7</v>
      </c>
      <c r="J48" s="16">
        <v>1.24613300625469</v>
      </c>
      <c r="K48" s="15"/>
      <c r="L48" s="16">
        <v>15.810707066699599</v>
      </c>
      <c r="M48" s="19">
        <f t="shared" si="11"/>
        <v>24892.394301344873</v>
      </c>
    </row>
    <row r="49" spans="1:13" x14ac:dyDescent="0.2">
      <c r="A49" s="15">
        <v>90</v>
      </c>
      <c r="B49" s="15">
        <v>0.9</v>
      </c>
      <c r="C49" s="16">
        <v>1.0901391143175001</v>
      </c>
      <c r="D49" s="15"/>
      <c r="E49" s="16">
        <v>0.53837999771620304</v>
      </c>
      <c r="F49" s="19">
        <f t="shared" si="10"/>
        <v>56.589567106539015</v>
      </c>
      <c r="G49" s="15"/>
      <c r="H49" s="15">
        <v>90</v>
      </c>
      <c r="I49" s="15">
        <v>0.9</v>
      </c>
      <c r="J49" s="16">
        <v>1.0901391143175001</v>
      </c>
      <c r="K49" s="15"/>
      <c r="L49" s="16">
        <v>227.19022297129399</v>
      </c>
      <c r="M49" s="19">
        <f t="shared" si="11"/>
        <v>119229.51089946464</v>
      </c>
    </row>
    <row r="50" spans="1:13" x14ac:dyDescent="0.2">
      <c r="A50" s="15">
        <v>90</v>
      </c>
      <c r="B50" s="15">
        <v>0.95</v>
      </c>
      <c r="C50" s="16">
        <v>1.0326943511092199</v>
      </c>
      <c r="D50" s="15"/>
      <c r="E50" s="16">
        <v>0.65363926793689298</v>
      </c>
      <c r="F50" s="19">
        <f t="shared" si="10"/>
        <v>34.352282192216613</v>
      </c>
      <c r="G50" s="15"/>
      <c r="H50" s="15">
        <v>90</v>
      </c>
      <c r="I50" s="15">
        <v>0.95</v>
      </c>
      <c r="J50" s="16">
        <v>1.0326943511092199</v>
      </c>
      <c r="K50" s="15"/>
      <c r="L50" s="16">
        <v>1254.52879343067</v>
      </c>
      <c r="M50" s="19">
        <f t="shared" si="11"/>
        <v>329188.5814754754</v>
      </c>
    </row>
    <row r="54" spans="1:13" x14ac:dyDescent="0.2">
      <c r="A54" s="21" t="s">
        <v>469</v>
      </c>
      <c r="B54" s="21" t="s">
        <v>470</v>
      </c>
      <c r="C54" s="21" t="s">
        <v>468</v>
      </c>
      <c r="D54" s="21"/>
      <c r="E54" s="21" t="s">
        <v>472</v>
      </c>
      <c r="F54" s="21"/>
    </row>
    <row r="55" spans="1:13" x14ac:dyDescent="0.2">
      <c r="C55" t="s">
        <v>464</v>
      </c>
      <c r="D55" t="s">
        <v>471</v>
      </c>
      <c r="E55" t="s">
        <v>464</v>
      </c>
      <c r="F55" t="s">
        <v>471</v>
      </c>
    </row>
    <row r="56" spans="1:13" x14ac:dyDescent="0.2">
      <c r="A56" s="15">
        <v>0</v>
      </c>
      <c r="B56" s="15">
        <v>0</v>
      </c>
      <c r="C56" s="5">
        <v>0.31372844692745</v>
      </c>
      <c r="D56" s="15"/>
      <c r="E56" s="5">
        <v>0.31372844692745</v>
      </c>
      <c r="F56" s="19">
        <v>1E-14</v>
      </c>
    </row>
    <row r="57" spans="1:13" x14ac:dyDescent="0.2">
      <c r="A57" s="15">
        <v>0</v>
      </c>
      <c r="B57" s="15">
        <v>0.1</v>
      </c>
      <c r="C57" s="5">
        <v>0.99245405692470201</v>
      </c>
      <c r="D57" s="15"/>
      <c r="E57" s="5">
        <v>0.360765046093946</v>
      </c>
      <c r="F57" s="19">
        <f t="shared" ref="F57:F62" si="12">F$56*E57*(1-B57)</f>
        <v>3.246885414845514E-15</v>
      </c>
    </row>
    <row r="58" spans="1:13" x14ac:dyDescent="0.2">
      <c r="A58" s="15">
        <v>0</v>
      </c>
      <c r="B58" s="15">
        <v>0.2</v>
      </c>
      <c r="C58" s="5">
        <v>0.96633224480155699</v>
      </c>
      <c r="D58" s="15"/>
      <c r="E58" s="5">
        <v>0.41887372673812201</v>
      </c>
      <c r="F58" s="19">
        <f t="shared" si="12"/>
        <v>3.3509898139049763E-15</v>
      </c>
    </row>
    <row r="59" spans="1:13" x14ac:dyDescent="0.2">
      <c r="A59" s="15">
        <v>0</v>
      </c>
      <c r="B59" s="15">
        <v>0.5</v>
      </c>
      <c r="C59" s="5">
        <v>0.72017849385618804</v>
      </c>
      <c r="D59" s="15"/>
      <c r="E59" s="5">
        <v>0.69696548293816896</v>
      </c>
      <c r="F59" s="19">
        <f t="shared" si="12"/>
        <v>3.484827414690845E-15</v>
      </c>
    </row>
    <row r="60" spans="1:13" x14ac:dyDescent="0.2">
      <c r="A60" s="15">
        <v>0</v>
      </c>
      <c r="B60" s="15">
        <v>0.7</v>
      </c>
      <c r="C60" s="5">
        <v>0.40621457236082997</v>
      </c>
      <c r="D60" s="15"/>
      <c r="E60" s="5">
        <v>1.0084188338799001</v>
      </c>
      <c r="F60" s="19">
        <f t="shared" si="12"/>
        <v>3.0252565016397007E-15</v>
      </c>
    </row>
    <row r="61" spans="1:13" x14ac:dyDescent="0.2">
      <c r="A61" s="15">
        <v>0</v>
      </c>
      <c r="B61" s="15">
        <v>0.9</v>
      </c>
      <c r="C61" s="5">
        <v>0.20243279926405899</v>
      </c>
      <c r="D61" s="15"/>
      <c r="E61" s="5">
        <v>1.23917165767647</v>
      </c>
      <c r="F61" s="19">
        <f t="shared" si="12"/>
        <v>1.2391716576764696E-15</v>
      </c>
    </row>
    <row r="62" spans="1:13" ht="13.5" thickBot="1" x14ac:dyDescent="0.25">
      <c r="A62" s="17">
        <v>0</v>
      </c>
      <c r="B62" s="17">
        <v>0.95</v>
      </c>
      <c r="C62" s="5">
        <v>0.56890348845836403</v>
      </c>
      <c r="D62" s="22"/>
      <c r="E62" s="5">
        <v>1.15052561003375</v>
      </c>
      <c r="F62" s="19">
        <f t="shared" si="12"/>
        <v>5.752628050168755E-16</v>
      </c>
    </row>
    <row r="63" spans="1:13" x14ac:dyDescent="0.2">
      <c r="A63" s="15">
        <v>25</v>
      </c>
      <c r="B63" s="15">
        <v>0</v>
      </c>
      <c r="C63" s="25">
        <v>0.36058678073695899</v>
      </c>
      <c r="D63" s="24"/>
      <c r="E63" s="25">
        <v>0.36058678073695899</v>
      </c>
      <c r="F63" s="19"/>
    </row>
    <row r="64" spans="1:13" x14ac:dyDescent="0.2">
      <c r="A64" s="15">
        <v>25</v>
      </c>
      <c r="B64" s="15">
        <v>0.1</v>
      </c>
      <c r="C64" s="5">
        <v>0.993024675282277</v>
      </c>
      <c r="D64" s="15"/>
      <c r="E64" s="5">
        <v>0.41026854431353299</v>
      </c>
      <c r="F64" s="19">
        <f t="shared" ref="F64:F69" si="13">F$63*E64*(1-B64)</f>
        <v>0</v>
      </c>
    </row>
    <row r="65" spans="1:6" x14ac:dyDescent="0.2">
      <c r="A65" s="15">
        <v>25</v>
      </c>
      <c r="B65" s="15">
        <v>0.2</v>
      </c>
      <c r="C65" s="5">
        <v>0.96882990938297497</v>
      </c>
      <c r="D65" s="15"/>
      <c r="E65" s="5">
        <v>0.47102592863133302</v>
      </c>
      <c r="F65" s="19">
        <f t="shared" si="13"/>
        <v>0</v>
      </c>
    </row>
    <row r="66" spans="1:6" x14ac:dyDescent="0.2">
      <c r="A66" s="15">
        <v>25</v>
      </c>
      <c r="B66" s="15">
        <v>0.5</v>
      </c>
      <c r="C66" s="5">
        <v>0.738160417677722</v>
      </c>
      <c r="D66" s="15"/>
      <c r="E66" s="5">
        <v>0.75439467382076197</v>
      </c>
      <c r="F66" s="19">
        <f t="shared" si="13"/>
        <v>0</v>
      </c>
    </row>
    <row r="67" spans="1:6" x14ac:dyDescent="0.2">
      <c r="A67" s="15">
        <v>25</v>
      </c>
      <c r="B67" s="15">
        <v>0.7</v>
      </c>
      <c r="C67" s="5">
        <v>0.43695684005402502</v>
      </c>
      <c r="D67" s="15"/>
      <c r="E67" s="5">
        <v>1.0585392345095701</v>
      </c>
      <c r="F67" s="19">
        <f t="shared" si="13"/>
        <v>0</v>
      </c>
    </row>
    <row r="68" spans="1:6" x14ac:dyDescent="0.2">
      <c r="A68" s="15">
        <v>25</v>
      </c>
      <c r="B68" s="15">
        <v>0.9</v>
      </c>
      <c r="C68" s="5">
        <v>0.25985356898971701</v>
      </c>
      <c r="D68" s="15"/>
      <c r="E68" s="5">
        <v>1.2517710344688999</v>
      </c>
      <c r="F68" s="19">
        <f t="shared" si="13"/>
        <v>0</v>
      </c>
    </row>
    <row r="69" spans="1:6" ht="13.5" thickBot="1" x14ac:dyDescent="0.25">
      <c r="A69" s="17">
        <v>25</v>
      </c>
      <c r="B69" s="17">
        <v>0.95</v>
      </c>
      <c r="C69" s="5">
        <v>0.82097443523630098</v>
      </c>
      <c r="D69" s="22"/>
      <c r="E69" s="5">
        <v>1.1514736562654599</v>
      </c>
      <c r="F69" s="19">
        <f t="shared" si="13"/>
        <v>0</v>
      </c>
    </row>
    <row r="70" spans="1:6" x14ac:dyDescent="0.2">
      <c r="A70" s="15">
        <v>90</v>
      </c>
      <c r="B70" s="15">
        <v>0</v>
      </c>
      <c r="C70" s="25">
        <v>0.513979216659883</v>
      </c>
      <c r="D70" s="23"/>
      <c r="E70" s="25">
        <v>0.513979216659883</v>
      </c>
      <c r="F70" s="19"/>
    </row>
    <row r="71" spans="1:6" x14ac:dyDescent="0.2">
      <c r="A71" s="15">
        <v>90</v>
      </c>
      <c r="B71" s="15">
        <v>0.1</v>
      </c>
      <c r="C71" s="5">
        <v>0.99446827738366295</v>
      </c>
      <c r="E71" s="5">
        <v>0.56935014017614805</v>
      </c>
      <c r="F71" s="19">
        <f t="shared" ref="F71:F76" si="14">F$70*E71*(1-B71)</f>
        <v>0</v>
      </c>
    </row>
    <row r="72" spans="1:6" x14ac:dyDescent="0.2">
      <c r="A72" s="15">
        <v>90</v>
      </c>
      <c r="B72" s="15">
        <v>0.2</v>
      </c>
      <c r="C72" s="5">
        <v>0.97524463875535505</v>
      </c>
      <c r="E72" s="5">
        <v>0.63510805348307897</v>
      </c>
      <c r="F72" s="19">
        <f t="shared" si="14"/>
        <v>0</v>
      </c>
    </row>
    <row r="73" spans="1:6" x14ac:dyDescent="0.2">
      <c r="A73" s="15">
        <v>90</v>
      </c>
      <c r="B73" s="15">
        <v>0.5</v>
      </c>
      <c r="C73" s="5">
        <v>0.78807377577007898</v>
      </c>
      <c r="E73" s="5">
        <v>0.91931588194798697</v>
      </c>
      <c r="F73" s="19">
        <f t="shared" si="14"/>
        <v>0</v>
      </c>
    </row>
    <row r="74" spans="1:6" x14ac:dyDescent="0.2">
      <c r="A74" s="15">
        <v>90</v>
      </c>
      <c r="B74" s="15">
        <v>0.7</v>
      </c>
      <c r="C74" s="5">
        <v>0.53203847697837303</v>
      </c>
      <c r="E74" s="5">
        <v>1.1866192880565001</v>
      </c>
      <c r="F74" s="19">
        <f t="shared" si="14"/>
        <v>0</v>
      </c>
    </row>
    <row r="75" spans="1:6" x14ac:dyDescent="0.2">
      <c r="A75" s="15">
        <v>90</v>
      </c>
      <c r="B75" s="15">
        <v>0.9</v>
      </c>
      <c r="C75" s="5">
        <v>0.49257967172292699</v>
      </c>
      <c r="E75" s="5">
        <v>1.27220240213862</v>
      </c>
      <c r="F75" s="19">
        <f t="shared" si="14"/>
        <v>0</v>
      </c>
    </row>
    <row r="76" spans="1:6" x14ac:dyDescent="0.2">
      <c r="A76" s="15">
        <v>90</v>
      </c>
      <c r="B76" s="15">
        <v>0.95</v>
      </c>
      <c r="C76" s="5">
        <v>1.96859359673567</v>
      </c>
      <c r="E76" s="5">
        <v>1.14826949060052</v>
      </c>
      <c r="F76" s="19">
        <f t="shared" si="14"/>
        <v>0</v>
      </c>
    </row>
    <row r="80" spans="1:6" x14ac:dyDescent="0.2">
      <c r="C80" t="s">
        <v>473</v>
      </c>
    </row>
    <row r="81" spans="2:3" x14ac:dyDescent="0.2">
      <c r="B81" t="s">
        <v>474</v>
      </c>
      <c r="C81">
        <f>10/18</f>
        <v>0.55555555555555558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defaultRowHeight="12.75" x14ac:dyDescent="0.2"/>
  <cols>
    <col min="1" max="1" width="18.5703125" customWidth="1"/>
    <col min="2" max="2" width="9" customWidth="1"/>
    <col min="3" max="3" width="13" customWidth="1"/>
    <col min="4" max="4" width="9.140625" customWidth="1"/>
    <col min="5" max="5" width="12.42578125" customWidth="1"/>
    <col min="6" max="6" width="15.42578125" customWidth="1"/>
    <col min="7" max="7" width="12.28515625" customWidth="1"/>
    <col min="8" max="8" width="13" customWidth="1"/>
    <col min="9" max="10" width="10.5703125" customWidth="1"/>
    <col min="11" max="13" width="14.5703125" customWidth="1"/>
    <col min="14" max="14" width="15.5703125" customWidth="1"/>
    <col min="15" max="15" width="10.85546875" customWidth="1"/>
    <col min="16" max="16" width="10.42578125" customWidth="1"/>
    <col min="17" max="17" width="10.85546875" customWidth="1"/>
    <col min="18" max="18" width="10.42578125" customWidth="1"/>
    <col min="19" max="19" width="12.85546875" customWidth="1"/>
    <col min="20" max="20" width="11.28515625" customWidth="1"/>
    <col min="21" max="21" width="11.85546875" customWidth="1"/>
    <col min="22" max="22" width="11.5703125" customWidth="1"/>
  </cols>
  <sheetData>
    <row r="1" spans="1:23" ht="38.25" x14ac:dyDescent="0.2">
      <c r="A1" s="4" t="s">
        <v>4</v>
      </c>
      <c r="B1" s="4" t="s">
        <v>43</v>
      </c>
      <c r="C1" s="4" t="s">
        <v>22</v>
      </c>
      <c r="D1" s="4" t="s">
        <v>431</v>
      </c>
      <c r="E1" s="4" t="s">
        <v>21</v>
      </c>
      <c r="F1" s="4" t="s">
        <v>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437</v>
      </c>
      <c r="L1" s="4" t="s">
        <v>443</v>
      </c>
      <c r="M1" s="4" t="s">
        <v>438</v>
      </c>
      <c r="N1" s="4" t="s">
        <v>18</v>
      </c>
      <c r="O1" s="4" t="s">
        <v>416</v>
      </c>
      <c r="P1" s="4" t="s">
        <v>419</v>
      </c>
      <c r="Q1" s="4" t="s">
        <v>477</v>
      </c>
      <c r="R1" s="4" t="s">
        <v>478</v>
      </c>
      <c r="S1" s="4" t="s">
        <v>481</v>
      </c>
      <c r="T1" s="4"/>
      <c r="U1" s="4"/>
      <c r="V1" s="4"/>
      <c r="W1" s="4"/>
    </row>
    <row r="2" spans="1:23" x14ac:dyDescent="0.2">
      <c r="A2" t="s">
        <v>5</v>
      </c>
      <c r="B2">
        <f>1/9</f>
        <v>0.1111111111111111</v>
      </c>
      <c r="C2">
        <v>104.06</v>
      </c>
      <c r="D2">
        <v>1.619</v>
      </c>
      <c r="E2" s="5">
        <f>C2/D2</f>
        <v>64.274243360098822</v>
      </c>
      <c r="F2" t="s">
        <v>19</v>
      </c>
      <c r="G2" s="3">
        <v>1.4220000000000001E-3</v>
      </c>
      <c r="H2" s="3">
        <v>2.8690999999999999E-9</v>
      </c>
      <c r="I2" s="3">
        <v>6.6100000000000001E-9</v>
      </c>
      <c r="J2" s="6">
        <v>141.9</v>
      </c>
      <c r="K2" s="5">
        <v>140</v>
      </c>
      <c r="L2" s="5">
        <v>222.04</v>
      </c>
      <c r="M2" s="5"/>
      <c r="N2" s="7">
        <v>17.28</v>
      </c>
      <c r="O2" s="13">
        <v>13.453776667307322</v>
      </c>
      <c r="P2">
        <f>N2/O2</f>
        <v>1.2843977142857144</v>
      </c>
      <c r="Q2">
        <v>56.6</v>
      </c>
      <c r="R2">
        <v>408</v>
      </c>
      <c r="S2" s="26">
        <v>132</v>
      </c>
    </row>
    <row r="3" spans="1:23" x14ac:dyDescent="0.2">
      <c r="A3" t="s">
        <v>6</v>
      </c>
      <c r="B3">
        <f t="shared" ref="B3:B10" si="0">1/9</f>
        <v>0.1111111111111111</v>
      </c>
      <c r="C3">
        <v>118.09</v>
      </c>
      <c r="D3">
        <v>1.56</v>
      </c>
      <c r="E3" s="5">
        <f t="shared" ref="E3:E10" si="1">C3/D3</f>
        <v>75.698717948717942</v>
      </c>
      <c r="F3" t="s">
        <v>20</v>
      </c>
      <c r="G3" s="3">
        <v>6.1659E-5</v>
      </c>
      <c r="H3" s="3">
        <v>1.1419E-10</v>
      </c>
      <c r="I3">
        <v>3.1034617019529003E-9</v>
      </c>
      <c r="J3" s="6">
        <v>88.5</v>
      </c>
      <c r="K3" s="5">
        <v>160</v>
      </c>
      <c r="L3" s="5">
        <v>330</v>
      </c>
      <c r="M3" s="5"/>
      <c r="N3" s="7">
        <v>0.58799999999999997</v>
      </c>
      <c r="O3" s="13">
        <v>0.49115081717334236</v>
      </c>
      <c r="P3">
        <f>N3/O3</f>
        <v>1.1971882758620689</v>
      </c>
      <c r="Q3">
        <v>74.7</v>
      </c>
      <c r="R3">
        <v>455.2</v>
      </c>
      <c r="S3" s="26">
        <v>128</v>
      </c>
    </row>
    <row r="4" spans="1:23" x14ac:dyDescent="0.2">
      <c r="A4" t="s">
        <v>7</v>
      </c>
      <c r="B4">
        <f t="shared" si="0"/>
        <v>0.1111111111111111</v>
      </c>
      <c r="C4">
        <v>132.11000000000001</v>
      </c>
      <c r="D4">
        <v>1.429</v>
      </c>
      <c r="E4" s="5">
        <f t="shared" si="1"/>
        <v>92.449265220433873</v>
      </c>
      <c r="F4" t="s">
        <v>13</v>
      </c>
      <c r="G4" s="3">
        <v>4.5710000000000001E-5</v>
      </c>
      <c r="H4" s="3">
        <v>1.7782999999999999E-10</v>
      </c>
      <c r="I4">
        <v>1.7251781202045787E-9</v>
      </c>
      <c r="J4" s="6">
        <v>141</v>
      </c>
      <c r="K4" s="5">
        <v>186.9</v>
      </c>
      <c r="L4" s="5"/>
      <c r="M4" s="5"/>
      <c r="N4" s="7">
        <v>3.12</v>
      </c>
      <c r="O4" s="13">
        <v>3.2548633714328963</v>
      </c>
      <c r="P4">
        <f>N4/O4</f>
        <v>0.95856558139534909</v>
      </c>
      <c r="Q4">
        <v>58</v>
      </c>
      <c r="R4">
        <v>363.9</v>
      </c>
      <c r="S4" s="26">
        <v>134</v>
      </c>
    </row>
    <row r="5" spans="1:23" x14ac:dyDescent="0.2">
      <c r="A5" t="s">
        <v>8</v>
      </c>
      <c r="B5">
        <f t="shared" si="0"/>
        <v>0.1111111111111111</v>
      </c>
      <c r="C5">
        <v>146.13999999999999</v>
      </c>
      <c r="D5">
        <v>1.36</v>
      </c>
      <c r="E5" s="5">
        <f t="shared" si="1"/>
        <v>107.45588235294116</v>
      </c>
      <c r="F5" t="s">
        <v>23</v>
      </c>
      <c r="G5">
        <v>3.7153522909717237E-5</v>
      </c>
      <c r="H5">
        <v>1.4454397707459247E-10</v>
      </c>
      <c r="I5">
        <v>9.698635822500413E-10</v>
      </c>
      <c r="J5" s="6">
        <v>111</v>
      </c>
      <c r="K5" s="5"/>
      <c r="L5" s="5"/>
      <c r="M5" s="5"/>
      <c r="N5" s="7"/>
      <c r="O5" s="13">
        <v>0.151</v>
      </c>
      <c r="Q5">
        <v>80.400000000000006</v>
      </c>
      <c r="R5">
        <v>419</v>
      </c>
      <c r="S5" s="26">
        <v>145</v>
      </c>
      <c r="T5" s="3"/>
      <c r="U5" s="3"/>
    </row>
    <row r="6" spans="1:23" x14ac:dyDescent="0.2">
      <c r="A6" t="s">
        <v>9</v>
      </c>
      <c r="B6">
        <f t="shared" si="0"/>
        <v>0.1111111111111111</v>
      </c>
      <c r="C6">
        <v>160</v>
      </c>
      <c r="D6">
        <v>1.28</v>
      </c>
      <c r="E6" s="5">
        <f t="shared" si="1"/>
        <v>125</v>
      </c>
      <c r="F6" t="s">
        <v>30</v>
      </c>
      <c r="G6">
        <v>1.9498445997580432E-5</v>
      </c>
      <c r="H6">
        <v>5.1286138399136331E-11</v>
      </c>
      <c r="I6">
        <v>5.5089634831751143E-10</v>
      </c>
      <c r="J6" s="6">
        <v>124</v>
      </c>
      <c r="K6" s="5"/>
      <c r="L6" s="5"/>
      <c r="M6" s="5"/>
      <c r="N6" s="7"/>
      <c r="O6" s="13">
        <v>0.56000000000000005</v>
      </c>
      <c r="Q6">
        <v>68.400000000000006</v>
      </c>
      <c r="R6">
        <v>368.2</v>
      </c>
      <c r="S6" s="26">
        <v>153</v>
      </c>
      <c r="T6" s="3"/>
      <c r="U6" s="3"/>
    </row>
    <row r="7" spans="1:23" x14ac:dyDescent="0.2">
      <c r="A7" t="s">
        <v>10</v>
      </c>
      <c r="B7">
        <f t="shared" si="0"/>
        <v>0.1111111111111111</v>
      </c>
      <c r="C7">
        <v>174</v>
      </c>
      <c r="D7">
        <v>1.272</v>
      </c>
      <c r="E7" s="5">
        <f t="shared" si="1"/>
        <v>136.79245283018867</v>
      </c>
      <c r="F7" t="s">
        <v>31</v>
      </c>
      <c r="G7">
        <v>2.9785164294291893E-5</v>
      </c>
      <c r="H7">
        <v>9.4623716136579182E-11</v>
      </c>
      <c r="I7">
        <v>3.1502915556764066E-10</v>
      </c>
      <c r="J7" s="6">
        <v>130</v>
      </c>
      <c r="K7" s="5"/>
      <c r="L7" s="5"/>
      <c r="M7" s="5"/>
      <c r="N7" s="7"/>
      <c r="O7" s="13">
        <v>1.3914595325780686E-2</v>
      </c>
      <c r="Q7">
        <v>101.2</v>
      </c>
      <c r="R7">
        <v>413.2</v>
      </c>
      <c r="S7" s="26">
        <v>168</v>
      </c>
      <c r="T7" s="3"/>
      <c r="U7" s="3"/>
    </row>
    <row r="8" spans="1:23" x14ac:dyDescent="0.2">
      <c r="A8" t="s">
        <v>36</v>
      </c>
      <c r="B8">
        <f t="shared" si="0"/>
        <v>0.1111111111111111</v>
      </c>
      <c r="C8">
        <v>188</v>
      </c>
      <c r="D8">
        <v>1.0286999999999999</v>
      </c>
      <c r="E8" s="5">
        <f t="shared" si="1"/>
        <v>182.7549334111014</v>
      </c>
      <c r="F8" t="s">
        <v>32</v>
      </c>
      <c r="G8">
        <v>2.8183829312644511E-5</v>
      </c>
      <c r="H8">
        <v>8.9536476554959198E-11</v>
      </c>
      <c r="I8">
        <v>1.813227383537549E-10</v>
      </c>
      <c r="J8" s="6">
        <v>146</v>
      </c>
      <c r="K8" s="5"/>
      <c r="L8" s="5"/>
      <c r="M8" s="5"/>
      <c r="N8" s="7"/>
      <c r="O8" s="13">
        <v>9.4793949625583893E-3</v>
      </c>
      <c r="Q8">
        <v>81.599999999999994</v>
      </c>
      <c r="R8">
        <v>372.4</v>
      </c>
      <c r="S8" s="26">
        <v>178</v>
      </c>
      <c r="T8" s="3"/>
      <c r="U8" s="3"/>
    </row>
    <row r="9" spans="1:23" x14ac:dyDescent="0.2">
      <c r="A9" t="s">
        <v>11</v>
      </c>
      <c r="B9">
        <f t="shared" si="0"/>
        <v>0.1111111111111111</v>
      </c>
      <c r="C9">
        <v>202</v>
      </c>
      <c r="D9">
        <v>1.2090000000000001</v>
      </c>
      <c r="E9" s="5">
        <f t="shared" si="1"/>
        <v>167.08023159636062</v>
      </c>
      <c r="F9" t="s">
        <v>33</v>
      </c>
      <c r="G9">
        <v>1.9054607179632454E-5</v>
      </c>
      <c r="H9">
        <v>6.7608297539198037E-11</v>
      </c>
      <c r="I9">
        <v>1.0494672009578797E-10</v>
      </c>
      <c r="J9" s="6">
        <v>140</v>
      </c>
      <c r="K9" s="5"/>
      <c r="L9" s="5"/>
      <c r="M9" s="5"/>
      <c r="N9" s="7"/>
      <c r="O9" s="13">
        <v>4.9504950495049506E-3</v>
      </c>
      <c r="Q9">
        <v>116.4</v>
      </c>
      <c r="R9">
        <v>403.9</v>
      </c>
      <c r="S9" s="26">
        <v>181</v>
      </c>
    </row>
    <row r="10" spans="1:23" x14ac:dyDescent="0.2">
      <c r="A10" t="s">
        <v>12</v>
      </c>
      <c r="B10">
        <f t="shared" si="0"/>
        <v>0.1111111111111111</v>
      </c>
      <c r="C10">
        <v>230</v>
      </c>
      <c r="D10">
        <v>0.88</v>
      </c>
      <c r="E10" s="5">
        <f t="shared" si="1"/>
        <v>261.36363636363637</v>
      </c>
      <c r="F10" t="s">
        <v>42</v>
      </c>
      <c r="G10">
        <v>5.011872336272719E-6</v>
      </c>
      <c r="H10" s="9" t="s">
        <v>35</v>
      </c>
      <c r="I10">
        <v>1.71752775175217E-9</v>
      </c>
      <c r="J10" s="6">
        <v>119</v>
      </c>
      <c r="K10" s="5"/>
      <c r="L10" s="5"/>
      <c r="M10" s="5"/>
      <c r="N10" s="7"/>
      <c r="O10" s="13">
        <v>2.6086956521739128E-4</v>
      </c>
      <c r="Q10">
        <v>124.2</v>
      </c>
      <c r="R10">
        <v>400.3</v>
      </c>
      <c r="S10" s="26">
        <v>169</v>
      </c>
    </row>
    <row r="11" spans="1:23" x14ac:dyDescent="0.2">
      <c r="J11" s="6"/>
      <c r="K11" s="5"/>
      <c r="L11" s="5"/>
      <c r="M11" s="5"/>
      <c r="N11" s="7"/>
    </row>
    <row r="12" spans="1:23" x14ac:dyDescent="0.2">
      <c r="J12" s="6"/>
      <c r="K12" s="5"/>
      <c r="L12" s="5"/>
      <c r="M12" s="5"/>
      <c r="N12" s="7"/>
    </row>
    <row r="13" spans="1:23" x14ac:dyDescent="0.2">
      <c r="D13">
        <f>AVERAGE(D2:D10)</f>
        <v>1.293077777777778</v>
      </c>
      <c r="E13" t="s">
        <v>430</v>
      </c>
      <c r="J13" s="6"/>
      <c r="K13" s="5"/>
      <c r="L13" s="5"/>
      <c r="M13" s="5"/>
      <c r="N13" s="7"/>
    </row>
    <row r="14" spans="1:23" x14ac:dyDescent="0.2">
      <c r="D14">
        <f>9.3/1000</f>
        <v>9.300000000000001E-3</v>
      </c>
      <c r="E14" t="s">
        <v>429</v>
      </c>
      <c r="J14" s="6"/>
      <c r="K14" s="5"/>
      <c r="L14" s="5"/>
      <c r="M14" s="5"/>
      <c r="N14" s="7"/>
    </row>
    <row r="15" spans="1:23" x14ac:dyDescent="0.2">
      <c r="D15">
        <f>D14/D13</f>
        <v>7.1921427773529133E-3</v>
      </c>
      <c r="E15" t="s">
        <v>433</v>
      </c>
      <c r="J15" s="6"/>
      <c r="K15" s="5" t="s">
        <v>440</v>
      </c>
      <c r="L15" s="5"/>
      <c r="M15" s="5"/>
      <c r="N15" s="7"/>
    </row>
    <row r="16" spans="1:23" x14ac:dyDescent="0.2">
      <c r="C16" t="s">
        <v>435</v>
      </c>
      <c r="D16">
        <f>D15/1000000</f>
        <v>7.1921427773529132E-9</v>
      </c>
      <c r="E16" t="s">
        <v>432</v>
      </c>
      <c r="F16" t="s">
        <v>436</v>
      </c>
      <c r="G16">
        <f>10*D16</f>
        <v>7.1921427773529135E-8</v>
      </c>
      <c r="J16" s="6" t="s">
        <v>439</v>
      </c>
      <c r="K16" s="5">
        <v>0.58299999999999996</v>
      </c>
      <c r="L16" s="5"/>
      <c r="M16" s="5">
        <v>0.4</v>
      </c>
      <c r="N16" s="7"/>
    </row>
    <row r="17" spans="1:14" x14ac:dyDescent="0.2">
      <c r="J17" s="6"/>
      <c r="K17" s="5" t="s">
        <v>441</v>
      </c>
      <c r="L17" s="5"/>
      <c r="M17" s="5" t="s">
        <v>442</v>
      </c>
      <c r="N17" s="7"/>
    </row>
    <row r="18" spans="1:14" x14ac:dyDescent="0.2">
      <c r="D18">
        <f>9.3*1000</f>
        <v>9300</v>
      </c>
      <c r="E18" t="s">
        <v>434</v>
      </c>
      <c r="J18" s="6"/>
      <c r="K18" s="5"/>
      <c r="L18" s="5"/>
      <c r="M18" s="5"/>
      <c r="N18" s="7"/>
    </row>
    <row r="19" spans="1:14" x14ac:dyDescent="0.2">
      <c r="D19">
        <f>D18/D16</f>
        <v>1293077777777.7778</v>
      </c>
      <c r="G19">
        <f>2333/101325</f>
        <v>2.3024919812484581E-2</v>
      </c>
      <c r="J19" s="6"/>
      <c r="K19" s="5"/>
      <c r="L19" s="5"/>
      <c r="M19" s="5"/>
      <c r="N19" s="7"/>
    </row>
    <row r="20" spans="1:14" x14ac:dyDescent="0.2">
      <c r="J20" s="6"/>
      <c r="N20" s="7"/>
    </row>
    <row r="21" spans="1:14" x14ac:dyDescent="0.2">
      <c r="J21" s="6"/>
      <c r="N21" s="7"/>
    </row>
    <row r="22" spans="1:14" x14ac:dyDescent="0.2">
      <c r="J22" s="6"/>
    </row>
    <row r="23" spans="1:14" x14ac:dyDescent="0.2">
      <c r="B23" t="s">
        <v>475</v>
      </c>
      <c r="C23" t="s">
        <v>480</v>
      </c>
      <c r="E23" t="s">
        <v>476</v>
      </c>
      <c r="F23" t="s">
        <v>479</v>
      </c>
    </row>
    <row r="24" spans="1:14" x14ac:dyDescent="0.2">
      <c r="A24" t="s">
        <v>5</v>
      </c>
      <c r="B24" s="3">
        <f>I2*101325</f>
        <v>6.6975824999999998E-4</v>
      </c>
      <c r="C24">
        <f t="shared" ref="C24:C32" si="2">EXP(LN(F24) + ($Q2/8.314*($R2/298-1)))</f>
        <v>2.7150663508291838E-3</v>
      </c>
      <c r="E24">
        <f>EXP(LN(B24) - ($Q2/8.314*($R2/298-1)))</f>
        <v>5.4270060455428743E-5</v>
      </c>
      <c r="F24" s="3">
        <v>2.2000000000000001E-4</v>
      </c>
    </row>
    <row r="25" spans="1:14" x14ac:dyDescent="0.2">
      <c r="A25" t="s">
        <v>6</v>
      </c>
      <c r="B25" s="3">
        <f t="shared" ref="B25:B32" si="3">I3*101325</f>
        <v>3.1445825695037763E-4</v>
      </c>
      <c r="C25">
        <f t="shared" si="2"/>
        <v>3.6606364632691931E-3</v>
      </c>
      <c r="E25">
        <f t="shared" ref="E25:E32" si="4">EXP(LN(B25) - ($Q3/8.314*($R3/298-1)))</f>
        <v>2.7488837865712122E-6</v>
      </c>
      <c r="F25" s="3">
        <v>3.1999999999999999E-5</v>
      </c>
    </row>
    <row r="26" spans="1:14" x14ac:dyDescent="0.2">
      <c r="A26" t="s">
        <v>7</v>
      </c>
      <c r="B26" s="3">
        <f t="shared" si="3"/>
        <v>1.7480367302972894E-4</v>
      </c>
      <c r="C26">
        <f t="shared" si="2"/>
        <v>5.6127545541947445E-4</v>
      </c>
      <c r="E26">
        <f t="shared" si="4"/>
        <v>3.7372809662397424E-5</v>
      </c>
      <c r="F26" s="3">
        <v>1.2E-4</v>
      </c>
    </row>
    <row r="27" spans="1:14" x14ac:dyDescent="0.2">
      <c r="A27" t="s">
        <v>8</v>
      </c>
      <c r="B27" s="3">
        <f t="shared" si="3"/>
        <v>9.8271427471485436E-5</v>
      </c>
      <c r="C27">
        <f t="shared" si="2"/>
        <v>1.3190706677561101E-4</v>
      </c>
      <c r="E27">
        <f t="shared" si="4"/>
        <v>1.937013062844516E-6</v>
      </c>
      <c r="F27" s="3">
        <v>2.6000000000000001E-6</v>
      </c>
    </row>
    <row r="28" spans="1:14" x14ac:dyDescent="0.2">
      <c r="A28" t="s">
        <v>9</v>
      </c>
      <c r="B28" s="3">
        <f t="shared" si="3"/>
        <v>5.5819572493271846E-5</v>
      </c>
      <c r="C28">
        <f t="shared" si="2"/>
        <v>2.708649503428321E-5</v>
      </c>
      <c r="E28">
        <f t="shared" si="4"/>
        <v>8.0370801924805496E-6</v>
      </c>
      <c r="F28" s="3">
        <v>3.8999999999999999E-6</v>
      </c>
    </row>
    <row r="29" spans="1:14" x14ac:dyDescent="0.2">
      <c r="A29" t="s">
        <v>10</v>
      </c>
      <c r="B29" s="3">
        <f t="shared" si="3"/>
        <v>3.1920329187891192E-5</v>
      </c>
      <c r="C29">
        <f t="shared" si="2"/>
        <v>1.9899839052140779E-5</v>
      </c>
      <c r="E29">
        <f t="shared" si="4"/>
        <v>2.8872893086048918E-7</v>
      </c>
      <c r="F29" s="3">
        <v>1.8E-7</v>
      </c>
    </row>
    <row r="30" spans="1:14" x14ac:dyDescent="0.2">
      <c r="A30" t="s">
        <v>36</v>
      </c>
      <c r="B30" s="3">
        <f t="shared" si="3"/>
        <v>1.8372526463694216E-5</v>
      </c>
      <c r="C30">
        <f t="shared" si="2"/>
        <v>1.159297162033752E-7</v>
      </c>
      <c r="E30">
        <f t="shared" si="4"/>
        <v>1.5847987095442656E-6</v>
      </c>
      <c r="F30" s="3">
        <v>1E-8</v>
      </c>
    </row>
    <row r="31" spans="1:14" x14ac:dyDescent="0.2">
      <c r="A31" t="s">
        <v>11</v>
      </c>
      <c r="B31" s="3">
        <f t="shared" si="3"/>
        <v>1.0633726413705717E-5</v>
      </c>
      <c r="C31">
        <f t="shared" si="2"/>
        <v>2.3167658949250525E-6</v>
      </c>
      <c r="E31">
        <f t="shared" si="4"/>
        <v>7.3438418181132444E-8</v>
      </c>
      <c r="F31" s="3">
        <v>1.6000000000000001E-8</v>
      </c>
    </row>
    <row r="32" spans="1:14" x14ac:dyDescent="0.2">
      <c r="A32" t="s">
        <v>12</v>
      </c>
      <c r="B32" s="3">
        <f t="shared" si="3"/>
        <v>1.7402849944628862E-4</v>
      </c>
      <c r="C32">
        <f t="shared" si="2"/>
        <v>5.7366532805358623E-6</v>
      </c>
      <c r="E32">
        <f t="shared" si="4"/>
        <v>1.031432211747878E-6</v>
      </c>
      <c r="F32" s="3">
        <v>3.4E-8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25</v>
      </c>
    </row>
    <row r="2" spans="2:10" x14ac:dyDescent="0.2">
      <c r="B2" t="s">
        <v>24</v>
      </c>
      <c r="C2" t="s">
        <v>29</v>
      </c>
      <c r="F2" t="s">
        <v>26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27</v>
      </c>
      <c r="I3" s="3">
        <v>1.5999999999999999E-5</v>
      </c>
      <c r="J3" t="s">
        <v>34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28</v>
      </c>
      <c r="I4" s="3">
        <f>I3/760</f>
        <v>2.1052631578947368E-8</v>
      </c>
      <c r="J4" t="s">
        <v>28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37</v>
      </c>
      <c r="G10" t="s">
        <v>38</v>
      </c>
      <c r="H10" t="s">
        <v>39</v>
      </c>
      <c r="I10" t="s">
        <v>40</v>
      </c>
      <c r="J10" t="s">
        <v>41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8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22</v>
      </c>
      <c r="C34" s="4" t="s">
        <v>416</v>
      </c>
      <c r="D34" s="4" t="s">
        <v>411</v>
      </c>
      <c r="E34" s="4" t="s">
        <v>412</v>
      </c>
      <c r="F34" s="4" t="s">
        <v>413</v>
      </c>
      <c r="G34" s="4" t="s">
        <v>414</v>
      </c>
      <c r="H34" s="4" t="s">
        <v>418</v>
      </c>
      <c r="I34" s="4" t="s">
        <v>416</v>
      </c>
      <c r="J34" s="4" t="s">
        <v>417</v>
      </c>
      <c r="K34" s="4" t="s">
        <v>415</v>
      </c>
      <c r="L34" s="4" t="s">
        <v>416</v>
      </c>
      <c r="M34" s="4" t="s">
        <v>421</v>
      </c>
      <c r="N34" s="4" t="s">
        <v>420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>G39/(1-G39)</f>
        <v>8.0645161290322578E-3</v>
      </c>
      <c r="I39" s="13">
        <f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>G40/(1-G40)</f>
        <v>2.5046271586405235E-4</v>
      </c>
      <c r="I40" s="13">
        <f>H40/J40*1000</f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36</v>
      </c>
      <c r="B41">
        <v>188</v>
      </c>
      <c r="C41" s="13">
        <v>9.4793949625583893E-3</v>
      </c>
      <c r="E41" s="13"/>
      <c r="G41" s="13">
        <v>1.706E-4</v>
      </c>
      <c r="H41" s="13">
        <f>G41/(1-G41)</f>
        <v>1.7062910932605103E-4</v>
      </c>
      <c r="I41" s="13">
        <f>H41/J41*1000</f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46</v>
      </c>
    </row>
    <row r="2" spans="1:34" ht="15" x14ac:dyDescent="0.2">
      <c r="A2" s="11" t="s">
        <v>47</v>
      </c>
    </row>
    <row r="3" spans="1:34" x14ac:dyDescent="0.2">
      <c r="A3" s="10"/>
    </row>
    <row r="4" spans="1:34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346</v>
      </c>
    </row>
    <row r="60" spans="1:45" ht="15" x14ac:dyDescent="0.2">
      <c r="A60" s="12" t="s">
        <v>347</v>
      </c>
    </row>
    <row r="61" spans="1:45" ht="15" x14ac:dyDescent="0.2">
      <c r="A61" s="12" t="s">
        <v>348</v>
      </c>
    </row>
    <row r="62" spans="1:45" ht="15" x14ac:dyDescent="0.2">
      <c r="A62" s="12" t="s">
        <v>349</v>
      </c>
    </row>
    <row r="63" spans="1:45" ht="15" x14ac:dyDescent="0.2">
      <c r="A63" s="12" t="s">
        <v>350</v>
      </c>
    </row>
    <row r="64" spans="1:45" ht="15" x14ac:dyDescent="0.2">
      <c r="A64" s="12" t="s">
        <v>351</v>
      </c>
    </row>
    <row r="65" spans="1:1" ht="15" x14ac:dyDescent="0.2">
      <c r="A65" s="12" t="s">
        <v>352</v>
      </c>
    </row>
    <row r="66" spans="1:1" ht="15" x14ac:dyDescent="0.2">
      <c r="A66" s="12" t="s">
        <v>353</v>
      </c>
    </row>
    <row r="67" spans="1:1" ht="15" x14ac:dyDescent="0.2">
      <c r="A67" s="12" t="s">
        <v>354</v>
      </c>
    </row>
    <row r="68" spans="1:1" ht="15" x14ac:dyDescent="0.2">
      <c r="A68" s="12" t="s">
        <v>355</v>
      </c>
    </row>
    <row r="69" spans="1:1" ht="15" x14ac:dyDescent="0.2">
      <c r="A69" s="12" t="s">
        <v>356</v>
      </c>
    </row>
    <row r="70" spans="1:1" ht="15" x14ac:dyDescent="0.2">
      <c r="A70" s="12" t="s">
        <v>357</v>
      </c>
    </row>
    <row r="71" spans="1:1" ht="15" x14ac:dyDescent="0.2">
      <c r="A71" s="12" t="s">
        <v>358</v>
      </c>
    </row>
    <row r="72" spans="1:1" ht="15" x14ac:dyDescent="0.2">
      <c r="A72" s="12" t="s">
        <v>359</v>
      </c>
    </row>
    <row r="73" spans="1:1" ht="15" x14ac:dyDescent="0.2">
      <c r="A73" s="12" t="s">
        <v>360</v>
      </c>
    </row>
    <row r="74" spans="1:1" ht="15" x14ac:dyDescent="0.2">
      <c r="A74" s="12" t="s">
        <v>361</v>
      </c>
    </row>
    <row r="75" spans="1:1" ht="15" x14ac:dyDescent="0.2">
      <c r="A75" s="12" t="s">
        <v>362</v>
      </c>
    </row>
    <row r="76" spans="1:1" ht="15" x14ac:dyDescent="0.2">
      <c r="A76" s="12" t="s">
        <v>363</v>
      </c>
    </row>
    <row r="77" spans="1:1" ht="15" x14ac:dyDescent="0.2">
      <c r="A77" s="12" t="s">
        <v>364</v>
      </c>
    </row>
    <row r="78" spans="1:1" ht="15" x14ac:dyDescent="0.2">
      <c r="A78" s="12" t="s">
        <v>365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46</v>
      </c>
    </row>
    <row r="2" spans="1:35" ht="15" x14ac:dyDescent="0.2">
      <c r="A2" s="11" t="s">
        <v>47</v>
      </c>
    </row>
    <row r="3" spans="1:35" x14ac:dyDescent="0.2">
      <c r="A3" s="10"/>
    </row>
    <row r="4" spans="1:35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390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370</v>
      </c>
    </row>
    <row r="60" spans="1:45" ht="15" x14ac:dyDescent="0.2">
      <c r="A60" s="12" t="s">
        <v>371</v>
      </c>
    </row>
    <row r="61" spans="1:45" ht="15" x14ac:dyDescent="0.2">
      <c r="A61" s="12" t="s">
        <v>372</v>
      </c>
    </row>
    <row r="62" spans="1:45" ht="15" x14ac:dyDescent="0.2">
      <c r="A62" s="12" t="s">
        <v>373</v>
      </c>
    </row>
    <row r="63" spans="1:45" ht="15" x14ac:dyDescent="0.2">
      <c r="A63" s="12" t="s">
        <v>374</v>
      </c>
    </row>
    <row r="64" spans="1:45" ht="15" x14ac:dyDescent="0.2">
      <c r="A64" s="12" t="s">
        <v>375</v>
      </c>
    </row>
    <row r="65" spans="1:1" ht="15" x14ac:dyDescent="0.2">
      <c r="A65" s="12" t="s">
        <v>376</v>
      </c>
    </row>
    <row r="66" spans="1:1" ht="15" x14ac:dyDescent="0.2">
      <c r="A66" s="12" t="s">
        <v>377</v>
      </c>
    </row>
    <row r="67" spans="1:1" ht="15" x14ac:dyDescent="0.2">
      <c r="A67" s="12" t="s">
        <v>378</v>
      </c>
    </row>
    <row r="68" spans="1:1" ht="15" x14ac:dyDescent="0.2">
      <c r="A68" s="12" t="s">
        <v>379</v>
      </c>
    </row>
    <row r="69" spans="1:1" ht="15" x14ac:dyDescent="0.2">
      <c r="A69" s="12" t="s">
        <v>380</v>
      </c>
    </row>
    <row r="70" spans="1:1" ht="15" x14ac:dyDescent="0.2">
      <c r="A70" s="12" t="s">
        <v>381</v>
      </c>
    </row>
    <row r="71" spans="1:1" ht="15" x14ac:dyDescent="0.2">
      <c r="A71" s="12" t="s">
        <v>382</v>
      </c>
    </row>
    <row r="72" spans="1:1" ht="15" x14ac:dyDescent="0.2">
      <c r="A72" s="12" t="s">
        <v>383</v>
      </c>
    </row>
    <row r="73" spans="1:1" ht="15" x14ac:dyDescent="0.2">
      <c r="A73" s="12" t="s">
        <v>384</v>
      </c>
    </row>
    <row r="74" spans="1:1" ht="15" x14ac:dyDescent="0.2">
      <c r="A74" s="12" t="s">
        <v>385</v>
      </c>
    </row>
    <row r="75" spans="1:1" ht="15" x14ac:dyDescent="0.2">
      <c r="A75" s="12" t="s">
        <v>386</v>
      </c>
    </row>
    <row r="76" spans="1:1" ht="15" x14ac:dyDescent="0.2">
      <c r="A76" s="12" t="s">
        <v>387</v>
      </c>
    </row>
    <row r="77" spans="1:1" ht="15" x14ac:dyDescent="0.2">
      <c r="A77" s="12" t="s">
        <v>388</v>
      </c>
    </row>
    <row r="78" spans="1:1" ht="15" x14ac:dyDescent="0.2">
      <c r="A78" s="12" t="s">
        <v>389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366</v>
      </c>
      <c r="AP4" t="s">
        <v>367</v>
      </c>
      <c r="AQ4" t="s">
        <v>368</v>
      </c>
      <c r="AR4" t="s">
        <v>120</v>
      </c>
      <c r="AS4" t="s">
        <v>121</v>
      </c>
      <c r="AT4" t="s">
        <v>122</v>
      </c>
      <c r="AU4" t="s">
        <v>123</v>
      </c>
      <c r="AV4" t="s">
        <v>124</v>
      </c>
      <c r="AW4" t="s">
        <v>125</v>
      </c>
      <c r="AX4" t="s">
        <v>126</v>
      </c>
      <c r="AY4" t="s">
        <v>127</v>
      </c>
      <c r="AZ4" t="s">
        <v>128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296</v>
      </c>
    </row>
    <row r="3" spans="1:53" ht="15" x14ac:dyDescent="0.2">
      <c r="A3" s="11" t="s">
        <v>47</v>
      </c>
    </row>
    <row r="4" spans="1:53" x14ac:dyDescent="0.2">
      <c r="A4" s="10"/>
    </row>
    <row r="5" spans="1:53" ht="15" x14ac:dyDescent="0.2">
      <c r="A5" s="12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44</v>
      </c>
      <c r="J5" t="s">
        <v>344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119</v>
      </c>
      <c r="AP5" t="s">
        <v>366</v>
      </c>
      <c r="AQ5" t="s">
        <v>367</v>
      </c>
      <c r="AR5" t="s">
        <v>368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342</v>
      </c>
    </row>
    <row r="30" spans="1:102" ht="15" x14ac:dyDescent="0.2">
      <c r="A30" s="11" t="s">
        <v>62</v>
      </c>
    </row>
    <row r="31" spans="1:102" x14ac:dyDescent="0.2">
      <c r="A31" s="10"/>
    </row>
    <row r="32" spans="1:102" ht="15" x14ac:dyDescent="0.2">
      <c r="A32" s="12" t="s">
        <v>81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167</v>
      </c>
      <c r="AA32" t="s">
        <v>168</v>
      </c>
      <c r="AB32" t="s">
        <v>169</v>
      </c>
      <c r="AC32" t="s">
        <v>170</v>
      </c>
      <c r="AD32" t="s">
        <v>171</v>
      </c>
      <c r="AE32" t="s">
        <v>172</v>
      </c>
      <c r="AF32" t="s">
        <v>173</v>
      </c>
      <c r="AG32" t="s">
        <v>174</v>
      </c>
      <c r="AH32" t="s">
        <v>175</v>
      </c>
      <c r="AI32" t="s">
        <v>176</v>
      </c>
      <c r="AJ32" t="s">
        <v>177</v>
      </c>
      <c r="AK32" t="s">
        <v>178</v>
      </c>
      <c r="AL32" t="s">
        <v>179</v>
      </c>
      <c r="AM32" t="s">
        <v>180</v>
      </c>
      <c r="AN32" t="s">
        <v>181</v>
      </c>
      <c r="AO32" t="s">
        <v>182</v>
      </c>
      <c r="AP32" t="s">
        <v>183</v>
      </c>
      <c r="AQ32" t="s">
        <v>184</v>
      </c>
      <c r="AR32" t="s">
        <v>185</v>
      </c>
      <c r="AS32" t="s">
        <v>186</v>
      </c>
      <c r="AT32" t="s">
        <v>187</v>
      </c>
      <c r="AU32" t="s">
        <v>188</v>
      </c>
      <c r="AV32" t="s">
        <v>189</v>
      </c>
      <c r="AW32" t="s">
        <v>190</v>
      </c>
      <c r="AX32" t="s">
        <v>191</v>
      </c>
      <c r="AY32" t="s">
        <v>192</v>
      </c>
      <c r="AZ32" t="s">
        <v>193</v>
      </c>
      <c r="BA32" t="s">
        <v>194</v>
      </c>
      <c r="BB32" t="s">
        <v>195</v>
      </c>
      <c r="BC32" t="s">
        <v>196</v>
      </c>
      <c r="BD32" t="s">
        <v>197</v>
      </c>
      <c r="BE32" t="s">
        <v>198</v>
      </c>
      <c r="BF32" t="s">
        <v>199</v>
      </c>
      <c r="BG32" t="s">
        <v>200</v>
      </c>
      <c r="BH32" t="s">
        <v>201</v>
      </c>
      <c r="BI32" t="s">
        <v>202</v>
      </c>
      <c r="BJ32" t="s">
        <v>203</v>
      </c>
      <c r="BK32" t="s">
        <v>204</v>
      </c>
      <c r="BL32" t="s">
        <v>205</v>
      </c>
      <c r="BM32" t="s">
        <v>206</v>
      </c>
      <c r="BN32" t="s">
        <v>207</v>
      </c>
      <c r="BO32" t="s">
        <v>208</v>
      </c>
      <c r="BP32" t="s">
        <v>209</v>
      </c>
      <c r="BQ32" t="s">
        <v>210</v>
      </c>
      <c r="BR32" t="s">
        <v>211</v>
      </c>
      <c r="BS32" t="s">
        <v>212</v>
      </c>
      <c r="BT32" t="s">
        <v>213</v>
      </c>
      <c r="BU32" t="s">
        <v>214</v>
      </c>
      <c r="BV32" t="s">
        <v>215</v>
      </c>
      <c r="BW32" t="s">
        <v>216</v>
      </c>
      <c r="BX32" t="s">
        <v>217</v>
      </c>
      <c r="BY32" t="s">
        <v>218</v>
      </c>
      <c r="BZ32" t="s">
        <v>219</v>
      </c>
      <c r="CA32" t="s">
        <v>220</v>
      </c>
      <c r="CB32" t="s">
        <v>221</v>
      </c>
      <c r="CC32" t="s">
        <v>222</v>
      </c>
      <c r="CD32" t="s">
        <v>223</v>
      </c>
      <c r="CE32" t="s">
        <v>224</v>
      </c>
      <c r="CF32" t="s">
        <v>225</v>
      </c>
      <c r="CG32" t="s">
        <v>226</v>
      </c>
      <c r="CH32" t="s">
        <v>227</v>
      </c>
      <c r="CI32" t="s">
        <v>228</v>
      </c>
      <c r="CJ32" t="s">
        <v>229</v>
      </c>
      <c r="CK32" t="s">
        <v>230</v>
      </c>
      <c r="CL32" t="s">
        <v>231</v>
      </c>
      <c r="CM32" t="s">
        <v>339</v>
      </c>
      <c r="CN32" t="s">
        <v>340</v>
      </c>
      <c r="CO32" t="s">
        <v>341</v>
      </c>
      <c r="CP32" t="s">
        <v>232</v>
      </c>
      <c r="CQ32" t="s">
        <v>233</v>
      </c>
      <c r="CR32" t="s">
        <v>234</v>
      </c>
      <c r="CS32" t="s">
        <v>235</v>
      </c>
      <c r="CT32" t="s">
        <v>236</v>
      </c>
      <c r="CU32" t="s">
        <v>237</v>
      </c>
      <c r="CV32" t="s">
        <v>238</v>
      </c>
      <c r="CW32" t="s">
        <v>239</v>
      </c>
      <c r="CX32" t="s">
        <v>240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343</v>
      </c>
    </row>
    <row r="57" spans="1:102" ht="15" x14ac:dyDescent="0.2">
      <c r="A57" s="11" t="s">
        <v>77</v>
      </c>
    </row>
    <row r="58" spans="1:102" x14ac:dyDescent="0.2">
      <c r="A58" s="10"/>
    </row>
    <row r="59" spans="1:102" ht="15" x14ac:dyDescent="0.2">
      <c r="A59" s="12" t="s">
        <v>78</v>
      </c>
    </row>
    <row r="60" spans="1:102" ht="15" x14ac:dyDescent="0.2">
      <c r="A60" s="12" t="s">
        <v>391</v>
      </c>
    </row>
    <row r="61" spans="1:102" ht="15" x14ac:dyDescent="0.2">
      <c r="A61" s="12" t="s">
        <v>392</v>
      </c>
    </row>
    <row r="62" spans="1:102" ht="15" x14ac:dyDescent="0.2">
      <c r="A62" s="12" t="s">
        <v>393</v>
      </c>
    </row>
    <row r="63" spans="1:102" ht="15" x14ac:dyDescent="0.2">
      <c r="A63" s="12" t="s">
        <v>394</v>
      </c>
    </row>
    <row r="64" spans="1:102" ht="15" x14ac:dyDescent="0.2">
      <c r="A64" s="12" t="s">
        <v>395</v>
      </c>
    </row>
    <row r="65" spans="1:1" ht="15" x14ac:dyDescent="0.2">
      <c r="A65" s="12" t="s">
        <v>396</v>
      </c>
    </row>
    <row r="66" spans="1:1" ht="15" x14ac:dyDescent="0.2">
      <c r="A66" s="12" t="s">
        <v>397</v>
      </c>
    </row>
    <row r="67" spans="1:1" ht="15" x14ac:dyDescent="0.2">
      <c r="A67" s="12" t="s">
        <v>398</v>
      </c>
    </row>
    <row r="68" spans="1:1" ht="15" x14ac:dyDescent="0.2">
      <c r="A68" s="12" t="s">
        <v>399</v>
      </c>
    </row>
    <row r="69" spans="1:1" ht="15" x14ac:dyDescent="0.2">
      <c r="A69" s="12" t="s">
        <v>400</v>
      </c>
    </row>
    <row r="70" spans="1:1" ht="15" x14ac:dyDescent="0.2">
      <c r="A70" s="12" t="s">
        <v>401</v>
      </c>
    </row>
    <row r="71" spans="1:1" ht="15" x14ac:dyDescent="0.2">
      <c r="A71" s="12" t="s">
        <v>402</v>
      </c>
    </row>
    <row r="72" spans="1:1" ht="15" x14ac:dyDescent="0.2">
      <c r="A72" s="12" t="s">
        <v>403</v>
      </c>
    </row>
    <row r="73" spans="1:1" ht="15" x14ac:dyDescent="0.2">
      <c r="A73" s="12" t="s">
        <v>404</v>
      </c>
    </row>
    <row r="74" spans="1:1" ht="15" x14ac:dyDescent="0.2">
      <c r="A74" s="12" t="s">
        <v>405</v>
      </c>
    </row>
    <row r="75" spans="1:1" ht="15" x14ac:dyDescent="0.2">
      <c r="A75" s="12" t="s">
        <v>406</v>
      </c>
    </row>
    <row r="76" spans="1:1" ht="15" x14ac:dyDescent="0.2">
      <c r="A76" s="12" t="s">
        <v>407</v>
      </c>
    </row>
    <row r="77" spans="1:1" ht="15" x14ac:dyDescent="0.2">
      <c r="A77" s="12" t="s">
        <v>408</v>
      </c>
    </row>
    <row r="78" spans="1:1" ht="15" x14ac:dyDescent="0.2">
      <c r="A78" s="12" t="s">
        <v>409</v>
      </c>
    </row>
    <row r="79" spans="1:1" ht="15" x14ac:dyDescent="0.2">
      <c r="A79" s="12" t="s">
        <v>410</v>
      </c>
    </row>
    <row r="80" spans="1:1" ht="15" x14ac:dyDescent="0.2">
      <c r="A80" s="1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272</v>
      </c>
    </row>
    <row r="5" spans="1:1" ht="15" x14ac:dyDescent="0.2">
      <c r="A5" s="12" t="s">
        <v>273</v>
      </c>
    </row>
    <row r="6" spans="1:1" ht="15" x14ac:dyDescent="0.2">
      <c r="A6" s="12" t="s">
        <v>274</v>
      </c>
    </row>
    <row r="7" spans="1:1" ht="15" x14ac:dyDescent="0.2">
      <c r="A7" s="12" t="s">
        <v>275</v>
      </c>
    </row>
    <row r="8" spans="1:1" ht="15" x14ac:dyDescent="0.2">
      <c r="A8" s="12" t="s">
        <v>276</v>
      </c>
    </row>
    <row r="9" spans="1:1" ht="15" x14ac:dyDescent="0.2">
      <c r="A9" s="12" t="s">
        <v>277</v>
      </c>
    </row>
    <row r="10" spans="1:1" ht="15" x14ac:dyDescent="0.2">
      <c r="A10" s="12" t="s">
        <v>278</v>
      </c>
    </row>
    <row r="11" spans="1:1" ht="15" x14ac:dyDescent="0.2">
      <c r="A11" s="12" t="s">
        <v>279</v>
      </c>
    </row>
    <row r="12" spans="1:1" ht="15" x14ac:dyDescent="0.2">
      <c r="A12" s="12" t="s">
        <v>280</v>
      </c>
    </row>
    <row r="13" spans="1:1" ht="15" x14ac:dyDescent="0.2">
      <c r="A13" s="12" t="s">
        <v>281</v>
      </c>
    </row>
    <row r="14" spans="1:1" ht="15" x14ac:dyDescent="0.2">
      <c r="A14" s="12" t="s">
        <v>282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283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284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285</v>
      </c>
    </row>
    <row r="74" spans="1:1" ht="15" x14ac:dyDescent="0.2">
      <c r="A74" s="12" t="s">
        <v>286</v>
      </c>
    </row>
    <row r="75" spans="1:1" ht="15" x14ac:dyDescent="0.2">
      <c r="A75" s="12" t="s">
        <v>287</v>
      </c>
    </row>
    <row r="76" spans="1:1" ht="15" x14ac:dyDescent="0.2">
      <c r="A76" s="12" t="s">
        <v>288</v>
      </c>
    </row>
    <row r="77" spans="1:1" ht="15" x14ac:dyDescent="0.2">
      <c r="A77" s="12" t="s">
        <v>289</v>
      </c>
    </row>
    <row r="78" spans="1:1" ht="15" x14ac:dyDescent="0.2">
      <c r="A78" s="12" t="s">
        <v>290</v>
      </c>
    </row>
    <row r="79" spans="1:1" ht="15" x14ac:dyDescent="0.2">
      <c r="A79" s="12" t="s">
        <v>291</v>
      </c>
    </row>
    <row r="80" spans="1:1" ht="15" x14ac:dyDescent="0.2">
      <c r="A80" s="12" t="s">
        <v>292</v>
      </c>
    </row>
    <row r="81" spans="1:1" ht="15" x14ac:dyDescent="0.2">
      <c r="A81" s="12" t="s">
        <v>293</v>
      </c>
    </row>
    <row r="82" spans="1:1" ht="15" x14ac:dyDescent="0.2">
      <c r="A82" s="12" t="s">
        <v>294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Water Activity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  <vt:lpstr>Partitioning</vt:lpstr>
      <vt:lpstr>SolubilityEffects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cp:lastPrinted>2013-11-12T11:18:59Z</cp:lastPrinted>
  <dcterms:created xsi:type="dcterms:W3CDTF">2013-06-25T11:54:57Z</dcterms:created>
  <dcterms:modified xsi:type="dcterms:W3CDTF">2014-03-21T09:30:30Z</dcterms:modified>
</cp:coreProperties>
</file>