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lueT7/bcdp/data/supersiteDB/data/"/>
    </mc:Choice>
  </mc:AlternateContent>
  <xr:revisionPtr revIDLastSave="0" documentId="13_ncr:1_{5D00DD70-137B-AF4B-A451-25D1C66D6E23}" xr6:coauthVersionLast="47" xr6:coauthVersionMax="47" xr10:uidLastSave="{00000000-0000-0000-0000-000000000000}"/>
  <bookViews>
    <workbookView xWindow="6980" yWindow="1020" windowWidth="26320" windowHeight="19940" firstSheet="1" activeTab="3" xr2:uid="{49D4A4B5-E834-E54D-80BB-54A0943A8FAB}"/>
  </bookViews>
  <sheets>
    <sheet name="Old Recap SS &amp; Precinct #s" sheetId="11" state="hidden" r:id="rId1"/>
    <sheet name="Recap SS,Precincts,Chairs" sheetId="15" r:id="rId2"/>
    <sheet name="SD HD" sheetId="16" state="hidden" r:id="rId3"/>
    <sheet name="Supersite Working-AW" sheetId="7" r:id="rId4"/>
    <sheet name="NGP Chairs CoChairs" sheetId="12" r:id="rId5"/>
    <sheet name="MM Precinct &amp; Forms" sheetId="18" r:id="rId6"/>
    <sheet name="Venue Changes" sheetId="17" state="hidden" r:id="rId7"/>
    <sheet name="AC Field List-JB" sheetId="9" state="hidden" r:id="rId8"/>
    <sheet name="SS Adresses" sheetId="14" r:id="rId9"/>
    <sheet name="Chairs &amp; Secretary" sheetId="20" r:id="rId10"/>
    <sheet name="AC List as of 12-17-23" sheetId="8" state="hidden" r:id="rId11"/>
  </sheets>
  <definedNames>
    <definedName name="_xlnm._FilterDatabase" localSheetId="7" hidden="1">'AC Field List-JB'!$A$1:$Y$431</definedName>
    <definedName name="_xlnm._FilterDatabase" localSheetId="9" hidden="1">'Chairs &amp; Secretary'!$A$1:$P$145</definedName>
    <definedName name="_xlnm._FilterDatabase" localSheetId="5" hidden="1">'MM Precinct &amp; Forms'!$A$1:$U$194</definedName>
    <definedName name="_xlnm._FilterDatabase" localSheetId="4" hidden="1">'NGP Chairs CoChairs'!$A$1:$AA$53</definedName>
    <definedName name="_xlnm._FilterDatabase" localSheetId="0" hidden="1">'Old Recap SS &amp; Precinct #s'!$A$4:$HJ$24</definedName>
    <definedName name="_xlnm._FilterDatabase" localSheetId="1" hidden="1">'Recap SS,Precincts,Chairs'!$A$4:$HF$4</definedName>
    <definedName name="_xlnm._FilterDatabase" localSheetId="8" hidden="1">'SS Adresses'!$A$1:$K$22</definedName>
    <definedName name="_xlnm._FilterDatabase" localSheetId="3" hidden="1">'Supersite Working-AW'!$A$3:$AU$197</definedName>
    <definedName name="_xlnm.Print_Area" localSheetId="0">'Old Recap SS &amp; Precinct #s'!$A$1:$AY$23</definedName>
    <definedName name="_xlnm.Print_Titles" localSheetId="0">'Old Recap SS &amp; Precinct #s'!$4:$4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0" i="18" l="1"/>
  <c r="H200" i="18"/>
  <c r="I200" i="18"/>
  <c r="J200" i="18"/>
  <c r="K200" i="18"/>
  <c r="L200" i="18"/>
  <c r="M200" i="18"/>
  <c r="N200" i="18"/>
  <c r="O200" i="18"/>
  <c r="P200" i="18"/>
  <c r="Q200" i="18"/>
  <c r="G198" i="18"/>
  <c r="H198" i="18"/>
  <c r="I198" i="18"/>
  <c r="J198" i="18"/>
  <c r="K198" i="18"/>
  <c r="L198" i="18"/>
  <c r="M198" i="18"/>
  <c r="N198" i="18"/>
  <c r="O198" i="18"/>
  <c r="P198" i="18"/>
  <c r="Q198" i="18"/>
  <c r="G196" i="18"/>
  <c r="H196" i="18"/>
  <c r="I196" i="18"/>
  <c r="J196" i="18"/>
  <c r="K196" i="18"/>
  <c r="L196" i="18"/>
  <c r="M196" i="18"/>
  <c r="N196" i="18"/>
  <c r="O196" i="18"/>
  <c r="P196" i="18"/>
  <c r="Q196" i="18"/>
  <c r="R200" i="18"/>
  <c r="R198" i="18"/>
  <c r="S198" i="18"/>
  <c r="T198" i="18"/>
  <c r="U198" i="18"/>
  <c r="R196" i="18"/>
  <c r="S196" i="18"/>
  <c r="T196" i="18"/>
  <c r="U196" i="18"/>
  <c r="G51" i="12"/>
  <c r="F22" i="14" l="1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3" i="14"/>
  <c r="F4" i="14"/>
  <c r="F2" i="14"/>
  <c r="D145" i="20"/>
  <c r="C145" i="20"/>
  <c r="B145" i="20"/>
  <c r="A145" i="20"/>
  <c r="D144" i="20"/>
  <c r="C144" i="20"/>
  <c r="B144" i="20"/>
  <c r="A144" i="20"/>
  <c r="D143" i="20"/>
  <c r="C143" i="20"/>
  <c r="B143" i="20"/>
  <c r="A143" i="20"/>
  <c r="D142" i="20"/>
  <c r="C142" i="20"/>
  <c r="B142" i="20"/>
  <c r="A142" i="20"/>
  <c r="D141" i="20"/>
  <c r="C141" i="20"/>
  <c r="B141" i="20"/>
  <c r="A141" i="20"/>
  <c r="D140" i="20"/>
  <c r="C140" i="20"/>
  <c r="B140" i="20"/>
  <c r="A140" i="20"/>
  <c r="D139" i="20"/>
  <c r="C139" i="20"/>
  <c r="B139" i="20"/>
  <c r="A139" i="20"/>
  <c r="D138" i="20"/>
  <c r="C138" i="20"/>
  <c r="B138" i="20"/>
  <c r="A138" i="20"/>
  <c r="D137" i="20"/>
  <c r="C137" i="20"/>
  <c r="B137" i="20"/>
  <c r="A137" i="20"/>
  <c r="D136" i="20"/>
  <c r="C136" i="20"/>
  <c r="B136" i="20"/>
  <c r="A136" i="20"/>
  <c r="D135" i="20"/>
  <c r="C135" i="20"/>
  <c r="B135" i="20"/>
  <c r="A135" i="20"/>
  <c r="D134" i="20"/>
  <c r="C134" i="20"/>
  <c r="B134" i="20"/>
  <c r="A134" i="20"/>
  <c r="D133" i="20"/>
  <c r="C133" i="20"/>
  <c r="B133" i="20"/>
  <c r="A133" i="20"/>
  <c r="D132" i="20"/>
  <c r="C132" i="20"/>
  <c r="B132" i="20"/>
  <c r="A132" i="20"/>
  <c r="D131" i="20"/>
  <c r="C131" i="20"/>
  <c r="B131" i="20"/>
  <c r="A131" i="20"/>
  <c r="D130" i="20"/>
  <c r="C130" i="20"/>
  <c r="B130" i="20"/>
  <c r="A130" i="20"/>
  <c r="D129" i="20"/>
  <c r="C129" i="20"/>
  <c r="B129" i="20"/>
  <c r="A129" i="20"/>
  <c r="D128" i="20"/>
  <c r="C128" i="20"/>
  <c r="B128" i="20"/>
  <c r="A128" i="20"/>
  <c r="D127" i="20"/>
  <c r="C127" i="20"/>
  <c r="B127" i="20"/>
  <c r="A127" i="20"/>
  <c r="D126" i="20"/>
  <c r="C126" i="20"/>
  <c r="B126" i="20"/>
  <c r="A126" i="20"/>
  <c r="D125" i="20"/>
  <c r="C125" i="20"/>
  <c r="B125" i="20"/>
  <c r="A125" i="20"/>
  <c r="D124" i="20"/>
  <c r="C124" i="20"/>
  <c r="B124" i="20"/>
  <c r="A124" i="20"/>
  <c r="D123" i="20"/>
  <c r="C123" i="20"/>
  <c r="B123" i="20"/>
  <c r="A123" i="20"/>
  <c r="D122" i="20"/>
  <c r="C122" i="20"/>
  <c r="B122" i="20"/>
  <c r="A122" i="20"/>
  <c r="D121" i="20"/>
  <c r="C121" i="20"/>
  <c r="B121" i="20"/>
  <c r="A121" i="20"/>
  <c r="D120" i="20"/>
  <c r="C120" i="20"/>
  <c r="B120" i="20"/>
  <c r="A120" i="20"/>
  <c r="D119" i="20"/>
  <c r="C119" i="20"/>
  <c r="B119" i="20"/>
  <c r="A119" i="20"/>
  <c r="D118" i="20"/>
  <c r="C118" i="20"/>
  <c r="B118" i="20"/>
  <c r="A118" i="20"/>
  <c r="D117" i="20"/>
  <c r="C117" i="20"/>
  <c r="B117" i="20"/>
  <c r="A117" i="20"/>
  <c r="D116" i="20"/>
  <c r="C116" i="20"/>
  <c r="B116" i="20"/>
  <c r="A116" i="20"/>
  <c r="D115" i="20"/>
  <c r="C115" i="20"/>
  <c r="B115" i="20"/>
  <c r="A115" i="20"/>
  <c r="D114" i="20"/>
  <c r="C114" i="20"/>
  <c r="B114" i="20"/>
  <c r="A114" i="20"/>
  <c r="D113" i="20"/>
  <c r="C113" i="20"/>
  <c r="B113" i="20"/>
  <c r="A113" i="20"/>
  <c r="D112" i="20"/>
  <c r="C112" i="20"/>
  <c r="B112" i="20"/>
  <c r="A112" i="20"/>
  <c r="D111" i="20"/>
  <c r="C111" i="20"/>
  <c r="B111" i="20"/>
  <c r="A111" i="20"/>
  <c r="D110" i="20"/>
  <c r="C110" i="20"/>
  <c r="B110" i="20"/>
  <c r="A110" i="20"/>
  <c r="D109" i="20"/>
  <c r="C109" i="20"/>
  <c r="B109" i="20"/>
  <c r="A109" i="20"/>
  <c r="D108" i="20"/>
  <c r="C108" i="20"/>
  <c r="B108" i="20"/>
  <c r="A108" i="20"/>
  <c r="D107" i="20"/>
  <c r="C107" i="20"/>
  <c r="B107" i="20"/>
  <c r="A107" i="20"/>
  <c r="D106" i="20"/>
  <c r="C106" i="20"/>
  <c r="B106" i="20"/>
  <c r="A106" i="20"/>
  <c r="D105" i="20"/>
  <c r="C105" i="20"/>
  <c r="B105" i="20"/>
  <c r="A105" i="20"/>
  <c r="D104" i="20"/>
  <c r="C104" i="20"/>
  <c r="B104" i="20"/>
  <c r="A104" i="20"/>
  <c r="D103" i="20"/>
  <c r="C103" i="20"/>
  <c r="B103" i="20"/>
  <c r="A103" i="20"/>
  <c r="D102" i="20"/>
  <c r="C102" i="20"/>
  <c r="B102" i="20"/>
  <c r="A102" i="20"/>
  <c r="D101" i="20"/>
  <c r="C101" i="20"/>
  <c r="B101" i="20"/>
  <c r="A101" i="20"/>
  <c r="D100" i="20"/>
  <c r="C100" i="20"/>
  <c r="B100" i="20"/>
  <c r="A100" i="20"/>
  <c r="D99" i="20"/>
  <c r="C99" i="20"/>
  <c r="B99" i="20"/>
  <c r="A99" i="20"/>
  <c r="D98" i="20"/>
  <c r="C98" i="20"/>
  <c r="B98" i="20"/>
  <c r="A98" i="20"/>
  <c r="D97" i="20"/>
  <c r="C97" i="20"/>
  <c r="B97" i="20"/>
  <c r="A97" i="20"/>
  <c r="D96" i="20"/>
  <c r="C96" i="20"/>
  <c r="B96" i="20"/>
  <c r="A96" i="20"/>
  <c r="D95" i="20"/>
  <c r="C95" i="20"/>
  <c r="B95" i="20"/>
  <c r="A95" i="20"/>
  <c r="D94" i="20"/>
  <c r="C94" i="20"/>
  <c r="B94" i="20"/>
  <c r="A94" i="20"/>
  <c r="D93" i="20"/>
  <c r="C93" i="20"/>
  <c r="B93" i="20"/>
  <c r="A93" i="20"/>
  <c r="D92" i="20"/>
  <c r="C92" i="20"/>
  <c r="B92" i="20"/>
  <c r="A92" i="20"/>
  <c r="D91" i="20"/>
  <c r="C91" i="20"/>
  <c r="B91" i="20"/>
  <c r="A91" i="20"/>
  <c r="D90" i="20"/>
  <c r="C90" i="20"/>
  <c r="B90" i="20"/>
  <c r="A90" i="20"/>
  <c r="D89" i="20"/>
  <c r="C89" i="20"/>
  <c r="B89" i="20"/>
  <c r="A89" i="20"/>
  <c r="D88" i="20"/>
  <c r="C88" i="20"/>
  <c r="B88" i="20"/>
  <c r="A88" i="20"/>
  <c r="D87" i="20"/>
  <c r="C87" i="20"/>
  <c r="B87" i="20"/>
  <c r="A87" i="20"/>
  <c r="D86" i="20"/>
  <c r="C86" i="20"/>
  <c r="B86" i="20"/>
  <c r="A86" i="20"/>
  <c r="D85" i="20"/>
  <c r="C85" i="20"/>
  <c r="B85" i="20"/>
  <c r="A85" i="20"/>
  <c r="D84" i="20"/>
  <c r="C84" i="20"/>
  <c r="B84" i="20"/>
  <c r="A84" i="20"/>
  <c r="D83" i="20"/>
  <c r="C83" i="20"/>
  <c r="B83" i="20"/>
  <c r="A83" i="20"/>
  <c r="D82" i="20"/>
  <c r="C82" i="20"/>
  <c r="B82" i="20"/>
  <c r="A82" i="20"/>
  <c r="D81" i="20"/>
  <c r="C81" i="20"/>
  <c r="B81" i="20"/>
  <c r="A81" i="20"/>
  <c r="D80" i="20"/>
  <c r="C80" i="20"/>
  <c r="B80" i="20"/>
  <c r="A80" i="20"/>
  <c r="D79" i="20"/>
  <c r="C79" i="20"/>
  <c r="B79" i="20"/>
  <c r="A79" i="20"/>
  <c r="D78" i="20"/>
  <c r="C78" i="20"/>
  <c r="B78" i="20"/>
  <c r="A78" i="20"/>
  <c r="D77" i="20"/>
  <c r="C77" i="20"/>
  <c r="B77" i="20"/>
  <c r="A77" i="20"/>
  <c r="D76" i="20"/>
  <c r="C76" i="20"/>
  <c r="B76" i="20"/>
  <c r="A76" i="20"/>
  <c r="D75" i="20"/>
  <c r="C75" i="20"/>
  <c r="B75" i="20"/>
  <c r="A75" i="20"/>
  <c r="D74" i="20"/>
  <c r="C74" i="20"/>
  <c r="B74" i="20"/>
  <c r="A74" i="20"/>
  <c r="D73" i="20"/>
  <c r="C73" i="20"/>
  <c r="B73" i="20"/>
  <c r="A73" i="20"/>
  <c r="D72" i="20"/>
  <c r="C72" i="20"/>
  <c r="B72" i="20"/>
  <c r="A72" i="20"/>
  <c r="D71" i="20"/>
  <c r="C71" i="20"/>
  <c r="B71" i="20"/>
  <c r="A71" i="20"/>
  <c r="D70" i="20"/>
  <c r="C70" i="20"/>
  <c r="B70" i="20"/>
  <c r="A70" i="20"/>
  <c r="D69" i="20"/>
  <c r="C69" i="20"/>
  <c r="B69" i="20"/>
  <c r="A69" i="20"/>
  <c r="D68" i="20"/>
  <c r="C68" i="20"/>
  <c r="B68" i="20"/>
  <c r="A68" i="20"/>
  <c r="D67" i="20"/>
  <c r="C67" i="20"/>
  <c r="B67" i="20"/>
  <c r="A67" i="20"/>
  <c r="D66" i="20"/>
  <c r="C66" i="20"/>
  <c r="B66" i="20"/>
  <c r="A66" i="20"/>
  <c r="D65" i="20"/>
  <c r="C65" i="20"/>
  <c r="B65" i="20"/>
  <c r="A65" i="20"/>
  <c r="D64" i="20"/>
  <c r="C64" i="20"/>
  <c r="B64" i="20"/>
  <c r="A64" i="20"/>
  <c r="D63" i="20"/>
  <c r="C63" i="20"/>
  <c r="B63" i="20"/>
  <c r="A63" i="20"/>
  <c r="D62" i="20"/>
  <c r="C62" i="20"/>
  <c r="B62" i="20"/>
  <c r="A62" i="20"/>
  <c r="D61" i="20"/>
  <c r="C61" i="20"/>
  <c r="B61" i="20"/>
  <c r="A61" i="20"/>
  <c r="D60" i="20"/>
  <c r="C60" i="20"/>
  <c r="B60" i="20"/>
  <c r="A60" i="20"/>
  <c r="D59" i="20"/>
  <c r="C59" i="20"/>
  <c r="B59" i="20"/>
  <c r="A59" i="20"/>
  <c r="D58" i="20"/>
  <c r="C58" i="20"/>
  <c r="B58" i="20"/>
  <c r="A58" i="20"/>
  <c r="D57" i="20"/>
  <c r="C57" i="20"/>
  <c r="B57" i="20"/>
  <c r="A57" i="20"/>
  <c r="D56" i="20"/>
  <c r="C56" i="20"/>
  <c r="B56" i="20"/>
  <c r="A56" i="20"/>
  <c r="D55" i="20"/>
  <c r="C55" i="20"/>
  <c r="B55" i="20"/>
  <c r="A55" i="20"/>
  <c r="D54" i="20"/>
  <c r="C54" i="20"/>
  <c r="B54" i="20"/>
  <c r="A54" i="20"/>
  <c r="D53" i="20"/>
  <c r="C53" i="20"/>
  <c r="B53" i="20"/>
  <c r="A53" i="20"/>
  <c r="D52" i="20"/>
  <c r="C52" i="20"/>
  <c r="B52" i="20"/>
  <c r="A52" i="20"/>
  <c r="D51" i="20"/>
  <c r="C51" i="20"/>
  <c r="B51" i="20"/>
  <c r="A51" i="20"/>
  <c r="D50" i="20"/>
  <c r="C50" i="20"/>
  <c r="B50" i="20"/>
  <c r="A50" i="20"/>
  <c r="D49" i="20"/>
  <c r="C49" i="20"/>
  <c r="B49" i="20"/>
  <c r="A49" i="20"/>
  <c r="D48" i="20"/>
  <c r="C48" i="20"/>
  <c r="B48" i="20"/>
  <c r="A48" i="20"/>
  <c r="D47" i="20"/>
  <c r="C47" i="20"/>
  <c r="B47" i="20"/>
  <c r="A47" i="20"/>
  <c r="D46" i="20"/>
  <c r="C46" i="20"/>
  <c r="B46" i="20"/>
  <c r="A46" i="20"/>
  <c r="D45" i="20"/>
  <c r="C45" i="20"/>
  <c r="B45" i="20"/>
  <c r="A45" i="20"/>
  <c r="D44" i="20"/>
  <c r="C44" i="20"/>
  <c r="B44" i="20"/>
  <c r="A44" i="20"/>
  <c r="D43" i="20"/>
  <c r="C43" i="20"/>
  <c r="B43" i="20"/>
  <c r="A43" i="20"/>
  <c r="D42" i="20"/>
  <c r="C42" i="20"/>
  <c r="B42" i="20"/>
  <c r="A42" i="20"/>
  <c r="D41" i="20"/>
  <c r="C41" i="20"/>
  <c r="B41" i="20"/>
  <c r="A41" i="20"/>
  <c r="D40" i="20"/>
  <c r="C40" i="20"/>
  <c r="B40" i="20"/>
  <c r="A40" i="20"/>
  <c r="D39" i="20"/>
  <c r="C39" i="20"/>
  <c r="B39" i="20"/>
  <c r="A39" i="20"/>
  <c r="D38" i="20"/>
  <c r="C38" i="20"/>
  <c r="B38" i="20"/>
  <c r="A38" i="20"/>
  <c r="D37" i="20"/>
  <c r="C37" i="20"/>
  <c r="B37" i="20"/>
  <c r="A37" i="20"/>
  <c r="D36" i="20"/>
  <c r="C36" i="20"/>
  <c r="B36" i="20"/>
  <c r="A36" i="20"/>
  <c r="D35" i="20"/>
  <c r="C35" i="20"/>
  <c r="B35" i="20"/>
  <c r="A35" i="20"/>
  <c r="D34" i="20"/>
  <c r="C34" i="20"/>
  <c r="B34" i="20"/>
  <c r="A34" i="20"/>
  <c r="D33" i="20"/>
  <c r="C33" i="20"/>
  <c r="B33" i="20"/>
  <c r="A33" i="20"/>
  <c r="D32" i="20"/>
  <c r="C32" i="20"/>
  <c r="B32" i="20"/>
  <c r="A32" i="20"/>
  <c r="D31" i="20"/>
  <c r="C31" i="20"/>
  <c r="B31" i="20"/>
  <c r="A31" i="20"/>
  <c r="D30" i="20"/>
  <c r="C30" i="20"/>
  <c r="B30" i="20"/>
  <c r="A30" i="20"/>
  <c r="D29" i="20"/>
  <c r="C29" i="20"/>
  <c r="B29" i="20"/>
  <c r="A29" i="20"/>
  <c r="D28" i="20"/>
  <c r="C28" i="20"/>
  <c r="B28" i="20"/>
  <c r="A28" i="20"/>
  <c r="D27" i="20"/>
  <c r="C27" i="20"/>
  <c r="B27" i="20"/>
  <c r="A27" i="20"/>
  <c r="D26" i="20"/>
  <c r="C26" i="20"/>
  <c r="B26" i="20"/>
  <c r="A26" i="20"/>
  <c r="D25" i="20"/>
  <c r="C25" i="20"/>
  <c r="B25" i="20"/>
  <c r="A25" i="20"/>
  <c r="D24" i="20"/>
  <c r="C24" i="20"/>
  <c r="B24" i="20"/>
  <c r="A24" i="20"/>
  <c r="D23" i="20"/>
  <c r="C23" i="20"/>
  <c r="B23" i="20"/>
  <c r="A23" i="20"/>
  <c r="D22" i="20"/>
  <c r="C22" i="20"/>
  <c r="B22" i="20"/>
  <c r="A22" i="20"/>
  <c r="D21" i="20"/>
  <c r="C21" i="20"/>
  <c r="B21" i="20"/>
  <c r="A21" i="20"/>
  <c r="D20" i="20"/>
  <c r="C20" i="20"/>
  <c r="B20" i="20"/>
  <c r="A20" i="20"/>
  <c r="D19" i="20"/>
  <c r="C19" i="20"/>
  <c r="B19" i="20"/>
  <c r="A19" i="20"/>
  <c r="D18" i="20"/>
  <c r="C18" i="20"/>
  <c r="B18" i="20"/>
  <c r="A18" i="20"/>
  <c r="D17" i="20"/>
  <c r="C17" i="20"/>
  <c r="B17" i="20"/>
  <c r="A17" i="20"/>
  <c r="D16" i="20"/>
  <c r="C16" i="20"/>
  <c r="B16" i="20"/>
  <c r="A16" i="20"/>
  <c r="D15" i="20"/>
  <c r="C15" i="20"/>
  <c r="B15" i="20"/>
  <c r="A15" i="20"/>
  <c r="D14" i="20"/>
  <c r="C14" i="20"/>
  <c r="B14" i="20"/>
  <c r="A14" i="20"/>
  <c r="D13" i="20"/>
  <c r="C13" i="20"/>
  <c r="B13" i="20"/>
  <c r="A13" i="20"/>
  <c r="D12" i="20"/>
  <c r="C12" i="20"/>
  <c r="B12" i="20"/>
  <c r="A12" i="20"/>
  <c r="D11" i="20"/>
  <c r="C11" i="20"/>
  <c r="B11" i="20"/>
  <c r="A11" i="20"/>
  <c r="D10" i="20"/>
  <c r="C10" i="20"/>
  <c r="B10" i="20"/>
  <c r="A10" i="20"/>
  <c r="D9" i="20"/>
  <c r="C9" i="20"/>
  <c r="B9" i="20"/>
  <c r="A9" i="20"/>
  <c r="D8" i="20"/>
  <c r="C8" i="20"/>
  <c r="B8" i="20"/>
  <c r="A8" i="20"/>
  <c r="D7" i="20"/>
  <c r="C7" i="20"/>
  <c r="B7" i="20"/>
  <c r="A7" i="20"/>
  <c r="D6" i="20"/>
  <c r="C6" i="20"/>
  <c r="B6" i="20"/>
  <c r="A6" i="20"/>
  <c r="D5" i="20"/>
  <c r="C5" i="20"/>
  <c r="B5" i="20"/>
  <c r="A5" i="20"/>
  <c r="D4" i="20"/>
  <c r="C4" i="20"/>
  <c r="B4" i="20"/>
  <c r="A4" i="20"/>
  <c r="D3" i="20"/>
  <c r="C3" i="20"/>
  <c r="B3" i="20"/>
  <c r="A3" i="20"/>
  <c r="B2" i="20"/>
  <c r="C2" i="20"/>
  <c r="A2" i="20"/>
  <c r="AK196" i="7" l="1"/>
  <c r="AJ196" i="7"/>
  <c r="AI196" i="7"/>
  <c r="AH196" i="7"/>
  <c r="AG196" i="7"/>
  <c r="AF196" i="7"/>
  <c r="AE196" i="7"/>
  <c r="AD196" i="7"/>
  <c r="AK195" i="7"/>
  <c r="AJ195" i="7"/>
  <c r="AI195" i="7"/>
  <c r="AH195" i="7"/>
  <c r="AG195" i="7"/>
  <c r="AF195" i="7"/>
  <c r="AE195" i="7"/>
  <c r="AD195" i="7"/>
  <c r="AK194" i="7"/>
  <c r="AJ194" i="7"/>
  <c r="AI194" i="7"/>
  <c r="AH194" i="7"/>
  <c r="AG194" i="7"/>
  <c r="AF194" i="7"/>
  <c r="AE194" i="7"/>
  <c r="AD194" i="7"/>
  <c r="AK193" i="7"/>
  <c r="AJ193" i="7"/>
  <c r="AI193" i="7"/>
  <c r="AH193" i="7"/>
  <c r="AG193" i="7"/>
  <c r="AF193" i="7"/>
  <c r="AE193" i="7"/>
  <c r="AD193" i="7"/>
  <c r="AK192" i="7"/>
  <c r="AJ192" i="7"/>
  <c r="AI192" i="7"/>
  <c r="AH192" i="7"/>
  <c r="AG192" i="7"/>
  <c r="AF192" i="7"/>
  <c r="AE192" i="7"/>
  <c r="AD192" i="7"/>
  <c r="AK191" i="7"/>
  <c r="AJ191" i="7"/>
  <c r="AI191" i="7"/>
  <c r="AH191" i="7"/>
  <c r="AG191" i="7"/>
  <c r="AF191" i="7"/>
  <c r="AE191" i="7"/>
  <c r="AD191" i="7"/>
  <c r="AK190" i="7"/>
  <c r="AJ190" i="7"/>
  <c r="AI190" i="7"/>
  <c r="AH190" i="7"/>
  <c r="AG190" i="7"/>
  <c r="AF190" i="7"/>
  <c r="AE190" i="7"/>
  <c r="AD190" i="7"/>
  <c r="AK189" i="7"/>
  <c r="AJ189" i="7"/>
  <c r="AI189" i="7"/>
  <c r="AH189" i="7"/>
  <c r="AG189" i="7"/>
  <c r="AF189" i="7"/>
  <c r="AE189" i="7"/>
  <c r="AD189" i="7"/>
  <c r="AK182" i="7"/>
  <c r="AJ182" i="7"/>
  <c r="AI182" i="7"/>
  <c r="AH182" i="7"/>
  <c r="AG182" i="7"/>
  <c r="AF182" i="7"/>
  <c r="AE182" i="7"/>
  <c r="AD182" i="7"/>
  <c r="AK176" i="7"/>
  <c r="AJ176" i="7"/>
  <c r="AI176" i="7"/>
  <c r="AH176" i="7"/>
  <c r="AG176" i="7"/>
  <c r="AF176" i="7"/>
  <c r="AE176" i="7"/>
  <c r="AD176" i="7"/>
  <c r="AK175" i="7"/>
  <c r="AJ175" i="7"/>
  <c r="AI175" i="7"/>
  <c r="AH175" i="7"/>
  <c r="AG175" i="7"/>
  <c r="AF175" i="7"/>
  <c r="AE175" i="7"/>
  <c r="AD175" i="7"/>
  <c r="AK174" i="7"/>
  <c r="AJ174" i="7"/>
  <c r="AI174" i="7"/>
  <c r="AH174" i="7"/>
  <c r="AG174" i="7"/>
  <c r="AF174" i="7"/>
  <c r="AE174" i="7"/>
  <c r="AD174" i="7"/>
  <c r="AK173" i="7"/>
  <c r="AJ173" i="7"/>
  <c r="AI173" i="7"/>
  <c r="AH173" i="7"/>
  <c r="AG173" i="7"/>
  <c r="AF173" i="7"/>
  <c r="AE173" i="7"/>
  <c r="AD173" i="7"/>
  <c r="AK172" i="7"/>
  <c r="AJ172" i="7"/>
  <c r="AI172" i="7"/>
  <c r="AH172" i="7"/>
  <c r="AG172" i="7"/>
  <c r="AF172" i="7"/>
  <c r="AE172" i="7"/>
  <c r="AD172" i="7"/>
  <c r="AK171" i="7"/>
  <c r="AJ171" i="7"/>
  <c r="AI171" i="7"/>
  <c r="AH171" i="7"/>
  <c r="AG171" i="7"/>
  <c r="AF171" i="7"/>
  <c r="AE171" i="7"/>
  <c r="AD171" i="7"/>
  <c r="AK188" i="7"/>
  <c r="AJ188" i="7"/>
  <c r="AI188" i="7"/>
  <c r="AH188" i="7"/>
  <c r="AG188" i="7"/>
  <c r="AF188" i="7"/>
  <c r="AE188" i="7"/>
  <c r="AD188" i="7"/>
  <c r="AK187" i="7"/>
  <c r="AJ187" i="7"/>
  <c r="AI187" i="7"/>
  <c r="AH187" i="7"/>
  <c r="AG187" i="7"/>
  <c r="AF187" i="7"/>
  <c r="AE187" i="7"/>
  <c r="AD187" i="7"/>
  <c r="AK186" i="7"/>
  <c r="AJ186" i="7"/>
  <c r="AI186" i="7"/>
  <c r="AH186" i="7"/>
  <c r="AG186" i="7"/>
  <c r="AF186" i="7"/>
  <c r="AE186" i="7"/>
  <c r="AD186" i="7"/>
  <c r="AK185" i="7"/>
  <c r="AJ185" i="7"/>
  <c r="AI185" i="7"/>
  <c r="AH185" i="7"/>
  <c r="AG185" i="7"/>
  <c r="AF185" i="7"/>
  <c r="AE185" i="7"/>
  <c r="AD185" i="7"/>
  <c r="AK184" i="7"/>
  <c r="AJ184" i="7"/>
  <c r="AI184" i="7"/>
  <c r="AH184" i="7"/>
  <c r="AG184" i="7"/>
  <c r="AF184" i="7"/>
  <c r="AE184" i="7"/>
  <c r="AD184" i="7"/>
  <c r="AK181" i="7"/>
  <c r="AJ181" i="7"/>
  <c r="AI181" i="7"/>
  <c r="AH181" i="7"/>
  <c r="AG181" i="7"/>
  <c r="AF181" i="7"/>
  <c r="AE181" i="7"/>
  <c r="AD181" i="7"/>
  <c r="AK180" i="7"/>
  <c r="AJ180" i="7"/>
  <c r="AI180" i="7"/>
  <c r="AH180" i="7"/>
  <c r="AG180" i="7"/>
  <c r="AF180" i="7"/>
  <c r="AE180" i="7"/>
  <c r="AD180" i="7"/>
  <c r="AK183" i="7"/>
  <c r="AJ183" i="7"/>
  <c r="AI183" i="7"/>
  <c r="AH183" i="7"/>
  <c r="AG183" i="7"/>
  <c r="AF183" i="7"/>
  <c r="AE183" i="7"/>
  <c r="AD183" i="7"/>
  <c r="AK170" i="7"/>
  <c r="AJ170" i="7"/>
  <c r="AI170" i="7"/>
  <c r="AH170" i="7"/>
  <c r="AG170" i="7"/>
  <c r="AF170" i="7"/>
  <c r="AE170" i="7"/>
  <c r="AD170" i="7"/>
  <c r="AK169" i="7"/>
  <c r="AJ169" i="7"/>
  <c r="AI169" i="7"/>
  <c r="AH169" i="7"/>
  <c r="AG169" i="7"/>
  <c r="AF169" i="7"/>
  <c r="AE169" i="7"/>
  <c r="AD169" i="7"/>
  <c r="AK168" i="7"/>
  <c r="AJ168" i="7"/>
  <c r="AI168" i="7"/>
  <c r="AH168" i="7"/>
  <c r="AG168" i="7"/>
  <c r="AF168" i="7"/>
  <c r="AE168" i="7"/>
  <c r="AD168" i="7"/>
  <c r="AK167" i="7"/>
  <c r="AJ167" i="7"/>
  <c r="AI167" i="7"/>
  <c r="AH167" i="7"/>
  <c r="AG167" i="7"/>
  <c r="AF167" i="7"/>
  <c r="AE167" i="7"/>
  <c r="AD167" i="7"/>
  <c r="AK166" i="7"/>
  <c r="AJ166" i="7"/>
  <c r="AI166" i="7"/>
  <c r="AH166" i="7"/>
  <c r="AG166" i="7"/>
  <c r="AF166" i="7"/>
  <c r="AE166" i="7"/>
  <c r="AD166" i="7"/>
  <c r="AK164" i="7"/>
  <c r="AJ164" i="7"/>
  <c r="AI164" i="7"/>
  <c r="AH164" i="7"/>
  <c r="AG164" i="7"/>
  <c r="AF164" i="7"/>
  <c r="AE164" i="7"/>
  <c r="AD164" i="7"/>
  <c r="AK163" i="7"/>
  <c r="AJ163" i="7"/>
  <c r="AI163" i="7"/>
  <c r="AH163" i="7"/>
  <c r="AG163" i="7"/>
  <c r="AF163" i="7"/>
  <c r="AE163" i="7"/>
  <c r="AD163" i="7"/>
  <c r="AK165" i="7"/>
  <c r="AJ165" i="7"/>
  <c r="AI165" i="7"/>
  <c r="AH165" i="7"/>
  <c r="AG165" i="7"/>
  <c r="AF165" i="7"/>
  <c r="AE165" i="7"/>
  <c r="AD165" i="7"/>
  <c r="AK162" i="7"/>
  <c r="AJ162" i="7"/>
  <c r="AI162" i="7"/>
  <c r="AH162" i="7"/>
  <c r="AG162" i="7"/>
  <c r="AF162" i="7"/>
  <c r="AE162" i="7"/>
  <c r="AD162" i="7"/>
  <c r="AK161" i="7"/>
  <c r="AJ161" i="7"/>
  <c r="AI161" i="7"/>
  <c r="AH161" i="7"/>
  <c r="AG161" i="7"/>
  <c r="AF161" i="7"/>
  <c r="AE161" i="7"/>
  <c r="AD161" i="7"/>
  <c r="AK160" i="7"/>
  <c r="AJ160" i="7"/>
  <c r="AI160" i="7"/>
  <c r="AH160" i="7"/>
  <c r="AG160" i="7"/>
  <c r="AF160" i="7"/>
  <c r="AE160" i="7"/>
  <c r="AD160" i="7"/>
  <c r="AK159" i="7"/>
  <c r="AJ159" i="7"/>
  <c r="AI159" i="7"/>
  <c r="AH159" i="7"/>
  <c r="AG159" i="7"/>
  <c r="AF159" i="7"/>
  <c r="AE159" i="7"/>
  <c r="AD159" i="7"/>
  <c r="AK158" i="7"/>
  <c r="AJ158" i="7"/>
  <c r="AI158" i="7"/>
  <c r="AH158" i="7"/>
  <c r="AG158" i="7"/>
  <c r="AF158" i="7"/>
  <c r="AE158" i="7"/>
  <c r="AD158" i="7"/>
  <c r="AK139" i="7"/>
  <c r="AJ139" i="7"/>
  <c r="AI139" i="7"/>
  <c r="AH139" i="7"/>
  <c r="AG139" i="7"/>
  <c r="AF139" i="7"/>
  <c r="AE139" i="7"/>
  <c r="AD139" i="7"/>
  <c r="AK138" i="7"/>
  <c r="AJ138" i="7"/>
  <c r="AI138" i="7"/>
  <c r="AH138" i="7"/>
  <c r="AG138" i="7"/>
  <c r="AF138" i="7"/>
  <c r="AE138" i="7"/>
  <c r="AD138" i="7"/>
  <c r="AK137" i="7"/>
  <c r="AJ137" i="7"/>
  <c r="AI137" i="7"/>
  <c r="AH137" i="7"/>
  <c r="AG137" i="7"/>
  <c r="AF137" i="7"/>
  <c r="AE137" i="7"/>
  <c r="AD137" i="7"/>
  <c r="AK136" i="7"/>
  <c r="AJ136" i="7"/>
  <c r="AI136" i="7"/>
  <c r="AH136" i="7"/>
  <c r="AG136" i="7"/>
  <c r="AF136" i="7"/>
  <c r="AE136" i="7"/>
  <c r="AD136" i="7"/>
  <c r="AK135" i="7"/>
  <c r="AJ135" i="7"/>
  <c r="AI135" i="7"/>
  <c r="AH135" i="7"/>
  <c r="AG135" i="7"/>
  <c r="AF135" i="7"/>
  <c r="AE135" i="7"/>
  <c r="AD135" i="7"/>
  <c r="AK131" i="7"/>
  <c r="AJ131" i="7"/>
  <c r="AI131" i="7"/>
  <c r="AH131" i="7"/>
  <c r="AG131" i="7"/>
  <c r="AF131" i="7"/>
  <c r="AE131" i="7"/>
  <c r="AD131" i="7"/>
  <c r="AK130" i="7"/>
  <c r="AJ130" i="7"/>
  <c r="AI130" i="7"/>
  <c r="AH130" i="7"/>
  <c r="AG130" i="7"/>
  <c r="AF130" i="7"/>
  <c r="AE130" i="7"/>
  <c r="AD130" i="7"/>
  <c r="AK129" i="7"/>
  <c r="AJ129" i="7"/>
  <c r="AI129" i="7"/>
  <c r="AH129" i="7"/>
  <c r="AG129" i="7"/>
  <c r="AF129" i="7"/>
  <c r="AE129" i="7"/>
  <c r="AD129" i="7"/>
  <c r="AK134" i="7"/>
  <c r="AJ134" i="7"/>
  <c r="AI134" i="7"/>
  <c r="AH134" i="7"/>
  <c r="AG134" i="7"/>
  <c r="AF134" i="7"/>
  <c r="AE134" i="7"/>
  <c r="AD134" i="7"/>
  <c r="AK133" i="7"/>
  <c r="AJ133" i="7"/>
  <c r="AI133" i="7"/>
  <c r="AH133" i="7"/>
  <c r="AG133" i="7"/>
  <c r="AF133" i="7"/>
  <c r="AE133" i="7"/>
  <c r="AD133" i="7"/>
  <c r="AK132" i="7"/>
  <c r="AJ132" i="7"/>
  <c r="AI132" i="7"/>
  <c r="AH132" i="7"/>
  <c r="AG132" i="7"/>
  <c r="AF132" i="7"/>
  <c r="AE132" i="7"/>
  <c r="AD132" i="7"/>
  <c r="AK128" i="7"/>
  <c r="AJ128" i="7"/>
  <c r="AI128" i="7"/>
  <c r="AH128" i="7"/>
  <c r="AG128" i="7"/>
  <c r="AF128" i="7"/>
  <c r="AE128" i="7"/>
  <c r="AD128" i="7"/>
  <c r="AK127" i="7"/>
  <c r="AJ127" i="7"/>
  <c r="AI127" i="7"/>
  <c r="AH127" i="7"/>
  <c r="AG127" i="7"/>
  <c r="AF127" i="7"/>
  <c r="AE127" i="7"/>
  <c r="AD127" i="7"/>
  <c r="AK126" i="7"/>
  <c r="AJ126" i="7"/>
  <c r="AI126" i="7"/>
  <c r="AH126" i="7"/>
  <c r="AG126" i="7"/>
  <c r="AF126" i="7"/>
  <c r="AE126" i="7"/>
  <c r="AD126" i="7"/>
  <c r="AK125" i="7"/>
  <c r="AJ125" i="7"/>
  <c r="AI125" i="7"/>
  <c r="AH125" i="7"/>
  <c r="AG125" i="7"/>
  <c r="AF125" i="7"/>
  <c r="AE125" i="7"/>
  <c r="AD125" i="7"/>
  <c r="AK124" i="7"/>
  <c r="AJ124" i="7"/>
  <c r="AI124" i="7"/>
  <c r="AH124" i="7"/>
  <c r="AG124" i="7"/>
  <c r="AF124" i="7"/>
  <c r="AE124" i="7"/>
  <c r="AD124" i="7"/>
  <c r="AK123" i="7"/>
  <c r="AJ123" i="7"/>
  <c r="AI123" i="7"/>
  <c r="AH123" i="7"/>
  <c r="AG123" i="7"/>
  <c r="AF123" i="7"/>
  <c r="AE123" i="7"/>
  <c r="AD123" i="7"/>
  <c r="AK157" i="7"/>
  <c r="AJ157" i="7"/>
  <c r="AI157" i="7"/>
  <c r="AH157" i="7"/>
  <c r="AG157" i="7"/>
  <c r="AF157" i="7"/>
  <c r="AE157" i="7"/>
  <c r="AD157" i="7"/>
  <c r="AK156" i="7"/>
  <c r="AJ156" i="7"/>
  <c r="AI156" i="7"/>
  <c r="AH156" i="7"/>
  <c r="AG156" i="7"/>
  <c r="AF156" i="7"/>
  <c r="AE156" i="7"/>
  <c r="AD156" i="7"/>
  <c r="AK155" i="7"/>
  <c r="AJ155" i="7"/>
  <c r="AI155" i="7"/>
  <c r="AH155" i="7"/>
  <c r="AG155" i="7"/>
  <c r="AF155" i="7"/>
  <c r="AE155" i="7"/>
  <c r="AD155" i="7"/>
  <c r="AK154" i="7"/>
  <c r="AJ154" i="7"/>
  <c r="AI154" i="7"/>
  <c r="AH154" i="7"/>
  <c r="AG154" i="7"/>
  <c r="AF154" i="7"/>
  <c r="AE154" i="7"/>
  <c r="AD154" i="7"/>
  <c r="AK153" i="7"/>
  <c r="AJ153" i="7"/>
  <c r="AI153" i="7"/>
  <c r="AH153" i="7"/>
  <c r="AG153" i="7"/>
  <c r="AF153" i="7"/>
  <c r="AE153" i="7"/>
  <c r="AD153" i="7"/>
  <c r="AK152" i="7"/>
  <c r="AJ152" i="7"/>
  <c r="AI152" i="7"/>
  <c r="AH152" i="7"/>
  <c r="AG152" i="7"/>
  <c r="AF152" i="7"/>
  <c r="AE152" i="7"/>
  <c r="AD152" i="7"/>
  <c r="AK147" i="7"/>
  <c r="AJ147" i="7"/>
  <c r="AI147" i="7"/>
  <c r="AH147" i="7"/>
  <c r="AG147" i="7"/>
  <c r="AF147" i="7"/>
  <c r="AE147" i="7"/>
  <c r="AD147" i="7"/>
  <c r="AK146" i="7"/>
  <c r="AJ146" i="7"/>
  <c r="AI146" i="7"/>
  <c r="AH146" i="7"/>
  <c r="AG146" i="7"/>
  <c r="AF146" i="7"/>
  <c r="AE146" i="7"/>
  <c r="AD146" i="7"/>
  <c r="AK145" i="7"/>
  <c r="AJ145" i="7"/>
  <c r="AI145" i="7"/>
  <c r="AH145" i="7"/>
  <c r="AG145" i="7"/>
  <c r="AF145" i="7"/>
  <c r="AE145" i="7"/>
  <c r="AD145" i="7"/>
  <c r="AK144" i="7"/>
  <c r="AJ144" i="7"/>
  <c r="AI144" i="7"/>
  <c r="AH144" i="7"/>
  <c r="AG144" i="7"/>
  <c r="AF144" i="7"/>
  <c r="AE144" i="7"/>
  <c r="AD144" i="7"/>
  <c r="AK151" i="7"/>
  <c r="AJ151" i="7"/>
  <c r="AI151" i="7"/>
  <c r="AH151" i="7"/>
  <c r="AG151" i="7"/>
  <c r="AF151" i="7"/>
  <c r="AE151" i="7"/>
  <c r="AD151" i="7"/>
  <c r="AK150" i="7"/>
  <c r="AJ150" i="7"/>
  <c r="AI150" i="7"/>
  <c r="AH150" i="7"/>
  <c r="AG150" i="7"/>
  <c r="AF150" i="7"/>
  <c r="AE150" i="7"/>
  <c r="AD150" i="7"/>
  <c r="AK149" i="7"/>
  <c r="AJ149" i="7"/>
  <c r="AI149" i="7"/>
  <c r="AH149" i="7"/>
  <c r="AG149" i="7"/>
  <c r="AF149" i="7"/>
  <c r="AE149" i="7"/>
  <c r="AD149" i="7"/>
  <c r="AK143" i="7"/>
  <c r="AJ143" i="7"/>
  <c r="AI143" i="7"/>
  <c r="AH143" i="7"/>
  <c r="AG143" i="7"/>
  <c r="AF143" i="7"/>
  <c r="AE143" i="7"/>
  <c r="AD143" i="7"/>
  <c r="AK142" i="7"/>
  <c r="AJ142" i="7"/>
  <c r="AI142" i="7"/>
  <c r="AH142" i="7"/>
  <c r="AG142" i="7"/>
  <c r="AF142" i="7"/>
  <c r="AE142" i="7"/>
  <c r="AD142" i="7"/>
  <c r="AK141" i="7"/>
  <c r="AJ141" i="7"/>
  <c r="AI141" i="7"/>
  <c r="AH141" i="7"/>
  <c r="AG141" i="7"/>
  <c r="AF141" i="7"/>
  <c r="AE141" i="7"/>
  <c r="AD141" i="7"/>
  <c r="AK140" i="7"/>
  <c r="AJ140" i="7"/>
  <c r="AI140" i="7"/>
  <c r="AH140" i="7"/>
  <c r="AG140" i="7"/>
  <c r="AF140" i="7"/>
  <c r="AE140" i="7"/>
  <c r="AD140" i="7"/>
  <c r="AK148" i="7"/>
  <c r="AJ148" i="7"/>
  <c r="AI148" i="7"/>
  <c r="AH148" i="7"/>
  <c r="AG148" i="7"/>
  <c r="AF148" i="7"/>
  <c r="AE148" i="7"/>
  <c r="AD148" i="7"/>
  <c r="AK108" i="7"/>
  <c r="AJ108" i="7"/>
  <c r="AI108" i="7"/>
  <c r="AH108" i="7"/>
  <c r="AG108" i="7"/>
  <c r="AF108" i="7"/>
  <c r="AE108" i="7"/>
  <c r="AD108" i="7"/>
  <c r="AK107" i="7"/>
  <c r="AJ107" i="7"/>
  <c r="AI107" i="7"/>
  <c r="AH107" i="7"/>
  <c r="AG107" i="7"/>
  <c r="AF107" i="7"/>
  <c r="AE107" i="7"/>
  <c r="AD107" i="7"/>
  <c r="AK106" i="7"/>
  <c r="AJ106" i="7"/>
  <c r="AI106" i="7"/>
  <c r="AH106" i="7"/>
  <c r="AG106" i="7"/>
  <c r="AF106" i="7"/>
  <c r="AE106" i="7"/>
  <c r="AD106" i="7"/>
  <c r="AK105" i="7"/>
  <c r="AJ105" i="7"/>
  <c r="AI105" i="7"/>
  <c r="AH105" i="7"/>
  <c r="AG105" i="7"/>
  <c r="AF105" i="7"/>
  <c r="AE105" i="7"/>
  <c r="AD105" i="7"/>
  <c r="AK104" i="7"/>
  <c r="AJ104" i="7"/>
  <c r="AI104" i="7"/>
  <c r="AH104" i="7"/>
  <c r="AG104" i="7"/>
  <c r="AF104" i="7"/>
  <c r="AE104" i="7"/>
  <c r="AD104" i="7"/>
  <c r="AK103" i="7"/>
  <c r="AJ103" i="7"/>
  <c r="AI103" i="7"/>
  <c r="AH103" i="7"/>
  <c r="AG103" i="7"/>
  <c r="AF103" i="7"/>
  <c r="AE103" i="7"/>
  <c r="AD103" i="7"/>
  <c r="AK102" i="7"/>
  <c r="AJ102" i="7"/>
  <c r="AI102" i="7"/>
  <c r="AH102" i="7"/>
  <c r="AG102" i="7"/>
  <c r="AF102" i="7"/>
  <c r="AE102" i="7"/>
  <c r="AD102" i="7"/>
  <c r="AK122" i="7"/>
  <c r="AJ122" i="7"/>
  <c r="AI122" i="7"/>
  <c r="AH122" i="7"/>
  <c r="AG122" i="7"/>
  <c r="AF122" i="7"/>
  <c r="AE122" i="7"/>
  <c r="AD122" i="7"/>
  <c r="AK121" i="7"/>
  <c r="AJ121" i="7"/>
  <c r="AI121" i="7"/>
  <c r="AH121" i="7"/>
  <c r="AG121" i="7"/>
  <c r="AF121" i="7"/>
  <c r="AE121" i="7"/>
  <c r="AD121" i="7"/>
  <c r="AK120" i="7"/>
  <c r="AJ120" i="7"/>
  <c r="AI120" i="7"/>
  <c r="AH120" i="7"/>
  <c r="AG120" i="7"/>
  <c r="AF120" i="7"/>
  <c r="AE120" i="7"/>
  <c r="AD120" i="7"/>
  <c r="AK119" i="7"/>
  <c r="AJ119" i="7"/>
  <c r="AI119" i="7"/>
  <c r="AH119" i="7"/>
  <c r="AG119" i="7"/>
  <c r="AF119" i="7"/>
  <c r="AE119" i="7"/>
  <c r="AD119" i="7"/>
  <c r="AK118" i="7"/>
  <c r="AJ118" i="7"/>
  <c r="AI118" i="7"/>
  <c r="AH118" i="7"/>
  <c r="AG118" i="7"/>
  <c r="AF118" i="7"/>
  <c r="AE118" i="7"/>
  <c r="AD118" i="7"/>
  <c r="AK117" i="7"/>
  <c r="AJ117" i="7"/>
  <c r="AI117" i="7"/>
  <c r="AH117" i="7"/>
  <c r="AG117" i="7"/>
  <c r="AF117" i="7"/>
  <c r="AE117" i="7"/>
  <c r="AD117" i="7"/>
  <c r="AK116" i="7"/>
  <c r="AJ116" i="7"/>
  <c r="AI116" i="7"/>
  <c r="AH116" i="7"/>
  <c r="AG116" i="7"/>
  <c r="AF116" i="7"/>
  <c r="AE116" i="7"/>
  <c r="AD116" i="7"/>
  <c r="AK115" i="7"/>
  <c r="AJ115" i="7"/>
  <c r="AI115" i="7"/>
  <c r="AH115" i="7"/>
  <c r="AG115" i="7"/>
  <c r="AF115" i="7"/>
  <c r="AE115" i="7"/>
  <c r="AD115" i="7"/>
  <c r="AK114" i="7"/>
  <c r="AJ114" i="7"/>
  <c r="AI114" i="7"/>
  <c r="AH114" i="7"/>
  <c r="AG114" i="7"/>
  <c r="AF114" i="7"/>
  <c r="AE114" i="7"/>
  <c r="AD114" i="7"/>
  <c r="AK113" i="7"/>
  <c r="AJ113" i="7"/>
  <c r="AI113" i="7"/>
  <c r="AH113" i="7"/>
  <c r="AG113" i="7"/>
  <c r="AF113" i="7"/>
  <c r="AE113" i="7"/>
  <c r="AD113" i="7"/>
  <c r="AK112" i="7"/>
  <c r="AJ112" i="7"/>
  <c r="AI112" i="7"/>
  <c r="AH112" i="7"/>
  <c r="AG112" i="7"/>
  <c r="AF112" i="7"/>
  <c r="AE112" i="7"/>
  <c r="AD112" i="7"/>
  <c r="AK111" i="7"/>
  <c r="AJ111" i="7"/>
  <c r="AI111" i="7"/>
  <c r="AH111" i="7"/>
  <c r="AG111" i="7"/>
  <c r="AF111" i="7"/>
  <c r="AE111" i="7"/>
  <c r="AD111" i="7"/>
  <c r="AK110" i="7"/>
  <c r="AJ110" i="7"/>
  <c r="AI110" i="7"/>
  <c r="AH110" i="7"/>
  <c r="AG110" i="7"/>
  <c r="AF110" i="7"/>
  <c r="AE110" i="7"/>
  <c r="AD110" i="7"/>
  <c r="AK109" i="7"/>
  <c r="AJ109" i="7"/>
  <c r="AI109" i="7"/>
  <c r="AH109" i="7"/>
  <c r="AG109" i="7"/>
  <c r="AF109" i="7"/>
  <c r="AE109" i="7"/>
  <c r="AD109" i="7"/>
  <c r="AK101" i="7"/>
  <c r="AJ101" i="7"/>
  <c r="AI101" i="7"/>
  <c r="AH101" i="7"/>
  <c r="AG101" i="7"/>
  <c r="AF101" i="7"/>
  <c r="AE101" i="7"/>
  <c r="AD101" i="7"/>
  <c r="AK100" i="7"/>
  <c r="AJ100" i="7"/>
  <c r="AI100" i="7"/>
  <c r="AH100" i="7"/>
  <c r="AG100" i="7"/>
  <c r="AF100" i="7"/>
  <c r="AE100" i="7"/>
  <c r="AD100" i="7"/>
  <c r="AK99" i="7"/>
  <c r="AJ99" i="7"/>
  <c r="AI99" i="7"/>
  <c r="AH99" i="7"/>
  <c r="AG99" i="7"/>
  <c r="AF99" i="7"/>
  <c r="AE99" i="7"/>
  <c r="AD99" i="7"/>
  <c r="AK98" i="7"/>
  <c r="AJ98" i="7"/>
  <c r="AI98" i="7"/>
  <c r="AH98" i="7"/>
  <c r="AG98" i="7"/>
  <c r="AF98" i="7"/>
  <c r="AE98" i="7"/>
  <c r="AD98" i="7"/>
  <c r="AK97" i="7"/>
  <c r="AJ97" i="7"/>
  <c r="AI97" i="7"/>
  <c r="AH97" i="7"/>
  <c r="AG97" i="7"/>
  <c r="AF97" i="7"/>
  <c r="AE97" i="7"/>
  <c r="AD97" i="7"/>
  <c r="AK96" i="7"/>
  <c r="AJ96" i="7"/>
  <c r="AI96" i="7"/>
  <c r="AH96" i="7"/>
  <c r="AG96" i="7"/>
  <c r="AF96" i="7"/>
  <c r="AE96" i="7"/>
  <c r="AD96" i="7"/>
  <c r="AK95" i="7"/>
  <c r="AJ95" i="7"/>
  <c r="AI95" i="7"/>
  <c r="AH95" i="7"/>
  <c r="AG95" i="7"/>
  <c r="AF95" i="7"/>
  <c r="AE95" i="7"/>
  <c r="AD95" i="7"/>
  <c r="AK94" i="7"/>
  <c r="AJ94" i="7"/>
  <c r="AI94" i="7"/>
  <c r="AH94" i="7"/>
  <c r="AG94" i="7"/>
  <c r="AF94" i="7"/>
  <c r="AE94" i="7"/>
  <c r="AD94" i="7"/>
  <c r="AK93" i="7"/>
  <c r="AJ93" i="7"/>
  <c r="AI93" i="7"/>
  <c r="AH93" i="7"/>
  <c r="AG93" i="7"/>
  <c r="AF93" i="7"/>
  <c r="AE93" i="7"/>
  <c r="AD93" i="7"/>
  <c r="AK92" i="7"/>
  <c r="AJ92" i="7"/>
  <c r="AI92" i="7"/>
  <c r="AH92" i="7"/>
  <c r="AG92" i="7"/>
  <c r="AF92" i="7"/>
  <c r="AE92" i="7"/>
  <c r="AD92" i="7"/>
  <c r="AK91" i="7"/>
  <c r="AJ91" i="7"/>
  <c r="AI91" i="7"/>
  <c r="AH91" i="7"/>
  <c r="AG91" i="7"/>
  <c r="AF91" i="7"/>
  <c r="AE91" i="7"/>
  <c r="AD91" i="7"/>
  <c r="AK90" i="7"/>
  <c r="AJ90" i="7"/>
  <c r="AI90" i="7"/>
  <c r="AH90" i="7"/>
  <c r="AG90" i="7"/>
  <c r="AF90" i="7"/>
  <c r="AE90" i="7"/>
  <c r="AD90" i="7"/>
  <c r="AK89" i="7"/>
  <c r="AJ89" i="7"/>
  <c r="AI89" i="7"/>
  <c r="AH89" i="7"/>
  <c r="AG89" i="7"/>
  <c r="AF89" i="7"/>
  <c r="AE89" i="7"/>
  <c r="AD89" i="7"/>
  <c r="AK88" i="7"/>
  <c r="AJ88" i="7"/>
  <c r="AI88" i="7"/>
  <c r="AH88" i="7"/>
  <c r="AG88" i="7"/>
  <c r="AF88" i="7"/>
  <c r="AE88" i="7"/>
  <c r="AD88" i="7"/>
  <c r="AK87" i="7"/>
  <c r="AJ87" i="7"/>
  <c r="AI87" i="7"/>
  <c r="AH87" i="7"/>
  <c r="AG87" i="7"/>
  <c r="AF87" i="7"/>
  <c r="AE87" i="7"/>
  <c r="AD87" i="7"/>
  <c r="AK86" i="7"/>
  <c r="AJ86" i="7"/>
  <c r="AI86" i="7"/>
  <c r="AH86" i="7"/>
  <c r="AG86" i="7"/>
  <c r="AF86" i="7"/>
  <c r="AE86" i="7"/>
  <c r="AD86" i="7"/>
  <c r="AK85" i="7"/>
  <c r="AJ85" i="7"/>
  <c r="AI85" i="7"/>
  <c r="AH85" i="7"/>
  <c r="AG85" i="7"/>
  <c r="AF85" i="7"/>
  <c r="AE85" i="7"/>
  <c r="AD85" i="7"/>
  <c r="AK84" i="7"/>
  <c r="AJ84" i="7"/>
  <c r="AI84" i="7"/>
  <c r="AH84" i="7"/>
  <c r="AG84" i="7"/>
  <c r="AF84" i="7"/>
  <c r="AE84" i="7"/>
  <c r="AD84" i="7"/>
  <c r="AK83" i="7"/>
  <c r="AJ83" i="7"/>
  <c r="AI83" i="7"/>
  <c r="AH83" i="7"/>
  <c r="AG83" i="7"/>
  <c r="AF83" i="7"/>
  <c r="AE83" i="7"/>
  <c r="AD83" i="7"/>
  <c r="AK82" i="7"/>
  <c r="AJ82" i="7"/>
  <c r="AI82" i="7"/>
  <c r="AH82" i="7"/>
  <c r="AG82" i="7"/>
  <c r="AF82" i="7"/>
  <c r="AE82" i="7"/>
  <c r="AD82" i="7"/>
  <c r="AK63" i="7"/>
  <c r="AJ63" i="7"/>
  <c r="AI63" i="7"/>
  <c r="AH63" i="7"/>
  <c r="AG63" i="7"/>
  <c r="AF63" i="7"/>
  <c r="AE63" i="7"/>
  <c r="AD63" i="7"/>
  <c r="AK62" i="7"/>
  <c r="AJ62" i="7"/>
  <c r="AI62" i="7"/>
  <c r="AH62" i="7"/>
  <c r="AG62" i="7"/>
  <c r="AF62" i="7"/>
  <c r="AE62" i="7"/>
  <c r="AD62" i="7"/>
  <c r="AK57" i="7"/>
  <c r="AJ57" i="7"/>
  <c r="AI57" i="7"/>
  <c r="AH57" i="7"/>
  <c r="AG57" i="7"/>
  <c r="AF57" i="7"/>
  <c r="AE57" i="7"/>
  <c r="AD57" i="7"/>
  <c r="AK61" i="7"/>
  <c r="AJ61" i="7"/>
  <c r="AI61" i="7"/>
  <c r="AH61" i="7"/>
  <c r="AG61" i="7"/>
  <c r="AF61" i="7"/>
  <c r="AE61" i="7"/>
  <c r="AD61" i="7"/>
  <c r="AK81" i="7"/>
  <c r="AJ81" i="7"/>
  <c r="AI81" i="7"/>
  <c r="AH81" i="7"/>
  <c r="AG81" i="7"/>
  <c r="AF81" i="7"/>
  <c r="AE81" i="7"/>
  <c r="AD81" i="7"/>
  <c r="AK80" i="7"/>
  <c r="AJ80" i="7"/>
  <c r="AI80" i="7"/>
  <c r="AH80" i="7"/>
  <c r="AG80" i="7"/>
  <c r="AF80" i="7"/>
  <c r="AE80" i="7"/>
  <c r="AD80" i="7"/>
  <c r="AK79" i="7"/>
  <c r="AJ79" i="7"/>
  <c r="AI79" i="7"/>
  <c r="AH79" i="7"/>
  <c r="AG79" i="7"/>
  <c r="AF79" i="7"/>
  <c r="AE79" i="7"/>
  <c r="AD79" i="7"/>
  <c r="AK78" i="7"/>
  <c r="AJ78" i="7"/>
  <c r="AI78" i="7"/>
  <c r="AH78" i="7"/>
  <c r="AG78" i="7"/>
  <c r="AF78" i="7"/>
  <c r="AE78" i="7"/>
  <c r="AD78" i="7"/>
  <c r="AK77" i="7"/>
  <c r="AJ77" i="7"/>
  <c r="AI77" i="7"/>
  <c r="AH77" i="7"/>
  <c r="AG77" i="7"/>
  <c r="AF77" i="7"/>
  <c r="AE77" i="7"/>
  <c r="AD77" i="7"/>
  <c r="AK76" i="7"/>
  <c r="AJ76" i="7"/>
  <c r="AI76" i="7"/>
  <c r="AH76" i="7"/>
  <c r="AG76" i="7"/>
  <c r="AF76" i="7"/>
  <c r="AE76" i="7"/>
  <c r="AD76" i="7"/>
  <c r="AK75" i="7"/>
  <c r="AJ75" i="7"/>
  <c r="AI75" i="7"/>
  <c r="AH75" i="7"/>
  <c r="AG75" i="7"/>
  <c r="AF75" i="7"/>
  <c r="AE75" i="7"/>
  <c r="AD75" i="7"/>
  <c r="AK60" i="7"/>
  <c r="AJ60" i="7"/>
  <c r="AI60" i="7"/>
  <c r="AH60" i="7"/>
  <c r="AG60" i="7"/>
  <c r="AF60" i="7"/>
  <c r="AE60" i="7"/>
  <c r="AD60" i="7"/>
  <c r="AK59" i="7"/>
  <c r="AJ59" i="7"/>
  <c r="AI59" i="7"/>
  <c r="AH59" i="7"/>
  <c r="AG59" i="7"/>
  <c r="AF59" i="7"/>
  <c r="AE59" i="7"/>
  <c r="AD59" i="7"/>
  <c r="AK58" i="7"/>
  <c r="AJ58" i="7"/>
  <c r="AI58" i="7"/>
  <c r="AH58" i="7"/>
  <c r="AG58" i="7"/>
  <c r="AF58" i="7"/>
  <c r="AE58" i="7"/>
  <c r="AD58" i="7"/>
  <c r="AK74" i="7"/>
  <c r="AJ74" i="7"/>
  <c r="AI74" i="7"/>
  <c r="AH74" i="7"/>
  <c r="AG74" i="7"/>
  <c r="AF74" i="7"/>
  <c r="AE74" i="7"/>
  <c r="AD74" i="7"/>
  <c r="AK73" i="7"/>
  <c r="AJ73" i="7"/>
  <c r="AI73" i="7"/>
  <c r="AH73" i="7"/>
  <c r="AG73" i="7"/>
  <c r="AF73" i="7"/>
  <c r="AE73" i="7"/>
  <c r="AD73" i="7"/>
  <c r="AK72" i="7"/>
  <c r="AJ72" i="7"/>
  <c r="AI72" i="7"/>
  <c r="AH72" i="7"/>
  <c r="AG72" i="7"/>
  <c r="AF72" i="7"/>
  <c r="AE72" i="7"/>
  <c r="AD72" i="7"/>
  <c r="AK71" i="7"/>
  <c r="AJ71" i="7"/>
  <c r="AI71" i="7"/>
  <c r="AH71" i="7"/>
  <c r="AG71" i="7"/>
  <c r="AF71" i="7"/>
  <c r="AE71" i="7"/>
  <c r="AD71" i="7"/>
  <c r="AK70" i="7"/>
  <c r="AJ70" i="7"/>
  <c r="AI70" i="7"/>
  <c r="AH70" i="7"/>
  <c r="AG70" i="7"/>
  <c r="AF70" i="7"/>
  <c r="AE70" i="7"/>
  <c r="AD70" i="7"/>
  <c r="AK69" i="7"/>
  <c r="AJ69" i="7"/>
  <c r="AI69" i="7"/>
  <c r="AH69" i="7"/>
  <c r="AG69" i="7"/>
  <c r="AF69" i="7"/>
  <c r="AE69" i="7"/>
  <c r="AD69" i="7"/>
  <c r="AK68" i="7"/>
  <c r="AJ68" i="7"/>
  <c r="AI68" i="7"/>
  <c r="AH68" i="7"/>
  <c r="AG68" i="7"/>
  <c r="AF68" i="7"/>
  <c r="AE68" i="7"/>
  <c r="AD68" i="7"/>
  <c r="AK67" i="7"/>
  <c r="AJ67" i="7"/>
  <c r="AI67" i="7"/>
  <c r="AH67" i="7"/>
  <c r="AG67" i="7"/>
  <c r="AF67" i="7"/>
  <c r="AE67" i="7"/>
  <c r="AD67" i="7"/>
  <c r="AK66" i="7"/>
  <c r="AJ66" i="7"/>
  <c r="AI66" i="7"/>
  <c r="AH66" i="7"/>
  <c r="AG66" i="7"/>
  <c r="AF66" i="7"/>
  <c r="AE66" i="7"/>
  <c r="AD66" i="7"/>
  <c r="AK10" i="7"/>
  <c r="AJ10" i="7"/>
  <c r="AI10" i="7"/>
  <c r="AH10" i="7"/>
  <c r="AG10" i="7"/>
  <c r="AF10" i="7"/>
  <c r="AE10" i="7"/>
  <c r="AD10" i="7"/>
  <c r="AK9" i="7"/>
  <c r="AJ9" i="7"/>
  <c r="AI9" i="7"/>
  <c r="AH9" i="7"/>
  <c r="AG9" i="7"/>
  <c r="AF9" i="7"/>
  <c r="AE9" i="7"/>
  <c r="AD9" i="7"/>
  <c r="AK8" i="7"/>
  <c r="AJ8" i="7"/>
  <c r="AI8" i="7"/>
  <c r="AH8" i="7"/>
  <c r="AG8" i="7"/>
  <c r="AF8" i="7"/>
  <c r="AE8" i="7"/>
  <c r="AD8" i="7"/>
  <c r="AK7" i="7"/>
  <c r="AJ7" i="7"/>
  <c r="AI7" i="7"/>
  <c r="AH7" i="7"/>
  <c r="AG7" i="7"/>
  <c r="AF7" i="7"/>
  <c r="AE7" i="7"/>
  <c r="AD7" i="7"/>
  <c r="AK6" i="7"/>
  <c r="AJ6" i="7"/>
  <c r="AI6" i="7"/>
  <c r="AH6" i="7"/>
  <c r="AG6" i="7"/>
  <c r="AF6" i="7"/>
  <c r="AE6" i="7"/>
  <c r="AD6" i="7"/>
  <c r="AK5" i="7"/>
  <c r="AJ5" i="7"/>
  <c r="AI5" i="7"/>
  <c r="AH5" i="7"/>
  <c r="AG5" i="7"/>
  <c r="AF5" i="7"/>
  <c r="AE5" i="7"/>
  <c r="AD5" i="7"/>
  <c r="AK15" i="7"/>
  <c r="AJ15" i="7"/>
  <c r="AI15" i="7"/>
  <c r="AH15" i="7"/>
  <c r="AG15" i="7"/>
  <c r="AF15" i="7"/>
  <c r="AE15" i="7"/>
  <c r="AD15" i="7"/>
  <c r="AK14" i="7"/>
  <c r="AJ14" i="7"/>
  <c r="AI14" i="7"/>
  <c r="AH14" i="7"/>
  <c r="AG14" i="7"/>
  <c r="AF14" i="7"/>
  <c r="AE14" i="7"/>
  <c r="AD14" i="7"/>
  <c r="AK21" i="7"/>
  <c r="AJ21" i="7"/>
  <c r="AI21" i="7"/>
  <c r="AH21" i="7"/>
  <c r="AG21" i="7"/>
  <c r="AF21" i="7"/>
  <c r="AE21" i="7"/>
  <c r="AD21" i="7"/>
  <c r="AK20" i="7"/>
  <c r="AJ20" i="7"/>
  <c r="AI20" i="7"/>
  <c r="AH20" i="7"/>
  <c r="AG20" i="7"/>
  <c r="AF20" i="7"/>
  <c r="AE20" i="7"/>
  <c r="AD20" i="7"/>
  <c r="AK19" i="7"/>
  <c r="AJ19" i="7"/>
  <c r="AI19" i="7"/>
  <c r="AH19" i="7"/>
  <c r="AG19" i="7"/>
  <c r="AF19" i="7"/>
  <c r="AE19" i="7"/>
  <c r="AD19" i="7"/>
  <c r="AK18" i="7"/>
  <c r="AJ18" i="7"/>
  <c r="AI18" i="7"/>
  <c r="AH18" i="7"/>
  <c r="AG18" i="7"/>
  <c r="AF18" i="7"/>
  <c r="AE18" i="7"/>
  <c r="AD18" i="7"/>
  <c r="AK13" i="7"/>
  <c r="AJ13" i="7"/>
  <c r="AI13" i="7"/>
  <c r="AH13" i="7"/>
  <c r="AG13" i="7"/>
  <c r="AF13" i="7"/>
  <c r="AE13" i="7"/>
  <c r="AD13" i="7"/>
  <c r="AK12" i="7"/>
  <c r="AJ12" i="7"/>
  <c r="AI12" i="7"/>
  <c r="AH12" i="7"/>
  <c r="AG12" i="7"/>
  <c r="AF12" i="7"/>
  <c r="AE12" i="7"/>
  <c r="AD12" i="7"/>
  <c r="AK17" i="7"/>
  <c r="AJ17" i="7"/>
  <c r="AI17" i="7"/>
  <c r="AH17" i="7"/>
  <c r="AG17" i="7"/>
  <c r="AF17" i="7"/>
  <c r="AE17" i="7"/>
  <c r="AD17" i="7"/>
  <c r="AK11" i="7"/>
  <c r="AJ11" i="7"/>
  <c r="AI11" i="7"/>
  <c r="AH11" i="7"/>
  <c r="AG11" i="7"/>
  <c r="AF11" i="7"/>
  <c r="AE11" i="7"/>
  <c r="AD11" i="7"/>
  <c r="AK36" i="7"/>
  <c r="AJ36" i="7"/>
  <c r="AI36" i="7"/>
  <c r="AH36" i="7"/>
  <c r="AG36" i="7"/>
  <c r="AF36" i="7"/>
  <c r="AE36" i="7"/>
  <c r="AD36" i="7"/>
  <c r="AK35" i="7"/>
  <c r="AJ35" i="7"/>
  <c r="AI35" i="7"/>
  <c r="AH35" i="7"/>
  <c r="AG35" i="7"/>
  <c r="AF35" i="7"/>
  <c r="AE35" i="7"/>
  <c r="AD35" i="7"/>
  <c r="AK34" i="7"/>
  <c r="AJ34" i="7"/>
  <c r="AI34" i="7"/>
  <c r="AH34" i="7"/>
  <c r="AG34" i="7"/>
  <c r="AF34" i="7"/>
  <c r="AE34" i="7"/>
  <c r="AD34" i="7"/>
  <c r="AK33" i="7"/>
  <c r="AJ33" i="7"/>
  <c r="AI33" i="7"/>
  <c r="AH33" i="7"/>
  <c r="AG33" i="7"/>
  <c r="AF33" i="7"/>
  <c r="AE33" i="7"/>
  <c r="AD33" i="7"/>
  <c r="AK32" i="7"/>
  <c r="AJ32" i="7"/>
  <c r="AI32" i="7"/>
  <c r="AH32" i="7"/>
  <c r="AG32" i="7"/>
  <c r="AF32" i="7"/>
  <c r="AE32" i="7"/>
  <c r="AD32" i="7"/>
  <c r="AK31" i="7"/>
  <c r="AJ31" i="7"/>
  <c r="AI31" i="7"/>
  <c r="AH31" i="7"/>
  <c r="AG31" i="7"/>
  <c r="AF31" i="7"/>
  <c r="AE31" i="7"/>
  <c r="AD31" i="7"/>
  <c r="AK30" i="7"/>
  <c r="AJ30" i="7"/>
  <c r="AI30" i="7"/>
  <c r="AH30" i="7"/>
  <c r="AG30" i="7"/>
  <c r="AF30" i="7"/>
  <c r="AE30" i="7"/>
  <c r="AD30" i="7"/>
  <c r="AK29" i="7"/>
  <c r="AJ29" i="7"/>
  <c r="AI29" i="7"/>
  <c r="AH29" i="7"/>
  <c r="AG29" i="7"/>
  <c r="AF29" i="7"/>
  <c r="AE29" i="7"/>
  <c r="AD29" i="7"/>
  <c r="AK28" i="7"/>
  <c r="AJ28" i="7"/>
  <c r="AI28" i="7"/>
  <c r="AH28" i="7"/>
  <c r="AG28" i="7"/>
  <c r="AF28" i="7"/>
  <c r="AE28" i="7"/>
  <c r="AD28" i="7"/>
  <c r="AK27" i="7"/>
  <c r="AJ27" i="7"/>
  <c r="AI27" i="7"/>
  <c r="AH27" i="7"/>
  <c r="AG27" i="7"/>
  <c r="AF27" i="7"/>
  <c r="AE27" i="7"/>
  <c r="AD27" i="7"/>
  <c r="AK26" i="7"/>
  <c r="AJ26" i="7"/>
  <c r="AI26" i="7"/>
  <c r="AH26" i="7"/>
  <c r="AG26" i="7"/>
  <c r="AF26" i="7"/>
  <c r="AE26" i="7"/>
  <c r="AD26" i="7"/>
  <c r="AK25" i="7"/>
  <c r="AJ25" i="7"/>
  <c r="AI25" i="7"/>
  <c r="AH25" i="7"/>
  <c r="AG25" i="7"/>
  <c r="AF25" i="7"/>
  <c r="AE25" i="7"/>
  <c r="AD25" i="7"/>
  <c r="AK24" i="7"/>
  <c r="AJ24" i="7"/>
  <c r="AI24" i="7"/>
  <c r="AH24" i="7"/>
  <c r="AG24" i="7"/>
  <c r="AF24" i="7"/>
  <c r="AE24" i="7"/>
  <c r="AD24" i="7"/>
  <c r="AK4" i="7"/>
  <c r="AJ4" i="7"/>
  <c r="AI4" i="7"/>
  <c r="AH4" i="7"/>
  <c r="AG4" i="7"/>
  <c r="AF4" i="7"/>
  <c r="AE4" i="7"/>
  <c r="AD4" i="7"/>
  <c r="AK23" i="7"/>
  <c r="AJ23" i="7"/>
  <c r="AI23" i="7"/>
  <c r="AH23" i="7"/>
  <c r="AG23" i="7"/>
  <c r="AF23" i="7"/>
  <c r="AE23" i="7"/>
  <c r="AD23" i="7"/>
  <c r="AK16" i="7"/>
  <c r="AJ16" i="7"/>
  <c r="AI16" i="7"/>
  <c r="AH16" i="7"/>
  <c r="AG16" i="7"/>
  <c r="AF16" i="7"/>
  <c r="AE16" i="7"/>
  <c r="AD16" i="7"/>
  <c r="AK22" i="7"/>
  <c r="AJ22" i="7"/>
  <c r="AI22" i="7"/>
  <c r="AH22" i="7"/>
  <c r="AG22" i="7"/>
  <c r="AF22" i="7"/>
  <c r="AE22" i="7"/>
  <c r="AD22" i="7"/>
  <c r="AK179" i="7"/>
  <c r="AJ179" i="7"/>
  <c r="AI179" i="7"/>
  <c r="AH179" i="7"/>
  <c r="AG179" i="7"/>
  <c r="AF179" i="7"/>
  <c r="AE179" i="7"/>
  <c r="AD179" i="7"/>
  <c r="AK178" i="7"/>
  <c r="AJ178" i="7"/>
  <c r="AI178" i="7"/>
  <c r="AH178" i="7"/>
  <c r="AG178" i="7"/>
  <c r="AF178" i="7"/>
  <c r="AE178" i="7"/>
  <c r="AD178" i="7"/>
  <c r="AK50" i="7"/>
  <c r="AJ50" i="7"/>
  <c r="AI50" i="7"/>
  <c r="AH50" i="7"/>
  <c r="AG50" i="7"/>
  <c r="AF50" i="7"/>
  <c r="AE50" i="7"/>
  <c r="AD50" i="7"/>
  <c r="AK65" i="7"/>
  <c r="AJ65" i="7"/>
  <c r="AI65" i="7"/>
  <c r="AH65" i="7"/>
  <c r="AG65" i="7"/>
  <c r="AF65" i="7"/>
  <c r="AE65" i="7"/>
  <c r="AD65" i="7"/>
  <c r="AK56" i="7"/>
  <c r="AJ56" i="7"/>
  <c r="AI56" i="7"/>
  <c r="AH56" i="7"/>
  <c r="AG56" i="7"/>
  <c r="AF56" i="7"/>
  <c r="AE56" i="7"/>
  <c r="AD56" i="7"/>
  <c r="AK49" i="7"/>
  <c r="AJ49" i="7"/>
  <c r="AI49" i="7"/>
  <c r="AH49" i="7"/>
  <c r="AG49" i="7"/>
  <c r="AF49" i="7"/>
  <c r="AE49" i="7"/>
  <c r="AD49" i="7"/>
  <c r="AK48" i="7"/>
  <c r="AJ48" i="7"/>
  <c r="AI48" i="7"/>
  <c r="AH48" i="7"/>
  <c r="AG48" i="7"/>
  <c r="AF48" i="7"/>
  <c r="AE48" i="7"/>
  <c r="AD48" i="7"/>
  <c r="AK47" i="7"/>
  <c r="AJ47" i="7"/>
  <c r="AI47" i="7"/>
  <c r="AH47" i="7"/>
  <c r="AG47" i="7"/>
  <c r="AF47" i="7"/>
  <c r="AE47" i="7"/>
  <c r="AD47" i="7"/>
  <c r="AK55" i="7"/>
  <c r="AJ55" i="7"/>
  <c r="AI55" i="7"/>
  <c r="AH55" i="7"/>
  <c r="AG55" i="7"/>
  <c r="AF55" i="7"/>
  <c r="AE55" i="7"/>
  <c r="AD55" i="7"/>
  <c r="AK54" i="7"/>
  <c r="AJ54" i="7"/>
  <c r="AI54" i="7"/>
  <c r="AH54" i="7"/>
  <c r="AG54" i="7"/>
  <c r="AF54" i="7"/>
  <c r="AE54" i="7"/>
  <c r="AD54" i="7"/>
  <c r="AK53" i="7"/>
  <c r="AJ53" i="7"/>
  <c r="AI53" i="7"/>
  <c r="AH53" i="7"/>
  <c r="AG53" i="7"/>
  <c r="AF53" i="7"/>
  <c r="AE53" i="7"/>
  <c r="AD53" i="7"/>
  <c r="AK52" i="7"/>
  <c r="AJ52" i="7"/>
  <c r="AI52" i="7"/>
  <c r="AH52" i="7"/>
  <c r="AG52" i="7"/>
  <c r="AF52" i="7"/>
  <c r="AE52" i="7"/>
  <c r="AD52" i="7"/>
  <c r="AK51" i="7"/>
  <c r="AJ51" i="7"/>
  <c r="AI51" i="7"/>
  <c r="AH51" i="7"/>
  <c r="AG51" i="7"/>
  <c r="AF51" i="7"/>
  <c r="AE51" i="7"/>
  <c r="AD51" i="7"/>
  <c r="AK177" i="7"/>
  <c r="AJ177" i="7"/>
  <c r="AI177" i="7"/>
  <c r="AH177" i="7"/>
  <c r="AG177" i="7"/>
  <c r="AF177" i="7"/>
  <c r="AE177" i="7"/>
  <c r="AD177" i="7"/>
  <c r="AK64" i="7"/>
  <c r="AJ64" i="7"/>
  <c r="AI64" i="7"/>
  <c r="AH64" i="7"/>
  <c r="AG64" i="7"/>
  <c r="AF64" i="7"/>
  <c r="AE64" i="7"/>
  <c r="AD64" i="7"/>
  <c r="AK41" i="7"/>
  <c r="AJ41" i="7"/>
  <c r="AI41" i="7"/>
  <c r="AH41" i="7"/>
  <c r="AG41" i="7"/>
  <c r="AF41" i="7"/>
  <c r="AE41" i="7"/>
  <c r="AD41" i="7"/>
  <c r="AK40" i="7"/>
  <c r="AJ40" i="7"/>
  <c r="AI40" i="7"/>
  <c r="AH40" i="7"/>
  <c r="AG40" i="7"/>
  <c r="AF40" i="7"/>
  <c r="AE40" i="7"/>
  <c r="AD40" i="7"/>
  <c r="AK39" i="7"/>
  <c r="AJ39" i="7"/>
  <c r="AI39" i="7"/>
  <c r="AH39" i="7"/>
  <c r="AG39" i="7"/>
  <c r="AF39" i="7"/>
  <c r="AE39" i="7"/>
  <c r="AD39" i="7"/>
  <c r="AK38" i="7"/>
  <c r="AJ38" i="7"/>
  <c r="AI38" i="7"/>
  <c r="AH38" i="7"/>
  <c r="AG38" i="7"/>
  <c r="AF38" i="7"/>
  <c r="AE38" i="7"/>
  <c r="AD38" i="7"/>
  <c r="AK37" i="7"/>
  <c r="AJ37" i="7"/>
  <c r="AI37" i="7"/>
  <c r="AH37" i="7"/>
  <c r="AG37" i="7"/>
  <c r="AF37" i="7"/>
  <c r="AE37" i="7"/>
  <c r="AD37" i="7"/>
  <c r="AK46" i="7"/>
  <c r="AJ46" i="7"/>
  <c r="AI46" i="7"/>
  <c r="AH46" i="7"/>
  <c r="AG46" i="7"/>
  <c r="AF46" i="7"/>
  <c r="AE46" i="7"/>
  <c r="AD46" i="7"/>
  <c r="AK45" i="7"/>
  <c r="AJ45" i="7"/>
  <c r="AI45" i="7"/>
  <c r="AH45" i="7"/>
  <c r="AG45" i="7"/>
  <c r="AF45" i="7"/>
  <c r="AE45" i="7"/>
  <c r="AD45" i="7"/>
  <c r="AK44" i="7"/>
  <c r="AJ44" i="7"/>
  <c r="AI44" i="7"/>
  <c r="AH44" i="7"/>
  <c r="AG44" i="7"/>
  <c r="AF44" i="7"/>
  <c r="AE44" i="7"/>
  <c r="AD44" i="7"/>
  <c r="AK43" i="7"/>
  <c r="AJ43" i="7"/>
  <c r="AI43" i="7"/>
  <c r="AH43" i="7"/>
  <c r="AG43" i="7"/>
  <c r="AF43" i="7"/>
  <c r="AE43" i="7"/>
  <c r="AD43" i="7"/>
  <c r="AK42" i="7"/>
  <c r="AJ42" i="7"/>
  <c r="AI42" i="7"/>
  <c r="AH42" i="7"/>
  <c r="AG42" i="7"/>
  <c r="AF42" i="7"/>
  <c r="AE42" i="7"/>
  <c r="AD42" i="7"/>
  <c r="L145" i="20" l="1"/>
  <c r="L144" i="20"/>
  <c r="L143" i="20"/>
  <c r="L142" i="20"/>
  <c r="L141" i="20"/>
  <c r="L140" i="20"/>
  <c r="L139" i="20"/>
  <c r="L138" i="20"/>
  <c r="L137" i="20"/>
  <c r="L136" i="20"/>
  <c r="L135" i="20"/>
  <c r="L134" i="20"/>
  <c r="L133" i="20"/>
  <c r="L132" i="20"/>
  <c r="L131" i="20"/>
  <c r="L130" i="20"/>
  <c r="L129" i="20"/>
  <c r="L128" i="20"/>
  <c r="L127" i="20"/>
  <c r="L126" i="20"/>
  <c r="L125" i="20"/>
  <c r="L124" i="20"/>
  <c r="L123" i="20"/>
  <c r="L122" i="20"/>
  <c r="L121" i="20"/>
  <c r="L120" i="20"/>
  <c r="L119" i="20"/>
  <c r="L118" i="20"/>
  <c r="L117" i="20"/>
  <c r="L115" i="20"/>
  <c r="L114" i="20"/>
  <c r="L113" i="20"/>
  <c r="L112" i="20"/>
  <c r="L111" i="20"/>
  <c r="L110" i="20"/>
  <c r="L109" i="20"/>
  <c r="L108" i="20"/>
  <c r="L107" i="20"/>
  <c r="L106" i="20"/>
  <c r="L105" i="20"/>
  <c r="L104" i="20"/>
  <c r="L103" i="20"/>
  <c r="L102" i="20"/>
  <c r="L101" i="20"/>
  <c r="L100" i="20"/>
  <c r="L99" i="20"/>
  <c r="L98" i="20"/>
  <c r="L97" i="20"/>
  <c r="L96" i="20"/>
  <c r="L95" i="20"/>
  <c r="L94" i="20"/>
  <c r="L93" i="20"/>
  <c r="L92" i="20"/>
  <c r="L91" i="20"/>
  <c r="L90" i="20"/>
  <c r="L89" i="20"/>
  <c r="L88" i="20"/>
  <c r="L87" i="20"/>
  <c r="L86" i="20"/>
  <c r="L85" i="20"/>
  <c r="L84" i="20"/>
  <c r="L83" i="20"/>
  <c r="L82" i="20"/>
  <c r="L81" i="20"/>
  <c r="L80" i="20"/>
  <c r="L79" i="20"/>
  <c r="L78" i="20"/>
  <c r="L77" i="20"/>
  <c r="L76" i="20"/>
  <c r="L75" i="20"/>
  <c r="L74" i="20"/>
  <c r="L73" i="20"/>
  <c r="L72" i="20"/>
  <c r="L71" i="20"/>
  <c r="L70" i="20"/>
  <c r="L69" i="20"/>
  <c r="L68" i="20"/>
  <c r="L67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L2" i="20"/>
  <c r="D2" i="20" s="1"/>
  <c r="M52" i="12"/>
  <c r="M49" i="12"/>
  <c r="M47" i="12"/>
  <c r="M44" i="12"/>
  <c r="M39" i="12"/>
  <c r="M37" i="12"/>
  <c r="M32" i="12"/>
  <c r="M25" i="12"/>
  <c r="M18" i="12"/>
  <c r="M17" i="12"/>
  <c r="M11" i="12"/>
  <c r="M10" i="12"/>
  <c r="M48" i="12"/>
  <c r="M46" i="12"/>
  <c r="M36" i="12"/>
  <c r="M34" i="12"/>
  <c r="M31" i="12"/>
  <c r="M30" i="12"/>
  <c r="M28" i="12"/>
  <c r="M23" i="12"/>
  <c r="M21" i="12"/>
  <c r="M20" i="12"/>
  <c r="M19" i="12"/>
  <c r="M15" i="12"/>
  <c r="M9" i="12"/>
  <c r="M6" i="12"/>
  <c r="M8" i="12"/>
  <c r="M43" i="12"/>
  <c r="M12" i="12"/>
  <c r="M4" i="12"/>
  <c r="M51" i="12"/>
  <c r="M50" i="12"/>
  <c r="M45" i="12"/>
  <c r="M42" i="12"/>
  <c r="M41" i="12"/>
  <c r="M40" i="12"/>
  <c r="M38" i="12"/>
  <c r="M35" i="12"/>
  <c r="M33" i="12"/>
  <c r="M29" i="12"/>
  <c r="M27" i="12"/>
  <c r="M26" i="12"/>
  <c r="M24" i="12"/>
  <c r="M22" i="12"/>
  <c r="M16" i="12"/>
  <c r="M14" i="12"/>
  <c r="M13" i="12"/>
  <c r="M7" i="12"/>
  <c r="M5" i="12"/>
  <c r="M3" i="12"/>
  <c r="G52" i="12"/>
  <c r="G50" i="12"/>
  <c r="G49" i="12"/>
  <c r="G48" i="12"/>
  <c r="G47" i="12"/>
  <c r="G46" i="12"/>
  <c r="G45" i="12"/>
  <c r="G44" i="12"/>
  <c r="G43" i="12"/>
  <c r="G42" i="12"/>
  <c r="G41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0" i="12"/>
  <c r="G9" i="12"/>
  <c r="G8" i="12"/>
  <c r="G7" i="12"/>
  <c r="G6" i="12"/>
  <c r="G5" i="12"/>
  <c r="G4" i="12"/>
  <c r="G3" i="12"/>
  <c r="G2" i="12"/>
  <c r="A3" i="15" l="1"/>
  <c r="AY7" i="15"/>
  <c r="BF7" i="15" s="1"/>
  <c r="AU7" i="15"/>
  <c r="AX7" i="15" s="1"/>
  <c r="AQ7" i="15"/>
  <c r="BD7" i="15" s="1"/>
  <c r="AM7" i="15"/>
  <c r="AP7" i="15" s="1"/>
  <c r="L7" i="15"/>
  <c r="K7" i="15"/>
  <c r="I7" i="15"/>
  <c r="D2" i="15"/>
  <c r="AY6" i="15"/>
  <c r="BA6" i="15" s="1"/>
  <c r="BA8" i="15"/>
  <c r="AY9" i="15"/>
  <c r="BA9" i="15" s="1"/>
  <c r="AY10" i="15"/>
  <c r="BF10" i="15" s="1"/>
  <c r="AY11" i="15"/>
  <c r="BA11" i="15" s="1"/>
  <c r="AY12" i="15"/>
  <c r="BF12" i="15" s="1"/>
  <c r="AY13" i="15"/>
  <c r="BF13" i="15" s="1"/>
  <c r="AY14" i="15"/>
  <c r="BA14" i="15" s="1"/>
  <c r="AY15" i="15"/>
  <c r="BA15" i="15" s="1"/>
  <c r="AY16" i="15"/>
  <c r="BA16" i="15" s="1"/>
  <c r="AY17" i="15"/>
  <c r="BA17" i="15" s="1"/>
  <c r="AY18" i="15"/>
  <c r="BF18" i="15" s="1"/>
  <c r="AY19" i="15"/>
  <c r="BA19" i="15" s="1"/>
  <c r="AY20" i="15"/>
  <c r="BF20" i="15" s="1"/>
  <c r="AY21" i="15"/>
  <c r="BF21" i="15" s="1"/>
  <c r="AY22" i="15"/>
  <c r="BA22" i="15" s="1"/>
  <c r="AY23" i="15"/>
  <c r="BA23" i="15" s="1"/>
  <c r="AY24" i="15"/>
  <c r="BA24" i="15" s="1"/>
  <c r="AY25" i="15"/>
  <c r="BA25" i="15" s="1"/>
  <c r="AY5" i="15"/>
  <c r="BF5" i="15" s="1"/>
  <c r="AU6" i="15"/>
  <c r="AW6" i="15" s="1"/>
  <c r="AW8" i="15"/>
  <c r="AU9" i="15"/>
  <c r="BE9" i="15" s="1"/>
  <c r="AU10" i="15"/>
  <c r="BE10" i="15" s="1"/>
  <c r="AU11" i="15"/>
  <c r="AW11" i="15" s="1"/>
  <c r="BE12" i="15"/>
  <c r="AU13" i="15"/>
  <c r="AW13" i="15" s="1"/>
  <c r="AU14" i="15"/>
  <c r="AW14" i="15" s="1"/>
  <c r="AU15" i="15"/>
  <c r="AW15" i="15" s="1"/>
  <c r="AU16" i="15"/>
  <c r="AW16" i="15" s="1"/>
  <c r="AU17" i="15"/>
  <c r="BE17" i="15" s="1"/>
  <c r="AU18" i="15"/>
  <c r="BE18" i="15" s="1"/>
  <c r="AU19" i="15"/>
  <c r="AW19" i="15" s="1"/>
  <c r="AU20" i="15"/>
  <c r="BE20" i="15" s="1"/>
  <c r="AU21" i="15"/>
  <c r="AW21" i="15" s="1"/>
  <c r="AU22" i="15"/>
  <c r="AW22" i="15" s="1"/>
  <c r="AU23" i="15"/>
  <c r="AW23" i="15" s="1"/>
  <c r="AU24" i="15"/>
  <c r="AW24" i="15" s="1"/>
  <c r="AU25" i="15"/>
  <c r="BE25" i="15" s="1"/>
  <c r="AU5" i="15"/>
  <c r="AX5" i="15" s="1"/>
  <c r="AQ6" i="15"/>
  <c r="AS6" i="15" s="1"/>
  <c r="AQ8" i="15"/>
  <c r="AS8" i="15" s="1"/>
  <c r="AQ9" i="15"/>
  <c r="BD9" i="15" s="1"/>
  <c r="AQ10" i="15"/>
  <c r="BD10" i="15" s="1"/>
  <c r="AQ11" i="15"/>
  <c r="AS11" i="15" s="1"/>
  <c r="AQ12" i="15"/>
  <c r="AS12" i="15" s="1"/>
  <c r="AQ13" i="15"/>
  <c r="AS13" i="15" s="1"/>
  <c r="AQ14" i="15"/>
  <c r="BD14" i="15" s="1"/>
  <c r="AQ15" i="15"/>
  <c r="AS15" i="15" s="1"/>
  <c r="AQ16" i="15"/>
  <c r="AS16" i="15" s="1"/>
  <c r="AQ17" i="15"/>
  <c r="BD17" i="15" s="1"/>
  <c r="AQ18" i="15"/>
  <c r="BD18" i="15" s="1"/>
  <c r="AQ19" i="15"/>
  <c r="AS19" i="15" s="1"/>
  <c r="AQ20" i="15"/>
  <c r="AS20" i="15" s="1"/>
  <c r="AQ21" i="15"/>
  <c r="AS21" i="15" s="1"/>
  <c r="AQ22" i="15"/>
  <c r="BD22" i="15" s="1"/>
  <c r="AQ23" i="15"/>
  <c r="AS23" i="15" s="1"/>
  <c r="AQ24" i="15"/>
  <c r="AS24" i="15" s="1"/>
  <c r="AQ25" i="15"/>
  <c r="BD25" i="15" s="1"/>
  <c r="AQ5" i="15"/>
  <c r="AM6" i="15"/>
  <c r="AO6" i="15" s="1"/>
  <c r="AM8" i="15"/>
  <c r="AO8" i="15" s="1"/>
  <c r="AM9" i="15"/>
  <c r="AO9" i="15" s="1"/>
  <c r="AM10" i="15"/>
  <c r="AO10" i="15" s="1"/>
  <c r="AM11" i="15"/>
  <c r="AO11" i="15" s="1"/>
  <c r="AM12" i="15"/>
  <c r="AO12" i="15" s="1"/>
  <c r="AM13" i="15"/>
  <c r="AO13" i="15" s="1"/>
  <c r="AM14" i="15"/>
  <c r="AO14" i="15" s="1"/>
  <c r="AM15" i="15"/>
  <c r="AO15" i="15" s="1"/>
  <c r="AM16" i="15"/>
  <c r="AO16" i="15" s="1"/>
  <c r="AM17" i="15"/>
  <c r="AO17" i="15" s="1"/>
  <c r="AM18" i="15"/>
  <c r="AO18" i="15" s="1"/>
  <c r="AM19" i="15"/>
  <c r="AO19" i="15" s="1"/>
  <c r="AM20" i="15"/>
  <c r="AO20" i="15" s="1"/>
  <c r="AM21" i="15"/>
  <c r="AO21" i="15" s="1"/>
  <c r="AM22" i="15"/>
  <c r="AO22" i="15" s="1"/>
  <c r="AM23" i="15"/>
  <c r="AO23" i="15" s="1"/>
  <c r="AM25" i="15"/>
  <c r="AO25" i="15" s="1"/>
  <c r="AM5" i="15"/>
  <c r="AP5" i="15" s="1"/>
  <c r="L6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5" i="15"/>
  <c r="K6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5" i="15"/>
  <c r="I17" i="15"/>
  <c r="I10" i="15"/>
  <c r="I12" i="15"/>
  <c r="I23" i="15"/>
  <c r="I18" i="15"/>
  <c r="I8" i="15"/>
  <c r="I22" i="15"/>
  <c r="I16" i="15"/>
  <c r="I21" i="15"/>
  <c r="I20" i="15"/>
  <c r="I11" i="15"/>
  <c r="I25" i="15"/>
  <c r="I6" i="15"/>
  <c r="I13" i="15"/>
  <c r="I5" i="15"/>
  <c r="I15" i="15"/>
  <c r="I9" i="15"/>
  <c r="I14" i="15"/>
  <c r="I19" i="15"/>
  <c r="AS7" i="15" l="1"/>
  <c r="BA7" i="15"/>
  <c r="AT7" i="15"/>
  <c r="BB7" i="15"/>
  <c r="AO7" i="15"/>
  <c r="AW7" i="15"/>
  <c r="BE7" i="15"/>
  <c r="AM24" i="15"/>
  <c r="AO24" i="15" s="1"/>
  <c r="I24" i="15"/>
  <c r="I3" i="15" s="1"/>
  <c r="K3" i="15"/>
  <c r="AR2" i="15"/>
  <c r="AV2" i="15"/>
  <c r="AZ2" i="15"/>
  <c r="BE5" i="15"/>
  <c r="BF9" i="15"/>
  <c r="BD11" i="15"/>
  <c r="BE14" i="15"/>
  <c r="BF17" i="15"/>
  <c r="BD19" i="15"/>
  <c r="BE22" i="15"/>
  <c r="BF25" i="15"/>
  <c r="AO5" i="15"/>
  <c r="AP22" i="15"/>
  <c r="AP18" i="15"/>
  <c r="AP14" i="15"/>
  <c r="AP10" i="15"/>
  <c r="AS5" i="15"/>
  <c r="AT22" i="15"/>
  <c r="AT18" i="15"/>
  <c r="AT14" i="15"/>
  <c r="AT10" i="15"/>
  <c r="AW5" i="15"/>
  <c r="AX22" i="15"/>
  <c r="AX18" i="15"/>
  <c r="AX14" i="15"/>
  <c r="AX10" i="15"/>
  <c r="BA5" i="15"/>
  <c r="BB22" i="15"/>
  <c r="BB18" i="15"/>
  <c r="BB14" i="15"/>
  <c r="BB10" i="15"/>
  <c r="BD5" i="15"/>
  <c r="BD8" i="15"/>
  <c r="BE11" i="15"/>
  <c r="BF14" i="15"/>
  <c r="BD16" i="15"/>
  <c r="BE19" i="15"/>
  <c r="BF22" i="15"/>
  <c r="BD24" i="15"/>
  <c r="AT5" i="15"/>
  <c r="AS22" i="15"/>
  <c r="AS18" i="15"/>
  <c r="AS14" i="15"/>
  <c r="AS10" i="15"/>
  <c r="AW18" i="15"/>
  <c r="AW10" i="15"/>
  <c r="BB5" i="15"/>
  <c r="BA18" i="15"/>
  <c r="BA10" i="15"/>
  <c r="BE8" i="15"/>
  <c r="BF11" i="15"/>
  <c r="BD13" i="15"/>
  <c r="BE16" i="15"/>
  <c r="BF19" i="15"/>
  <c r="BD21" i="15"/>
  <c r="BE24" i="15"/>
  <c r="AP25" i="15"/>
  <c r="AP21" i="15"/>
  <c r="AP17" i="15"/>
  <c r="AP13" i="15"/>
  <c r="AP9" i="15"/>
  <c r="AT25" i="15"/>
  <c r="AT21" i="15"/>
  <c r="AT17" i="15"/>
  <c r="AT13" i="15"/>
  <c r="AT9" i="15"/>
  <c r="AX25" i="15"/>
  <c r="AX21" i="15"/>
  <c r="AX17" i="15"/>
  <c r="AX13" i="15"/>
  <c r="AX9" i="15"/>
  <c r="BB25" i="15"/>
  <c r="BB21" i="15"/>
  <c r="BB17" i="15"/>
  <c r="BB13" i="15"/>
  <c r="BB9" i="15"/>
  <c r="BF8" i="15"/>
  <c r="BE13" i="15"/>
  <c r="BF16" i="15"/>
  <c r="BE21" i="15"/>
  <c r="BF24" i="15"/>
  <c r="AS25" i="15"/>
  <c r="AS17" i="15"/>
  <c r="AS9" i="15"/>
  <c r="AW25" i="15"/>
  <c r="AW17" i="15"/>
  <c r="AW9" i="15"/>
  <c r="BA21" i="15"/>
  <c r="BA13" i="15"/>
  <c r="BD6" i="15"/>
  <c r="BD15" i="15"/>
  <c r="BD23" i="15"/>
  <c r="AP20" i="15"/>
  <c r="AP16" i="15"/>
  <c r="AP12" i="15"/>
  <c r="AP8" i="15"/>
  <c r="AT24" i="15"/>
  <c r="AT20" i="15"/>
  <c r="AT16" i="15"/>
  <c r="AT12" i="15"/>
  <c r="AT8" i="15"/>
  <c r="AX24" i="15"/>
  <c r="AX20" i="15"/>
  <c r="AX16" i="15"/>
  <c r="AX12" i="15"/>
  <c r="AX8" i="15"/>
  <c r="BB24" i="15"/>
  <c r="BB20" i="15"/>
  <c r="BB16" i="15"/>
  <c r="BB12" i="15"/>
  <c r="BB8" i="15"/>
  <c r="BE6" i="15"/>
  <c r="BD12" i="15"/>
  <c r="BE15" i="15"/>
  <c r="BD20" i="15"/>
  <c r="BE23" i="15"/>
  <c r="AW20" i="15"/>
  <c r="AW12" i="15"/>
  <c r="BA20" i="15"/>
  <c r="BA12" i="15"/>
  <c r="BF6" i="15"/>
  <c r="BF15" i="15"/>
  <c r="BF23" i="15"/>
  <c r="AP23" i="15"/>
  <c r="AP19" i="15"/>
  <c r="AP15" i="15"/>
  <c r="AP11" i="15"/>
  <c r="AP6" i="15"/>
  <c r="AT23" i="15"/>
  <c r="AT19" i="15"/>
  <c r="AT15" i="15"/>
  <c r="AT11" i="15"/>
  <c r="AT6" i="15"/>
  <c r="AX23" i="15"/>
  <c r="AX19" i="15"/>
  <c r="AX15" i="15"/>
  <c r="AX11" i="15"/>
  <c r="AX6" i="15"/>
  <c r="BB23" i="15"/>
  <c r="BB19" i="15"/>
  <c r="BB15" i="15"/>
  <c r="BB11" i="15"/>
  <c r="BB6" i="15"/>
  <c r="AV9" i="15"/>
  <c r="AZ9" i="15"/>
  <c r="AZ5" i="15"/>
  <c r="AZ6" i="15"/>
  <c r="AZ25" i="15"/>
  <c r="AZ11" i="15"/>
  <c r="AR20" i="15"/>
  <c r="AV20" i="15"/>
  <c r="AZ20" i="15"/>
  <c r="AV24" i="15"/>
  <c r="AZ24" i="15"/>
  <c r="AR21" i="15"/>
  <c r="AV21" i="15"/>
  <c r="AZ21" i="15"/>
  <c r="AR13" i="15"/>
  <c r="AV13" i="15"/>
  <c r="AZ13" i="15"/>
  <c r="AV18" i="15"/>
  <c r="AZ18" i="15"/>
  <c r="AR22" i="15"/>
  <c r="AV22" i="15"/>
  <c r="AZ22" i="15"/>
  <c r="AV23" i="15"/>
  <c r="AZ23" i="15"/>
  <c r="AZ12" i="15"/>
  <c r="AZ15" i="15"/>
  <c r="AZ14" i="15"/>
  <c r="AZ19" i="15"/>
  <c r="AV19" i="15"/>
  <c r="M32" i="7"/>
  <c r="M33" i="7"/>
  <c r="M34" i="7"/>
  <c r="M35" i="7"/>
  <c r="M36" i="7"/>
  <c r="M42" i="7"/>
  <c r="M43" i="7"/>
  <c r="M44" i="7"/>
  <c r="M45" i="7"/>
  <c r="M46" i="7"/>
  <c r="M37" i="7"/>
  <c r="M38" i="7"/>
  <c r="M39" i="7"/>
  <c r="M40" i="7"/>
  <c r="M41" i="7"/>
  <c r="M64" i="7"/>
  <c r="M177" i="7"/>
  <c r="M47" i="7"/>
  <c r="M48" i="7"/>
  <c r="M49" i="7"/>
  <c r="M56" i="7"/>
  <c r="M65" i="7"/>
  <c r="M50" i="7"/>
  <c r="M51" i="7"/>
  <c r="M52" i="7"/>
  <c r="M53" i="7"/>
  <c r="M54" i="7"/>
  <c r="M55" i="7"/>
  <c r="M178" i="7"/>
  <c r="M179" i="7"/>
  <c r="M189" i="7"/>
  <c r="M190" i="7"/>
  <c r="M191" i="7"/>
  <c r="M192" i="7"/>
  <c r="M193" i="7"/>
  <c r="M194" i="7"/>
  <c r="M195" i="7"/>
  <c r="M196" i="7"/>
  <c r="M66" i="7"/>
  <c r="M67" i="7"/>
  <c r="M68" i="7"/>
  <c r="M69" i="7"/>
  <c r="M70" i="7"/>
  <c r="M71" i="7"/>
  <c r="M72" i="7"/>
  <c r="M73" i="7"/>
  <c r="M74" i="7"/>
  <c r="M16" i="7"/>
  <c r="M22" i="7"/>
  <c r="M23" i="7"/>
  <c r="M180" i="7"/>
  <c r="J20" i="15" s="1"/>
  <c r="M182" i="7"/>
  <c r="M1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101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84" i="7"/>
  <c r="M185" i="7"/>
  <c r="M186" i="7"/>
  <c r="M187" i="7"/>
  <c r="M188" i="7"/>
  <c r="M99" i="7"/>
  <c r="M100" i="7"/>
  <c r="M4" i="7"/>
  <c r="M9" i="7"/>
  <c r="M24" i="7"/>
  <c r="M25" i="7"/>
  <c r="M26" i="7"/>
  <c r="M27" i="7"/>
  <c r="M28" i="7"/>
  <c r="M29" i="7"/>
  <c r="M30" i="7"/>
  <c r="M31" i="7"/>
  <c r="M171" i="7"/>
  <c r="M172" i="7"/>
  <c r="M173" i="7"/>
  <c r="M174" i="7"/>
  <c r="M175" i="7"/>
  <c r="M176" i="7"/>
  <c r="M75" i="7"/>
  <c r="M76" i="7"/>
  <c r="M77" i="7"/>
  <c r="M78" i="7"/>
  <c r="M79" i="7"/>
  <c r="M80" i="7"/>
  <c r="M81" i="7"/>
  <c r="M58" i="7"/>
  <c r="M59" i="7"/>
  <c r="M60" i="7"/>
  <c r="M61" i="7"/>
  <c r="M57" i="7"/>
  <c r="M62" i="7"/>
  <c r="M63" i="7"/>
  <c r="M5" i="7"/>
  <c r="M6" i="7"/>
  <c r="M7" i="7"/>
  <c r="M8" i="7"/>
  <c r="M10" i="7"/>
  <c r="M11" i="7"/>
  <c r="M12" i="7"/>
  <c r="M13" i="7"/>
  <c r="M14" i="7"/>
  <c r="M15" i="7"/>
  <c r="M17" i="7"/>
  <c r="M18" i="7"/>
  <c r="M19" i="7"/>
  <c r="M20" i="7"/>
  <c r="M2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23" i="7"/>
  <c r="M124" i="7"/>
  <c r="M125" i="7"/>
  <c r="M126" i="7"/>
  <c r="M127" i="7"/>
  <c r="M128" i="7"/>
  <c r="M129" i="7"/>
  <c r="M130" i="7"/>
  <c r="M131" i="7"/>
  <c r="M148" i="7"/>
  <c r="M149" i="7"/>
  <c r="M150" i="7"/>
  <c r="M151" i="7"/>
  <c r="M152" i="7"/>
  <c r="M153" i="7"/>
  <c r="M154" i="7"/>
  <c r="M155" i="7"/>
  <c r="M156" i="7"/>
  <c r="M157" i="7"/>
  <c r="M183" i="7"/>
  <c r="J19" i="15" s="1"/>
  <c r="BF24" i="11"/>
  <c r="BE24" i="11"/>
  <c r="BD24" i="11"/>
  <c r="BC24" i="11"/>
  <c r="BF23" i="11"/>
  <c r="BE23" i="11"/>
  <c r="BD23" i="11"/>
  <c r="BC23" i="11"/>
  <c r="BB23" i="11"/>
  <c r="BF22" i="11"/>
  <c r="BE22" i="11"/>
  <c r="BD22" i="11"/>
  <c r="BF21" i="11"/>
  <c r="BE21" i="11"/>
  <c r="BD21" i="11"/>
  <c r="BF20" i="11"/>
  <c r="BE20" i="11"/>
  <c r="BD20" i="11"/>
  <c r="BF19" i="11"/>
  <c r="BE19" i="11"/>
  <c r="BD19" i="11"/>
  <c r="BC19" i="11"/>
  <c r="BF18" i="11"/>
  <c r="BE18" i="11"/>
  <c r="BD18" i="11"/>
  <c r="BF17" i="11"/>
  <c r="BE17" i="11"/>
  <c r="BD17" i="11"/>
  <c r="BC17" i="11"/>
  <c r="BF16" i="11"/>
  <c r="BE16" i="11"/>
  <c r="BD16" i="11"/>
  <c r="BC16" i="11"/>
  <c r="BB16" i="11"/>
  <c r="BF15" i="11"/>
  <c r="BE15" i="11"/>
  <c r="BD15" i="11"/>
  <c r="BC15" i="11"/>
  <c r="BB15" i="11"/>
  <c r="BF14" i="11"/>
  <c r="BE14" i="11"/>
  <c r="BD14" i="11"/>
  <c r="BC14" i="11"/>
  <c r="BF13" i="11"/>
  <c r="BE13" i="11"/>
  <c r="BD13" i="11"/>
  <c r="BC13" i="11"/>
  <c r="BB13" i="11"/>
  <c r="BF12" i="11"/>
  <c r="BE12" i="11"/>
  <c r="BD12" i="11"/>
  <c r="BF11" i="11"/>
  <c r="BE11" i="11"/>
  <c r="BD11" i="11"/>
  <c r="BF10" i="11"/>
  <c r="BE10" i="11"/>
  <c r="BD10" i="11"/>
  <c r="BC10" i="11"/>
  <c r="BF9" i="11"/>
  <c r="BE9" i="11"/>
  <c r="BD9" i="11"/>
  <c r="BC9" i="11"/>
  <c r="BB9" i="11"/>
  <c r="BF8" i="11"/>
  <c r="BE8" i="11"/>
  <c r="BD8" i="11"/>
  <c r="BF7" i="11"/>
  <c r="BE7" i="11"/>
  <c r="BD7" i="11"/>
  <c r="BB7" i="11"/>
  <c r="BF6" i="11"/>
  <c r="BE6" i="11"/>
  <c r="BD6" i="11"/>
  <c r="BC6" i="11"/>
  <c r="BB6" i="11"/>
  <c r="AH12" i="11"/>
  <c r="BB12" i="11" s="1"/>
  <c r="AL12" i="11"/>
  <c r="BC12" i="11" s="1"/>
  <c r="L16" i="12"/>
  <c r="I3" i="1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BA24" i="11"/>
  <c r="AO24" i="11"/>
  <c r="AS23" i="11"/>
  <c r="AK23" i="11"/>
  <c r="AW22" i="11"/>
  <c r="AO19" i="11"/>
  <c r="AN19" i="11"/>
  <c r="AW18" i="11"/>
  <c r="AW16" i="11"/>
  <c r="AS16" i="11"/>
  <c r="AK16" i="11"/>
  <c r="AS13" i="11"/>
  <c r="AK13" i="11"/>
  <c r="AS12" i="11"/>
  <c r="AR12" i="11"/>
  <c r="BA9" i="11"/>
  <c r="AW9" i="11"/>
  <c r="AO6" i="11"/>
  <c r="AW21" i="11"/>
  <c r="AR16" i="11"/>
  <c r="AJ23" i="11"/>
  <c r="AN23" i="11"/>
  <c r="AN24" i="11"/>
  <c r="AR6" i="11"/>
  <c r="AR13" i="11"/>
  <c r="AR21" i="11"/>
  <c r="AR22" i="11"/>
  <c r="AJ16" i="11"/>
  <c r="AV18" i="11"/>
  <c r="AV16" i="11"/>
  <c r="AR23" i="11"/>
  <c r="AZ9" i="11"/>
  <c r="AV21" i="11"/>
  <c r="AV22" i="11"/>
  <c r="AK6" i="11"/>
  <c r="AJ6" i="11"/>
  <c r="N49" i="12"/>
  <c r="L49" i="12"/>
  <c r="L50" i="12"/>
  <c r="L51" i="12"/>
  <c r="L52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9" i="11"/>
  <c r="G8" i="11"/>
  <c r="G7" i="11"/>
  <c r="G6" i="11"/>
  <c r="G5" i="11"/>
  <c r="G10" i="11"/>
  <c r="F6" i="11"/>
  <c r="M2" i="12"/>
  <c r="AX2" i="11"/>
  <c r="AT2" i="11"/>
  <c r="AP2" i="11"/>
  <c r="A2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5" i="11"/>
  <c r="BB5" i="11"/>
  <c r="AH24" i="11"/>
  <c r="AK24" i="11" s="1"/>
  <c r="F24" i="11"/>
  <c r="D24" i="11"/>
  <c r="AN15" i="11"/>
  <c r="F15" i="11"/>
  <c r="D15" i="11"/>
  <c r="F23" i="11"/>
  <c r="F22" i="11"/>
  <c r="F21" i="11"/>
  <c r="F20" i="11"/>
  <c r="F19" i="11"/>
  <c r="F18" i="11"/>
  <c r="F17" i="11"/>
  <c r="F16" i="11"/>
  <c r="F14" i="11"/>
  <c r="F13" i="11"/>
  <c r="F12" i="11"/>
  <c r="F11" i="11"/>
  <c r="F10" i="11"/>
  <c r="F9" i="11"/>
  <c r="F8" i="11"/>
  <c r="F7" i="11"/>
  <c r="F5" i="11"/>
  <c r="B2" i="7"/>
  <c r="F1" i="11" s="1"/>
  <c r="AH14" i="11"/>
  <c r="BB14" i="11" s="1"/>
  <c r="D14" i="11"/>
  <c r="AL7" i="11"/>
  <c r="AL8" i="11"/>
  <c r="BC8" i="11" s="1"/>
  <c r="AL11" i="11"/>
  <c r="BC11" i="11" s="1"/>
  <c r="AL18" i="11"/>
  <c r="AO18" i="11" s="1"/>
  <c r="AL20" i="11"/>
  <c r="BC20" i="11" s="1"/>
  <c r="AL21" i="11"/>
  <c r="AO21" i="11" s="1"/>
  <c r="AL22" i="11"/>
  <c r="BC22" i="11" s="1"/>
  <c r="BC5" i="11"/>
  <c r="BD5" i="11"/>
  <c r="AH22" i="11"/>
  <c r="AJ22" i="11" s="1"/>
  <c r="AH21" i="11"/>
  <c r="BB21" i="11" s="1"/>
  <c r="AH20" i="11"/>
  <c r="AK20" i="11" s="1"/>
  <c r="AH19" i="11"/>
  <c r="BB19" i="11" s="1"/>
  <c r="AH18" i="11"/>
  <c r="BB18" i="11" s="1"/>
  <c r="AH17" i="11"/>
  <c r="BB17" i="11" s="1"/>
  <c r="AH11" i="11"/>
  <c r="AK11" i="11" s="1"/>
  <c r="AH10" i="11"/>
  <c r="BB10" i="11" s="1"/>
  <c r="AK9" i="11"/>
  <c r="AH8" i="11"/>
  <c r="BB8" i="11" s="1"/>
  <c r="BF5" i="11"/>
  <c r="BE5" i="11"/>
  <c r="D6" i="11"/>
  <c r="D7" i="11"/>
  <c r="D8" i="11"/>
  <c r="D9" i="11"/>
  <c r="D10" i="11"/>
  <c r="D11" i="11"/>
  <c r="D12" i="11"/>
  <c r="D13" i="11"/>
  <c r="D16" i="11"/>
  <c r="D17" i="11"/>
  <c r="D18" i="11"/>
  <c r="D19" i="11"/>
  <c r="D20" i="11"/>
  <c r="D21" i="11"/>
  <c r="D22" i="11"/>
  <c r="D23" i="11"/>
  <c r="D5" i="11"/>
  <c r="AM6" i="11" l="1"/>
  <c r="AV25" i="15"/>
  <c r="AM23" i="11"/>
  <c r="AN5" i="15"/>
  <c r="BC5" i="15" s="1"/>
  <c r="AL5" i="15" s="1"/>
  <c r="AY7" i="11"/>
  <c r="AM16" i="11"/>
  <c r="AU22" i="11"/>
  <c r="AQ6" i="11"/>
  <c r="AS6" i="11"/>
  <c r="AJ13" i="11"/>
  <c r="AS18" i="11"/>
  <c r="AO23" i="11"/>
  <c r="AR11" i="11"/>
  <c r="AN16" i="11"/>
  <c r="AS21" i="11"/>
  <c r="AS11" i="11"/>
  <c r="AO16" i="11"/>
  <c r="AS22" i="11"/>
  <c r="AN10" i="15"/>
  <c r="BC10" i="15" s="1"/>
  <c r="AL10" i="15" s="1"/>
  <c r="AN21" i="15"/>
  <c r="BC21" i="15" s="1"/>
  <c r="AL21" i="15" s="1"/>
  <c r="J7" i="15"/>
  <c r="E5" i="11"/>
  <c r="AN7" i="11"/>
  <c r="AN17" i="11"/>
  <c r="AV5" i="15"/>
  <c r="AW13" i="11"/>
  <c r="AP24" i="15"/>
  <c r="AN2" i="15"/>
  <c r="J14" i="15"/>
  <c r="J18" i="15"/>
  <c r="J8" i="15"/>
  <c r="J25" i="15"/>
  <c r="J17" i="15"/>
  <c r="J23" i="15"/>
  <c r="J13" i="15"/>
  <c r="J5" i="15"/>
  <c r="J16" i="15"/>
  <c r="J10" i="15"/>
  <c r="J22" i="15"/>
  <c r="E15" i="11"/>
  <c r="J21" i="15"/>
  <c r="J12" i="15"/>
  <c r="E24" i="11"/>
  <c r="J24" i="15"/>
  <c r="J11" i="15"/>
  <c r="J6" i="15"/>
  <c r="J15" i="15"/>
  <c r="J9" i="15"/>
  <c r="AW11" i="11"/>
  <c r="AY6" i="11"/>
  <c r="AS19" i="11"/>
  <c r="AU19" i="11"/>
  <c r="AM5" i="11"/>
  <c r="AW10" i="11"/>
  <c r="AY5" i="11"/>
  <c r="AV13" i="11"/>
  <c r="AR5" i="15"/>
  <c r="AW6" i="11"/>
  <c r="AO5" i="11"/>
  <c r="AV8" i="11"/>
  <c r="AY11" i="11"/>
  <c r="AV14" i="11"/>
  <c r="AY18" i="11"/>
  <c r="AO17" i="11"/>
  <c r="AW5" i="11"/>
  <c r="AW8" i="11"/>
  <c r="AG3" i="11"/>
  <c r="AR19" i="15"/>
  <c r="AR23" i="15"/>
  <c r="AR9" i="15"/>
  <c r="AZ16" i="15"/>
  <c r="AR17" i="15"/>
  <c r="AV12" i="15"/>
  <c r="AR12" i="15"/>
  <c r="AV6" i="15"/>
  <c r="AR11" i="15"/>
  <c r="AQ16" i="11"/>
  <c r="AU21" i="11"/>
  <c r="AQ13" i="11"/>
  <c r="AI16" i="11"/>
  <c r="AQ18" i="11"/>
  <c r="AQ12" i="11"/>
  <c r="AR10" i="15"/>
  <c r="AI23" i="11"/>
  <c r="AQ21" i="11"/>
  <c r="AU9" i="11"/>
  <c r="AU14" i="11"/>
  <c r="AS17" i="11"/>
  <c r="AS20" i="11"/>
  <c r="AV16" i="15"/>
  <c r="AR25" i="15"/>
  <c r="AU18" i="11"/>
  <c r="AQ22" i="11"/>
  <c r="AQ23" i="11"/>
  <c r="AZ24" i="11"/>
  <c r="AR20" i="11"/>
  <c r="AU17" i="11"/>
  <c r="AS15" i="11"/>
  <c r="AY12" i="11"/>
  <c r="AY10" i="11"/>
  <c r="AW7" i="11"/>
  <c r="AN5" i="11"/>
  <c r="AR16" i="15"/>
  <c r="AI6" i="11"/>
  <c r="AV15" i="15"/>
  <c r="AR15" i="15"/>
  <c r="AR6" i="15"/>
  <c r="AM19" i="11"/>
  <c r="AM24" i="11"/>
  <c r="AR24" i="15"/>
  <c r="AQ11" i="11"/>
  <c r="AY9" i="11"/>
  <c r="AW12" i="11"/>
  <c r="AU15" i="11"/>
  <c r="AR14" i="15"/>
  <c r="AV14" i="15"/>
  <c r="AO12" i="11"/>
  <c r="AK12" i="11"/>
  <c r="BB24" i="11"/>
  <c r="AG24" i="11" s="1"/>
  <c r="BB22" i="11"/>
  <c r="AG22" i="11" s="1"/>
  <c r="BB11" i="11"/>
  <c r="AG11" i="11" s="1"/>
  <c r="BC21" i="11"/>
  <c r="AG21" i="11" s="1"/>
  <c r="BC18" i="11"/>
  <c r="AG18" i="11" s="1"/>
  <c r="BC7" i="11"/>
  <c r="AG7" i="11" s="1"/>
  <c r="BB20" i="11"/>
  <c r="AG20" i="11" s="1"/>
  <c r="AK15" i="11"/>
  <c r="AN10" i="11"/>
  <c r="AZ5" i="11"/>
  <c r="AZ6" i="11"/>
  <c r="AZ7" i="11"/>
  <c r="AY8" i="11"/>
  <c r="AZ10" i="11"/>
  <c r="AZ11" i="11"/>
  <c r="AZ12" i="11"/>
  <c r="AY13" i="11"/>
  <c r="AW14" i="11"/>
  <c r="AV15" i="11"/>
  <c r="AV17" i="11"/>
  <c r="AZ18" i="11"/>
  <c r="AV19" i="11"/>
  <c r="AU20" i="11"/>
  <c r="AM10" i="11"/>
  <c r="AQ7" i="11"/>
  <c r="AO10" i="11"/>
  <c r="AQ5" i="11"/>
  <c r="BA5" i="11"/>
  <c r="BA6" i="11"/>
  <c r="BA7" i="11"/>
  <c r="AZ8" i="11"/>
  <c r="AQ10" i="11"/>
  <c r="BA10" i="11"/>
  <c r="BA11" i="11"/>
  <c r="BA12" i="11"/>
  <c r="AZ13" i="11"/>
  <c r="AY14" i="11"/>
  <c r="AW15" i="11"/>
  <c r="AW17" i="11"/>
  <c r="BA18" i="11"/>
  <c r="AW19" i="11"/>
  <c r="AV20" i="11"/>
  <c r="AM14" i="11"/>
  <c r="AR5" i="11"/>
  <c r="AR7" i="11"/>
  <c r="AQ8" i="11"/>
  <c r="BA8" i="11"/>
  <c r="AR10" i="11"/>
  <c r="BA13" i="11"/>
  <c r="AZ14" i="11"/>
  <c r="AY15" i="11"/>
  <c r="AZ16" i="11"/>
  <c r="AY17" i="11"/>
  <c r="AY19" i="11"/>
  <c r="AW20" i="11"/>
  <c r="AY16" i="11"/>
  <c r="AN14" i="11"/>
  <c r="AS5" i="11"/>
  <c r="AS7" i="11"/>
  <c r="AR8" i="11"/>
  <c r="AQ9" i="11"/>
  <c r="AS10" i="11"/>
  <c r="AQ14" i="11"/>
  <c r="BA14" i="11"/>
  <c r="AZ15" i="11"/>
  <c r="BA16" i="11"/>
  <c r="AZ17" i="11"/>
  <c r="AZ19" i="11"/>
  <c r="AY20" i="11"/>
  <c r="AO14" i="11"/>
  <c r="AU5" i="11"/>
  <c r="AU6" i="11"/>
  <c r="AU7" i="11"/>
  <c r="AS8" i="11"/>
  <c r="AR9" i="11"/>
  <c r="AU10" i="11"/>
  <c r="AU11" i="11"/>
  <c r="AU12" i="11"/>
  <c r="AR14" i="11"/>
  <c r="AQ15" i="11"/>
  <c r="BA15" i="11"/>
  <c r="AQ17" i="11"/>
  <c r="BA17" i="11"/>
  <c r="AQ19" i="11"/>
  <c r="BA19" i="11"/>
  <c r="AZ20" i="11"/>
  <c r="AU23" i="11"/>
  <c r="AM17" i="11"/>
  <c r="AV5" i="11"/>
  <c r="AV6" i="11"/>
  <c r="AV7" i="11"/>
  <c r="AU8" i="11"/>
  <c r="AS9" i="11"/>
  <c r="AV10" i="11"/>
  <c r="AV11" i="11"/>
  <c r="AV12" i="11"/>
  <c r="AU13" i="11"/>
  <c r="AS14" i="11"/>
  <c r="AR15" i="11"/>
  <c r="AR17" i="11"/>
  <c r="AR19" i="11"/>
  <c r="AQ20" i="11"/>
  <c r="BA20" i="11"/>
  <c r="AV9" i="11"/>
  <c r="AR18" i="11"/>
  <c r="AN6" i="11"/>
  <c r="AU16" i="11"/>
  <c r="AI13" i="11"/>
  <c r="AG14" i="11"/>
  <c r="AN18" i="11"/>
  <c r="AG10" i="11"/>
  <c r="AO7" i="11"/>
  <c r="AN9" i="11"/>
  <c r="AG17" i="11"/>
  <c r="AI21" i="11"/>
  <c r="AN20" i="11"/>
  <c r="AG16" i="11"/>
  <c r="AG19" i="11"/>
  <c r="AI9" i="11"/>
  <c r="AI8" i="11"/>
  <c r="AN11" i="11"/>
  <c r="AG23" i="11"/>
  <c r="AG8" i="11"/>
  <c r="AG6" i="11"/>
  <c r="AK22" i="11"/>
  <c r="AG13" i="11"/>
  <c r="AI11" i="11"/>
  <c r="AM9" i="11"/>
  <c r="AJ8" i="11"/>
  <c r="AO9" i="11"/>
  <c r="AO11" i="11"/>
  <c r="AJ19" i="11"/>
  <c r="AO20" i="11"/>
  <c r="AN22" i="11"/>
  <c r="AM15" i="11"/>
  <c r="AI18" i="11"/>
  <c r="AK8" i="11"/>
  <c r="AJ12" i="11"/>
  <c r="AJ14" i="11"/>
  <c r="AK19" i="11"/>
  <c r="AO22" i="11"/>
  <c r="AG9" i="11"/>
  <c r="AI12" i="11"/>
  <c r="AM18" i="11"/>
  <c r="AM11" i="11"/>
  <c r="AM8" i="11"/>
  <c r="AN8" i="11"/>
  <c r="AJ10" i="11"/>
  <c r="AK14" i="11"/>
  <c r="AJ21" i="11"/>
  <c r="AI22" i="11"/>
  <c r="AO8" i="11"/>
  <c r="AK10" i="11"/>
  <c r="AN12" i="11"/>
  <c r="AK21" i="11"/>
  <c r="AO15" i="11"/>
  <c r="AM12" i="11"/>
  <c r="AI20" i="11"/>
  <c r="AI15" i="11"/>
  <c r="AJ7" i="11"/>
  <c r="AJ15" i="11"/>
  <c r="AI7" i="11"/>
  <c r="AM7" i="11"/>
  <c r="AM20" i="11"/>
  <c r="AM22" i="11"/>
  <c r="AI10" i="11"/>
  <c r="AJ5" i="11"/>
  <c r="AK7" i="11"/>
  <c r="AJ9" i="11"/>
  <c r="AJ11" i="11"/>
  <c r="AJ18" i="11"/>
  <c r="AJ20" i="11"/>
  <c r="AJ24" i="11"/>
  <c r="AI19" i="11"/>
  <c r="AK5" i="11"/>
  <c r="AK18" i="11"/>
  <c r="AV23" i="11"/>
  <c r="AW23" i="11"/>
  <c r="AI14" i="11"/>
  <c r="AY23" i="11"/>
  <c r="AY22" i="11"/>
  <c r="AZ23" i="11"/>
  <c r="AQ24" i="11"/>
  <c r="AI5" i="11"/>
  <c r="AZ22" i="11"/>
  <c r="BA23" i="11"/>
  <c r="AR24" i="11"/>
  <c r="BA22" i="11"/>
  <c r="AI24" i="11"/>
  <c r="AY24" i="11"/>
  <c r="AS24" i="11"/>
  <c r="AU24" i="11"/>
  <c r="AV24" i="11"/>
  <c r="AW24" i="11"/>
  <c r="AM21" i="11"/>
  <c r="AN21" i="11"/>
  <c r="AN13" i="11"/>
  <c r="AO13" i="11"/>
  <c r="AM13" i="11"/>
  <c r="AI17" i="11"/>
  <c r="AJ17" i="11"/>
  <c r="AK17" i="11"/>
  <c r="AL2" i="11"/>
  <c r="D2" i="11"/>
  <c r="F2" i="11"/>
  <c r="N101" i="7"/>
  <c r="N46" i="7"/>
  <c r="E16" i="11"/>
  <c r="N31" i="7"/>
  <c r="E9" i="11"/>
  <c r="N179" i="7"/>
  <c r="N21" i="7"/>
  <c r="E19" i="11"/>
  <c r="N196" i="7"/>
  <c r="N177" i="7"/>
  <c r="N36" i="7"/>
  <c r="N74" i="7"/>
  <c r="E7" i="11"/>
  <c r="E8" i="11"/>
  <c r="N131" i="7"/>
  <c r="N157" i="7"/>
  <c r="E23" i="11"/>
  <c r="N122" i="7"/>
  <c r="E20" i="11"/>
  <c r="N188" i="7"/>
  <c r="E10" i="11"/>
  <c r="E22" i="11"/>
  <c r="E21" i="11"/>
  <c r="AG5" i="11"/>
  <c r="E12" i="11"/>
  <c r="N139" i="7"/>
  <c r="N115" i="7"/>
  <c r="E13" i="11"/>
  <c r="E14" i="11"/>
  <c r="E17" i="11"/>
  <c r="N108" i="7"/>
  <c r="N176" i="7"/>
  <c r="E11" i="11"/>
  <c r="E6" i="11"/>
  <c r="E18" i="11"/>
  <c r="N63" i="7"/>
  <c r="N23" i="7"/>
  <c r="N147" i="7"/>
  <c r="N170" i="7"/>
  <c r="N57" i="7"/>
  <c r="N181" i="7"/>
  <c r="AZ7" i="15" l="1"/>
  <c r="AZ17" i="15"/>
  <c r="AZ10" i="15"/>
  <c r="AR7" i="15"/>
  <c r="AV10" i="15"/>
  <c r="AV11" i="15"/>
  <c r="AN12" i="15"/>
  <c r="BC12" i="15" s="1"/>
  <c r="AL12" i="15" s="1"/>
  <c r="AN13" i="15"/>
  <c r="BC13" i="15" s="1"/>
  <c r="AL13" i="15" s="1"/>
  <c r="AN14" i="15"/>
  <c r="BC14" i="15" s="1"/>
  <c r="AL14" i="15" s="1"/>
  <c r="AN18" i="15"/>
  <c r="BC18" i="15" s="1"/>
  <c r="AL18" i="15" s="1"/>
  <c r="AN9" i="15"/>
  <c r="BC9" i="15" s="1"/>
  <c r="AL9" i="15" s="1"/>
  <c r="AN16" i="15"/>
  <c r="BC16" i="15" s="1"/>
  <c r="AL16" i="15" s="1"/>
  <c r="AN11" i="15"/>
  <c r="BC11" i="15" s="1"/>
  <c r="AL11" i="15" s="1"/>
  <c r="AN20" i="15"/>
  <c r="BC20" i="15" s="1"/>
  <c r="AL20" i="15" s="1"/>
  <c r="AN23" i="15"/>
  <c r="BC23" i="15" s="1"/>
  <c r="AL23" i="15" s="1"/>
  <c r="AN19" i="15"/>
  <c r="BC19" i="15" s="1"/>
  <c r="AL19" i="15" s="1"/>
  <c r="AN22" i="15"/>
  <c r="BC22" i="15" s="1"/>
  <c r="AL22" i="15" s="1"/>
  <c r="AN15" i="15"/>
  <c r="BC15" i="15" s="1"/>
  <c r="AL15" i="15" s="1"/>
  <c r="AN25" i="15"/>
  <c r="BC25" i="15" s="1"/>
  <c r="AL25" i="15" s="1"/>
  <c r="AN7" i="15"/>
  <c r="BC7" i="15" s="1"/>
  <c r="AL7" i="15" s="1"/>
  <c r="AN6" i="15"/>
  <c r="BC6" i="15" s="1"/>
  <c r="AL6" i="15" s="1"/>
  <c r="AN24" i="15"/>
  <c r="BC24" i="15" s="1"/>
  <c r="AL24" i="15" s="1"/>
  <c r="AV7" i="15"/>
  <c r="AR8" i="15"/>
  <c r="AR18" i="15"/>
  <c r="AN8" i="15"/>
  <c r="BC8" i="15" s="1"/>
  <c r="AL8" i="15" s="1"/>
  <c r="AV17" i="15"/>
  <c r="AN17" i="15"/>
  <c r="BC17" i="15" s="1"/>
  <c r="AL17" i="15" s="1"/>
  <c r="J3" i="15"/>
  <c r="AI2" i="11"/>
  <c r="AG2" i="11" s="1"/>
  <c r="AG15" i="11"/>
  <c r="AG12" i="11"/>
  <c r="N197" i="7"/>
  <c r="E2" i="11"/>
  <c r="E1" i="11" s="1"/>
  <c r="AL3" i="15" l="1"/>
</calcChain>
</file>

<file path=xl/sharedStrings.xml><?xml version="1.0" encoding="utf-8"?>
<sst xmlns="http://schemas.openxmlformats.org/spreadsheetml/2006/main" count="11143" uniqueCount="1805">
  <si>
    <t>Area</t>
  </si>
  <si>
    <t>Address</t>
  </si>
  <si>
    <t>Angevine MS</t>
  </si>
  <si>
    <t>BVSD</t>
  </si>
  <si>
    <t>Linda</t>
  </si>
  <si>
    <t>Bales</t>
  </si>
  <si>
    <t>Jennifer</t>
  </si>
  <si>
    <t>jbales@me.com</t>
  </si>
  <si>
    <t>Casey MS</t>
  </si>
  <si>
    <t>Cahoon</t>
  </si>
  <si>
    <t>Geof</t>
  </si>
  <si>
    <t>geof@bocodems.org</t>
  </si>
  <si>
    <t>Hamilton</t>
  </si>
  <si>
    <t>William</t>
  </si>
  <si>
    <t>Smith</t>
  </si>
  <si>
    <t>Joel</t>
  </si>
  <si>
    <t>joel.b.smith@att.net</t>
  </si>
  <si>
    <t>Feeser</t>
  </si>
  <si>
    <t>Pat</t>
  </si>
  <si>
    <t>pat@bocodems.org</t>
  </si>
  <si>
    <t>Diefenderfer</t>
  </si>
  <si>
    <t>Gretchen</t>
  </si>
  <si>
    <t>gretchend@mac.com</t>
  </si>
  <si>
    <t>Altenbern</t>
  </si>
  <si>
    <t>Michael</t>
  </si>
  <si>
    <t>mhaltenbern@comcast.net</t>
  </si>
  <si>
    <t>Robert</t>
  </si>
  <si>
    <t>VACANT</t>
  </si>
  <si>
    <t>Louisville MS</t>
  </si>
  <si>
    <t>Lee</t>
  </si>
  <si>
    <t>Errickson</t>
  </si>
  <si>
    <t>Guy</t>
  </si>
  <si>
    <t>guycoma@yahoo.com</t>
  </si>
  <si>
    <t>Martin</t>
  </si>
  <si>
    <t>Layton</t>
  </si>
  <si>
    <t>Angelique</t>
  </si>
  <si>
    <t>angeliquelayton@gmail.com</t>
  </si>
  <si>
    <t>Brown</t>
  </si>
  <si>
    <t>Kyle</t>
  </si>
  <si>
    <t>kylemichaelbrown@gmail.com</t>
  </si>
  <si>
    <t>Nederland HS</t>
  </si>
  <si>
    <t>Nelson</t>
  </si>
  <si>
    <t>Allen</t>
  </si>
  <si>
    <t>alhnelson@aol.com</t>
  </si>
  <si>
    <t>Platt MS</t>
  </si>
  <si>
    <t>Fishman</t>
  </si>
  <si>
    <t>Neil</t>
  </si>
  <si>
    <t>nsftjb@comcast.net</t>
  </si>
  <si>
    <t>Southern Hills MS</t>
  </si>
  <si>
    <t>Francklyn</t>
  </si>
  <si>
    <t>Lilian</t>
  </si>
  <si>
    <t>Nova</t>
  </si>
  <si>
    <t>Kenneth</t>
  </si>
  <si>
    <t>kgnova9@mac.com</t>
  </si>
  <si>
    <t>David</t>
  </si>
  <si>
    <t>Erie MS</t>
  </si>
  <si>
    <t>SVVSD</t>
  </si>
  <si>
    <t>George</t>
  </si>
  <si>
    <t>Nancy</t>
  </si>
  <si>
    <t>eriedem681@gmail.com</t>
  </si>
  <si>
    <t>Longs Peak MS</t>
  </si>
  <si>
    <t>Malloy</t>
  </si>
  <si>
    <t>Sharon</t>
  </si>
  <si>
    <t>Partridge</t>
  </si>
  <si>
    <t>longmontkathy@gmail.com</t>
  </si>
  <si>
    <t>Wingard</t>
  </si>
  <si>
    <t>jwingard@q.com</t>
  </si>
  <si>
    <t>Karen</t>
  </si>
  <si>
    <t>Weis</t>
  </si>
  <si>
    <t>Gaythia</t>
  </si>
  <si>
    <t>gaythia@gmail.com</t>
  </si>
  <si>
    <t>Teal</t>
  </si>
  <si>
    <t>Carol</t>
  </si>
  <si>
    <t>carolteal1954@gmail.com</t>
  </si>
  <si>
    <t>Marilyn</t>
  </si>
  <si>
    <t>marilynsails@icloud.com</t>
  </si>
  <si>
    <t>Dirks</t>
  </si>
  <si>
    <t>Marisa</t>
  </si>
  <si>
    <t>Trail Ridge MS</t>
  </si>
  <si>
    <t>Mallette</t>
  </si>
  <si>
    <t>jenmallette@gmail.com</t>
  </si>
  <si>
    <t>McClain</t>
  </si>
  <si>
    <t>Lynette</t>
  </si>
  <si>
    <t>lynette.mcclain@gmail.com</t>
  </si>
  <si>
    <t>Johnson</t>
  </si>
  <si>
    <t>Jim</t>
  </si>
  <si>
    <t>Dawson</t>
  </si>
  <si>
    <t>Peter</t>
  </si>
  <si>
    <t>peter_dawson1@yahoo.com</t>
  </si>
  <si>
    <t>Boulder HS</t>
  </si>
  <si>
    <t>David Kline</t>
  </si>
  <si>
    <t>Fairview HS</t>
  </si>
  <si>
    <t>Gretchen Diefenderfer</t>
  </si>
  <si>
    <t>Angie Layton</t>
  </si>
  <si>
    <t>Niwot HS</t>
  </si>
  <si>
    <t>Lynette McClain</t>
  </si>
  <si>
    <t>Recap as of 1/20/2024</t>
  </si>
  <si>
    <t xml:space="preserve"> </t>
  </si>
  <si>
    <t>Totals</t>
  </si>
  <si>
    <t>Supersite</t>
  </si>
  <si>
    <t>AC Areas</t>
  </si>
  <si>
    <t>Region</t>
  </si>
  <si>
    <t># of Reg Dems</t>
  </si>
  <si>
    <t>Forecast of  Attendees</t>
  </si>
  <si>
    <t># of Pct's</t>
  </si>
  <si>
    <t>Pct #'s</t>
  </si>
  <si>
    <t>PCT #'s</t>
  </si>
  <si>
    <t># of Chairs</t>
  </si>
  <si>
    <t>Chair 1</t>
  </si>
  <si>
    <t>Chair Name</t>
  </si>
  <si>
    <t>Phone</t>
  </si>
  <si>
    <t>Email</t>
  </si>
  <si>
    <t>Chair 2</t>
  </si>
  <si>
    <t>Chair2 Name</t>
  </si>
  <si>
    <t>Chair 3</t>
  </si>
  <si>
    <t>Chair3 Name</t>
  </si>
  <si>
    <t>Chair 4</t>
  </si>
  <si>
    <t>chair 4 Name</t>
  </si>
  <si>
    <t>eMail</t>
  </si>
  <si>
    <t>Chair 5</t>
  </si>
  <si>
    <t>Chair 5 Name</t>
  </si>
  <si>
    <t xml:space="preserve">Allenspark Fire Station </t>
  </si>
  <si>
    <t xml:space="preserve">Mountains 3 </t>
  </si>
  <si>
    <t>Altona MS</t>
  </si>
  <si>
    <t>Longmont 2 &amp; 3</t>
  </si>
  <si>
    <t>New Vista</t>
  </si>
  <si>
    <t>Boulder 5</t>
  </si>
  <si>
    <t>Burlington Elementary</t>
  </si>
  <si>
    <t>Longmont 1</t>
  </si>
  <si>
    <t>Boulder 7 &amp; 8</t>
  </si>
  <si>
    <t>Centaurus HS</t>
  </si>
  <si>
    <t>Lafayette 1 &amp; 2</t>
  </si>
  <si>
    <t>Centennial MS</t>
  </si>
  <si>
    <t>Boulder 9 &amp; 10</t>
  </si>
  <si>
    <t>Eldorado K8</t>
  </si>
  <si>
    <t>Superior</t>
  </si>
  <si>
    <t>Erie 1</t>
  </si>
  <si>
    <t>Gold Hill School</t>
  </si>
  <si>
    <t>Mountains 2</t>
  </si>
  <si>
    <t>Jamestown School</t>
  </si>
  <si>
    <t>Longmont 6 &amp; 7</t>
  </si>
  <si>
    <t>Lyons Middle Senior</t>
  </si>
  <si>
    <t>Manhattan MS</t>
  </si>
  <si>
    <t>Boulder 4</t>
  </si>
  <si>
    <t>Monarch HS</t>
  </si>
  <si>
    <t>Louisville</t>
  </si>
  <si>
    <t>Mountains 1</t>
  </si>
  <si>
    <t>Boulder 11 &amp; GN1</t>
  </si>
  <si>
    <t>Boulder 1,2, &amp; 3</t>
  </si>
  <si>
    <t>Longmont 4 &amp; 5</t>
  </si>
  <si>
    <t>Ward Community Center</t>
  </si>
  <si>
    <t>`</t>
  </si>
  <si>
    <t>CONFIRMED</t>
  </si>
  <si>
    <t>APPROVED</t>
  </si>
  <si>
    <t>CONTRACT FINAL</t>
  </si>
  <si>
    <t>SD</t>
  </si>
  <si>
    <t>HD</t>
  </si>
  <si>
    <t>Sort</t>
  </si>
  <si>
    <t>Y</t>
  </si>
  <si>
    <t>audio equip final</t>
  </si>
  <si>
    <t>Boulder</t>
  </si>
  <si>
    <t>[18, 15]</t>
  </si>
  <si>
    <t>[10, 49]</t>
  </si>
  <si>
    <t>no audio needed</t>
  </si>
  <si>
    <t>Horizon K-8</t>
  </si>
  <si>
    <t>Boulder 3 &amp; 4</t>
  </si>
  <si>
    <t>[18]</t>
  </si>
  <si>
    <t>[10]</t>
  </si>
  <si>
    <t>audio equip</t>
  </si>
  <si>
    <t>[15, 18]</t>
  </si>
  <si>
    <t>[12, 10]</t>
  </si>
  <si>
    <t>[49, 10]</t>
  </si>
  <si>
    <t>Erie</t>
  </si>
  <si>
    <t>[17]</t>
  </si>
  <si>
    <t>[19]</t>
  </si>
  <si>
    <t>Gunbarrel-Niwot</t>
  </si>
  <si>
    <t>Amy find</t>
  </si>
  <si>
    <t>Lafayette</t>
  </si>
  <si>
    <t>[17, 18]</t>
  </si>
  <si>
    <t>[12]</t>
  </si>
  <si>
    <t>Longmont</t>
  </si>
  <si>
    <t>[11]</t>
  </si>
  <si>
    <t>[17, 15]</t>
  </si>
  <si>
    <t>[11, 49]</t>
  </si>
  <si>
    <t>Timberline K-8</t>
  </si>
  <si>
    <t>[15, 17]</t>
  </si>
  <si>
    <t>[19, 11]</t>
  </si>
  <si>
    <t>audio equip?</t>
  </si>
  <si>
    <t>Mountains</t>
  </si>
  <si>
    <t>[15]</t>
  </si>
  <si>
    <t>[49]</t>
  </si>
  <si>
    <t>[12, 49]</t>
  </si>
  <si>
    <t>Ward Town Hall</t>
  </si>
  <si>
    <t>[49, 12]</t>
  </si>
  <si>
    <t>supersite</t>
  </si>
  <si>
    <t>areas</t>
  </si>
  <si>
    <t>SDs</t>
  </si>
  <si>
    <t>HDs</t>
  </si>
  <si>
    <t>['MT-03']</t>
  </si>
  <si>
    <t>['LM-02', 'LM-03']</t>
  </si>
  <si>
    <t>['LM-01']</t>
  </si>
  <si>
    <t>['BO-08', 'BO-07', 'MT-02']</t>
  </si>
  <si>
    <t>['LF-01', 'LF-02']</t>
  </si>
  <si>
    <t>['BO-10', 'BO-09', 'MT-02']</t>
  </si>
  <si>
    <t>['SU-01']</t>
  </si>
  <si>
    <t>['ER-01']</t>
  </si>
  <si>
    <t>['MT-02']</t>
  </si>
  <si>
    <t>['LM-07', 'LM-06']</t>
  </si>
  <si>
    <t>['BO-01', 'BO-04', 'BO-03']</t>
  </si>
  <si>
    <t>['LV-01', 'LV-02']</t>
  </si>
  <si>
    <t>['MT-01']</t>
  </si>
  <si>
    <t>['BO-05']</t>
  </si>
  <si>
    <t>['BO-11', 'GN-01', 'BO-10']</t>
  </si>
  <si>
    <t>['BO-02', 'BO-03', 'BO-01']</t>
  </si>
  <si>
    <t>['LM-04', 'LM-05']</t>
  </si>
  <si>
    <t>** Only put names here - No Notes</t>
  </si>
  <si>
    <t>Put Chair Notes Here</t>
  </si>
  <si>
    <t>Put Venue Notes here</t>
  </si>
  <si>
    <t>Enter Only 1 Place</t>
  </si>
  <si>
    <t>precinct</t>
  </si>
  <si>
    <t>area_short</t>
  </si>
  <si>
    <t>AC</t>
  </si>
  <si>
    <t>SuperSite Chair</t>
  </si>
  <si>
    <t>precinctname</t>
  </si>
  <si>
    <t>PO</t>
  </si>
  <si>
    <t>cd</t>
  </si>
  <si>
    <t>hd</t>
  </si>
  <si>
    <t>sd</t>
  </si>
  <si>
    <t>dem voters</t>
  </si>
  <si>
    <t>Caucus Turnout Estimate</t>
  </si>
  <si>
    <t>Tally per location estimate</t>
  </si>
  <si>
    <t>City/Area</t>
  </si>
  <si>
    <t>SS  Chair Notes</t>
  </si>
  <si>
    <t>Venue notes</t>
  </si>
  <si>
    <t xml:space="preserve">Other Choice </t>
  </si>
  <si>
    <t>Other Choice</t>
  </si>
  <si>
    <t>School District</t>
  </si>
  <si>
    <t>Chair 6</t>
  </si>
  <si>
    <t>Allenspark</t>
  </si>
  <si>
    <t>MT-03</t>
  </si>
  <si>
    <t>Mountains-03</t>
  </si>
  <si>
    <t>Jen Wingard</t>
  </si>
  <si>
    <t>Gretchen - PO Jasmine Holan</t>
  </si>
  <si>
    <t>####</t>
  </si>
  <si>
    <t>1/5 Holan confirmed to be in Allenspark</t>
  </si>
  <si>
    <t>Allenspark Private Home</t>
  </si>
  <si>
    <t>private</t>
  </si>
  <si>
    <t>BO-05</t>
  </si>
  <si>
    <t>Boulder-05</t>
  </si>
  <si>
    <t>Michael Smith and Junie Joseph</t>
  </si>
  <si>
    <t>Michael Smith &amp; Bruce Norikane</t>
  </si>
  <si>
    <t>BO-08</t>
  </si>
  <si>
    <t>Boulder-08</t>
  </si>
  <si>
    <t>Molly Stuart</t>
  </si>
  <si>
    <t>Molly Stuart, David Kline, Geof Cahoon</t>
  </si>
  <si>
    <t>AW 12-28 LM//Carol called called and left message</t>
  </si>
  <si>
    <t>BO-07</t>
  </si>
  <si>
    <t>Boulder-07</t>
  </si>
  <si>
    <t>Geof Cahoon and David Kline</t>
  </si>
  <si>
    <t>BO-7</t>
  </si>
  <si>
    <t>Boulder-7</t>
  </si>
  <si>
    <t>MT-02</t>
  </si>
  <si>
    <t>Mountains-02</t>
  </si>
  <si>
    <t>AW 12-28 LM//(need to discuss with Gretchen about going down to town.)</t>
  </si>
  <si>
    <t>BO-09</t>
  </si>
  <si>
    <t>Boulder-09</t>
  </si>
  <si>
    <t>Pat Feeser</t>
  </si>
  <si>
    <t>Joel Smith, Mike Hart, Patricia Feeser</t>
  </si>
  <si>
    <t>BO-10</t>
  </si>
  <si>
    <t>Boulder-10</t>
  </si>
  <si>
    <t>Joel Smith</t>
  </si>
  <si>
    <t>BO-9</t>
  </si>
  <si>
    <t>Boulder-9</t>
  </si>
  <si>
    <t>Richard Valenty, see note</t>
  </si>
  <si>
    <t>AW 12-20, spoke with Richard and he wants to be at a school</t>
  </si>
  <si>
    <t>just west of town in foothills, go to town instead to GH</t>
  </si>
  <si>
    <t>EldoradoK8</t>
  </si>
  <si>
    <t>SU-01</t>
  </si>
  <si>
    <t>Superior-01</t>
  </si>
  <si>
    <t>Kitty Sargent</t>
  </si>
  <si>
    <t>Monarch K8</t>
  </si>
  <si>
    <t>ER-01</t>
  </si>
  <si>
    <t>Erie-01</t>
  </si>
  <si>
    <t>Lenore Kingston</t>
  </si>
  <si>
    <t>Nancy George, Pam Teixeria</t>
  </si>
  <si>
    <t>Niwot HS as closer than Erie HS</t>
  </si>
  <si>
    <t>Frasier</t>
  </si>
  <si>
    <t>BO-03</t>
  </si>
  <si>
    <t>Boulder-03</t>
  </si>
  <si>
    <t>Kenneth Nova</t>
  </si>
  <si>
    <t xml:space="preserve"> Candace Bowie &amp; Pete Dawson</t>
  </si>
  <si>
    <t>AW-LM 12-28.//Let Kenneth know 12-30 Added Pete Dawson - Candice in Pct# 842</t>
  </si>
  <si>
    <t>1/29 Moved from Platt to New Horizon</t>
  </si>
  <si>
    <t>Nearest Scool</t>
  </si>
  <si>
    <t>BO-04</t>
  </si>
  <si>
    <t>Boulder-04</t>
  </si>
  <si>
    <t>Guy Errickson</t>
  </si>
  <si>
    <t>AW-spoke with Guy and he confirmed this. 12/30 Added Dawson</t>
  </si>
  <si>
    <t>Guy said, "Mary Pettigrew said wants to meet at Manhatten MS"</t>
  </si>
  <si>
    <t>GoldHill</t>
  </si>
  <si>
    <t>Local Home</t>
  </si>
  <si>
    <t>Jamestown</t>
  </si>
  <si>
    <t>1/22 Becky Martin - Updated Location to Ward Town Hall</t>
  </si>
  <si>
    <t>LF-01</t>
  </si>
  <si>
    <t>Lafayette-01</t>
  </si>
  <si>
    <t>Orphan</t>
  </si>
  <si>
    <t>Jennifer Bales</t>
  </si>
  <si>
    <t>Timm confirmed Jennifer via email 12-27</t>
  </si>
  <si>
    <t>Timm confirmed Jennifer via email 12-28</t>
  </si>
  <si>
    <t>Timm confirmed Jennifer via email 12-29</t>
  </si>
  <si>
    <t>Timm confirmed Jennifer via email 12-30</t>
  </si>
  <si>
    <t>Timm confirmed Jennifer via email 12-31</t>
  </si>
  <si>
    <t>Timm confirmed Jennifer via email 12-32</t>
  </si>
  <si>
    <t>Timm confirmed Jennifer via email 12-33</t>
  </si>
  <si>
    <t>Timm confirmed Jennifer via email 12-34</t>
  </si>
  <si>
    <t>Timm confirmed Jennifer via email 12-35</t>
  </si>
  <si>
    <t>LF-02</t>
  </si>
  <si>
    <t>Lafayette-02</t>
  </si>
  <si>
    <t>Timm confirmed Jennifer via email 12-36</t>
  </si>
  <si>
    <t>Timm confirmed Jennifer via email 12-37</t>
  </si>
  <si>
    <t>Timm confirmed Jennifer via email 12-38</t>
  </si>
  <si>
    <t>Timm confirmed Jennifer via email 12-39</t>
  </si>
  <si>
    <t>Timm confirmed Jennifer via email 12-40</t>
  </si>
  <si>
    <t>Timm confirmed Jennifer via email 12-41</t>
  </si>
  <si>
    <t>Timm confirmed Jennifer via email 12-42</t>
  </si>
  <si>
    <t>Timm confirmed Jennifer via email 12-43</t>
  </si>
  <si>
    <t>Timm confirmed Jennifer via email 12-44</t>
  </si>
  <si>
    <t>LV-01</t>
  </si>
  <si>
    <t>Louisville-01</t>
  </si>
  <si>
    <t>Angie Layton, Linda Lee</t>
  </si>
  <si>
    <t>Pat said Angie doesn't need a co-chair</t>
  </si>
  <si>
    <t>1/28 Monarch HS not Monarch K8</t>
  </si>
  <si>
    <t>LV-02</t>
  </si>
  <si>
    <t>Louisville-02</t>
  </si>
  <si>
    <t>Lyons</t>
  </si>
  <si>
    <t>Westview MS</t>
  </si>
  <si>
    <t>Manhatten MS</t>
  </si>
  <si>
    <t>confirmed as of 12-28 by Carol that Guy and Katie will co-chair</t>
  </si>
  <si>
    <t>BO-01</t>
  </si>
  <si>
    <t>Boulder-01</t>
  </si>
  <si>
    <t>Lili Franklyn</t>
  </si>
  <si>
    <t>Guy Errickson and Katie Malzbender, Candace Bowie &amp; Pete Dawson</t>
  </si>
  <si>
    <t>1/25 Manhattan replaced by Platt MS</t>
  </si>
  <si>
    <t>Horizon K8</t>
  </si>
  <si>
    <t>Nederland</t>
  </si>
  <si>
    <t>MT-01</t>
  </si>
  <si>
    <t>Mountains-01</t>
  </si>
  <si>
    <t>Allen Nelson</t>
  </si>
  <si>
    <t>Lisa Lesniak</t>
  </si>
  <si>
    <t>Private Home</t>
  </si>
  <si>
    <t>Community Cntr</t>
  </si>
  <si>
    <t>Niwot</t>
  </si>
  <si>
    <t>GN-01</t>
  </si>
  <si>
    <t>Gunbarrel-Niwot-01</t>
  </si>
  <si>
    <t>Mike Altenbern</t>
  </si>
  <si>
    <t xml:space="preserve">Mike Altenbern, SusanWinter and Mark Flett </t>
  </si>
  <si>
    <t>1/29 Heatherwood will replace Niwot if needed</t>
  </si>
  <si>
    <t>Heatherwood</t>
  </si>
  <si>
    <t>SVSSD</t>
  </si>
  <si>
    <t>Susan Winter</t>
  </si>
  <si>
    <t>BO-11</t>
  </si>
  <si>
    <t>Boulder-11</t>
  </si>
  <si>
    <t>Mark Flett</t>
  </si>
  <si>
    <t>Mike and David Markham</t>
  </si>
  <si>
    <t>12-22-23 AW--is now in Mark Flett's AC area per Joel S.</t>
  </si>
  <si>
    <t>Ken Nova, Lili Franklyn, Neil Fishman</t>
  </si>
  <si>
    <t>BO-02</t>
  </si>
  <si>
    <t>Boulder-02</t>
  </si>
  <si>
    <t>Neil Fishman</t>
  </si>
  <si>
    <t>Longmont 01 South East</t>
  </si>
  <si>
    <t>LM-01</t>
  </si>
  <si>
    <t>Longmont-01</t>
  </si>
  <si>
    <t>Kendra Appleman Eastvedt</t>
  </si>
  <si>
    <t>Kendra Appleman Eastvedt and Greg and Erin</t>
  </si>
  <si>
    <t>AW-updated Kendra's group to this location on 12-28</t>
  </si>
  <si>
    <t>Altona Ms</t>
  </si>
  <si>
    <t>Longmont 02 South West</t>
  </si>
  <si>
    <t>LM-02</t>
  </si>
  <si>
    <t>Longmont-02</t>
  </si>
  <si>
    <t>Gaythia Weis</t>
  </si>
  <si>
    <t>Gaythia Weis, Shari Malloy,Marilyn Hughes</t>
  </si>
  <si>
    <t>12/30 - Changed SS  from Weis &amp; Teal</t>
  </si>
  <si>
    <t>AW-Altona--10 classrooms w/4 in the Commons</t>
  </si>
  <si>
    <t>Longmont 03 Central</t>
  </si>
  <si>
    <t>LM-03</t>
  </si>
  <si>
    <t>Longmont-03</t>
  </si>
  <si>
    <t>Shari Malloy</t>
  </si>
  <si>
    <t>12/20 - Changed from Malloy &amp; M Hughes</t>
  </si>
  <si>
    <t>Longmont 04 North East</t>
  </si>
  <si>
    <t>LM-05</t>
  </si>
  <si>
    <t>Longmont-05</t>
  </si>
  <si>
    <t>Lynne McNamara , Marcy Stras,Lynette McClain,Virginia Carlson</t>
  </si>
  <si>
    <t>12/30  Added Kathy Partridge &amp; Julie Dadone, 1/20 Drop Burger add Stras</t>
  </si>
  <si>
    <t>1/24 - Trailridge replaced by Timberline K-8</t>
  </si>
  <si>
    <t>Skyline HS</t>
  </si>
  <si>
    <t>Longmont HS</t>
  </si>
  <si>
    <t>LM-06</t>
  </si>
  <si>
    <t>Longmont-06</t>
  </si>
  <si>
    <t>Kathy Partridge</t>
  </si>
  <si>
    <t>Marisa Dirks, Stan Gelb, Beth Utton, Jonthan Singer?, Julie Dadone</t>
  </si>
  <si>
    <t>Marisa Dirks &amp; Stan Gelb &amp; Beth Utton -1/28 Dropped Julie Dadone</t>
  </si>
  <si>
    <t>Marisa Dirks &amp; Stan Gelb &amp; Beth Utton</t>
  </si>
  <si>
    <t>Longmont 05 North Central</t>
  </si>
  <si>
    <t>LM-04</t>
  </si>
  <si>
    <t>Longmont-04</t>
  </si>
  <si>
    <t>Lynne McNamara</t>
  </si>
  <si>
    <t>12 classrooms plus commons</t>
  </si>
  <si>
    <t>Longmont 06 North West</t>
  </si>
  <si>
    <t>Longmont 07 North &amp; County</t>
  </si>
  <si>
    <t>LM-07</t>
  </si>
  <si>
    <t>Longmont-07</t>
  </si>
  <si>
    <t>Marisa Dirks</t>
  </si>
  <si>
    <t>12/30 Added, Dirks, Gelb &amp; Utton</t>
  </si>
  <si>
    <t>Full Precinct</t>
  </si>
  <si>
    <t>Short Pct#</t>
  </si>
  <si>
    <t>CD</t>
  </si>
  <si>
    <t>SS</t>
  </si>
  <si>
    <t>Delegates</t>
  </si>
  <si>
    <t xml:space="preserve"> PC Chair Name</t>
  </si>
  <si>
    <t>PC Chair Phone</t>
  </si>
  <si>
    <t>PC Secretary Name</t>
  </si>
  <si>
    <t>PC Secretary Phone</t>
  </si>
  <si>
    <t>Name</t>
  </si>
  <si>
    <t>Cphone</t>
  </si>
  <si>
    <t>VANID</t>
  </si>
  <si>
    <t>StateVoterID</t>
  </si>
  <si>
    <t xml:space="preserve">22Pct# </t>
  </si>
  <si>
    <t>Last</t>
  </si>
  <si>
    <t>First</t>
  </si>
  <si>
    <t>Mid</t>
  </si>
  <si>
    <t>Suf</t>
  </si>
  <si>
    <t>Cell Phone</t>
  </si>
  <si>
    <t>PreferredEmail</t>
  </si>
  <si>
    <t>PersonalEmail</t>
  </si>
  <si>
    <t>Caucus_Chair</t>
  </si>
  <si>
    <t>Caucus_Secretary</t>
  </si>
  <si>
    <t>Abreu</t>
  </si>
  <si>
    <t>michaelabreu8@gmail.com</t>
  </si>
  <si>
    <t>No</t>
  </si>
  <si>
    <t>Adamson</t>
  </si>
  <si>
    <t>Lois</t>
  </si>
  <si>
    <t>l1adamson@earthlink.net</t>
  </si>
  <si>
    <t>Yes</t>
  </si>
  <si>
    <t>Anderson</t>
  </si>
  <si>
    <t>danderson569@gmail.com</t>
  </si>
  <si>
    <t>Bellas</t>
  </si>
  <si>
    <t>Susan</t>
  </si>
  <si>
    <t>MARIE</t>
  </si>
  <si>
    <t>bellas64@hotmail.com</t>
  </si>
  <si>
    <t>Blum</t>
  </si>
  <si>
    <t>Erikia</t>
  </si>
  <si>
    <t>erika.blum2@gmail.com</t>
  </si>
  <si>
    <t>Borstein</t>
  </si>
  <si>
    <t>Debra</t>
  </si>
  <si>
    <t>Jan</t>
  </si>
  <si>
    <t>djborstein@gmail.com</t>
  </si>
  <si>
    <t>Braddock</t>
  </si>
  <si>
    <t>Cynthia</t>
  </si>
  <si>
    <t>cbraddock@bouldercounty.org</t>
  </si>
  <si>
    <t>Bray</t>
  </si>
  <si>
    <t>Rachael</t>
  </si>
  <si>
    <t>bray_rachael@yahoo.com</t>
  </si>
  <si>
    <t>Brothers</t>
  </si>
  <si>
    <t>Joanne</t>
  </si>
  <si>
    <t>Margaret</t>
  </si>
  <si>
    <t>hb789498@indra.com</t>
  </si>
  <si>
    <t>Leslie</t>
  </si>
  <si>
    <t>Jo</t>
  </si>
  <si>
    <t>kentandleslie@msn.com</t>
  </si>
  <si>
    <t>Richard</t>
  </si>
  <si>
    <t>Kent</t>
  </si>
  <si>
    <t>kent.brown@q.com</t>
  </si>
  <si>
    <t>Bryson</t>
  </si>
  <si>
    <t>Timm</t>
  </si>
  <si>
    <t>Timm@bocodems.org</t>
  </si>
  <si>
    <t>timm.bryson@gmail.com</t>
  </si>
  <si>
    <t>Burchell</t>
  </si>
  <si>
    <t>Alison</t>
  </si>
  <si>
    <t>burchell.alison@gmail.com</t>
  </si>
  <si>
    <t>Campbell</t>
  </si>
  <si>
    <t>Ann</t>
  </si>
  <si>
    <t>Ryan</t>
  </si>
  <si>
    <t>ann.campbell@adams12.org</t>
  </si>
  <si>
    <t>Caragol</t>
  </si>
  <si>
    <t>Blickhahn</t>
  </si>
  <si>
    <t>susie_caragol@comcast.net</t>
  </si>
  <si>
    <t>Carlson</t>
  </si>
  <si>
    <t>Catherine</t>
  </si>
  <si>
    <t>cwildwest@gmail.com</t>
  </si>
  <si>
    <t>Carsey</t>
  </si>
  <si>
    <t>Eben</t>
  </si>
  <si>
    <t>ecarsey@comcast.net</t>
  </si>
  <si>
    <t>Chapman</t>
  </si>
  <si>
    <t>michaeljchapman@gmail.com</t>
  </si>
  <si>
    <t>Clark</t>
  </si>
  <si>
    <t>Kathleen</t>
  </si>
  <si>
    <t>Alice</t>
  </si>
  <si>
    <t>kathyaclarkiowa@gmail.com</t>
  </si>
  <si>
    <t>Joanna</t>
  </si>
  <si>
    <t>joannabclark.jbc@gmail.com</t>
  </si>
  <si>
    <t>Laura</t>
  </si>
  <si>
    <t>Kay Fisher</t>
  </si>
  <si>
    <t>Laurafisherclark@gmail.com</t>
  </si>
  <si>
    <t>Cohen</t>
  </si>
  <si>
    <t>Barbralu</t>
  </si>
  <si>
    <t>blu@boulder.net</t>
  </si>
  <si>
    <t>Collard</t>
  </si>
  <si>
    <t>Sue</t>
  </si>
  <si>
    <t>suecollard1@gmail.com</t>
  </si>
  <si>
    <t>Commins</t>
  </si>
  <si>
    <t>nancylcommins@yahoo.com</t>
  </si>
  <si>
    <t>Cooley</t>
  </si>
  <si>
    <t>Katharine</t>
  </si>
  <si>
    <t>Marion</t>
  </si>
  <si>
    <t>KateCooley@gmail.com</t>
  </si>
  <si>
    <t>Cowan</t>
  </si>
  <si>
    <t>Benjamin</t>
  </si>
  <si>
    <t>ben@bencowan.org</t>
  </si>
  <si>
    <t>Crites Carloto</t>
  </si>
  <si>
    <t>Kim</t>
  </si>
  <si>
    <t>kimcarlotorealtor@gmail.com</t>
  </si>
  <si>
    <t>Cummings</t>
  </si>
  <si>
    <t>Stuart</t>
  </si>
  <si>
    <t>Lawrence</t>
  </si>
  <si>
    <t>steweyc@gmail.com</t>
  </si>
  <si>
    <t>Dadone</t>
  </si>
  <si>
    <t>Julie</t>
  </si>
  <si>
    <t>Davidson</t>
  </si>
  <si>
    <t>Paul</t>
  </si>
  <si>
    <t>robertdav0628@gmail.com</t>
  </si>
  <si>
    <t>Megan</t>
  </si>
  <si>
    <t>Renee</t>
  </si>
  <si>
    <t>megan.dawson@gmail.com</t>
  </si>
  <si>
    <t>Deall</t>
  </si>
  <si>
    <t>Jeremy</t>
  </si>
  <si>
    <t>jdeall@comcast.net</t>
  </si>
  <si>
    <t>Devaud</t>
  </si>
  <si>
    <t>Genevieve</t>
  </si>
  <si>
    <t>jenny.devaud@gmail.com</t>
  </si>
  <si>
    <t>Dickson</t>
  </si>
  <si>
    <t>Rebecca</t>
  </si>
  <si>
    <t>rebecca.dickson@comcast.net</t>
  </si>
  <si>
    <t>Dimmick</t>
  </si>
  <si>
    <t>jim@jimdimmick.com</t>
  </si>
  <si>
    <t>Duffy</t>
  </si>
  <si>
    <t>mkduffy2@comcast.net</t>
  </si>
  <si>
    <t>mkduffy12@gmail.com</t>
  </si>
  <si>
    <t>Earl</t>
  </si>
  <si>
    <t>Harrison</t>
  </si>
  <si>
    <t>Porter</t>
  </si>
  <si>
    <t>Harrison@harrisonforlongmont.com</t>
  </si>
  <si>
    <t>harrison.earl@gmail.com</t>
  </si>
  <si>
    <t>Eastvedt</t>
  </si>
  <si>
    <t>Gregory</t>
  </si>
  <si>
    <t>Alan</t>
  </si>
  <si>
    <t>gregory.eastvedt@gmail.com</t>
  </si>
  <si>
    <t>Erin</t>
  </si>
  <si>
    <t>erin.eastvedt@gmail.com</t>
  </si>
  <si>
    <t>Edelman</t>
  </si>
  <si>
    <t>susan.s.edelman@gmail.com</t>
  </si>
  <si>
    <t>Elliott</t>
  </si>
  <si>
    <t>Jennie</t>
  </si>
  <si>
    <t>jennie_e823@yahoo.com</t>
  </si>
  <si>
    <t>Ensign</t>
  </si>
  <si>
    <t>Wesley</t>
  </si>
  <si>
    <t>dwensign@gmail.com</t>
  </si>
  <si>
    <t>Espy</t>
  </si>
  <si>
    <t>Sean</t>
  </si>
  <si>
    <t>Patrick</t>
  </si>
  <si>
    <t>spespy27@yahoo.com</t>
  </si>
  <si>
    <t>Faltynski</t>
  </si>
  <si>
    <t>Mary</t>
  </si>
  <si>
    <t>mfaltynski@yahoo.com</t>
  </si>
  <si>
    <t>Fellenbaum</t>
  </si>
  <si>
    <t>Charles</t>
  </si>
  <si>
    <t>charlie@charlief.com</t>
  </si>
  <si>
    <t>Fields</t>
  </si>
  <si>
    <t>Diana</t>
  </si>
  <si>
    <t>C</t>
  </si>
  <si>
    <t>dianacfields@gmail.com</t>
  </si>
  <si>
    <t>Steven</t>
  </si>
  <si>
    <t>NSFTJB@COMCAST.NET</t>
  </si>
  <si>
    <t>Fricklas</t>
  </si>
  <si>
    <t>fricklas@gmail.com</t>
  </si>
  <si>
    <t>Gallon</t>
  </si>
  <si>
    <t>Illana</t>
  </si>
  <si>
    <t>Z</t>
  </si>
  <si>
    <t>zhenyag@comcast.net</t>
  </si>
  <si>
    <t>Gebhart</t>
  </si>
  <si>
    <t>Virginia</t>
  </si>
  <si>
    <t>vgebhartk@gmail.com</t>
  </si>
  <si>
    <t>Gelb</t>
  </si>
  <si>
    <t>Stan</t>
  </si>
  <si>
    <t>Stan@bocodems.org</t>
  </si>
  <si>
    <t>stangelb@sisna.com</t>
  </si>
  <si>
    <t>Gerding</t>
  </si>
  <si>
    <t>Shelly</t>
  </si>
  <si>
    <t>D</t>
  </si>
  <si>
    <t>shelgerding4@gmail.com</t>
  </si>
  <si>
    <t>Gilbert</t>
  </si>
  <si>
    <t>jetlagjoel@aol.com</t>
  </si>
  <si>
    <t>Gilman</t>
  </si>
  <si>
    <t>Sally</t>
  </si>
  <si>
    <t>Louise</t>
  </si>
  <si>
    <t>sally@rockandresole.com</t>
  </si>
  <si>
    <t>Glessner</t>
  </si>
  <si>
    <t>Holly</t>
  </si>
  <si>
    <t>hollygless@comcast.net</t>
  </si>
  <si>
    <t>Gray</t>
  </si>
  <si>
    <t>Crystal</t>
  </si>
  <si>
    <t>graycrystal@comcast.net</t>
  </si>
  <si>
    <t>Doug</t>
  </si>
  <si>
    <t>hamilton7579@gmail.com</t>
  </si>
  <si>
    <t>Harms</t>
  </si>
  <si>
    <t>Katrina</t>
  </si>
  <si>
    <t>katrina@katrinaharms.com</t>
  </si>
  <si>
    <t>Harris</t>
  </si>
  <si>
    <t>Lisa</t>
  </si>
  <si>
    <t>Marie</t>
  </si>
  <si>
    <t>lisamarieharris@hotmail.com</t>
  </si>
  <si>
    <t>Hart</t>
  </si>
  <si>
    <t>Hart@bocodems.org</t>
  </si>
  <si>
    <t>mjhart01@gmail.com</t>
  </si>
  <si>
    <t>Hauserman</t>
  </si>
  <si>
    <t>earlhauserman@me.com</t>
  </si>
  <si>
    <t>Hueftle</t>
  </si>
  <si>
    <t>Anita</t>
  </si>
  <si>
    <t>anita.wagner.hueftle@gmail.com</t>
  </si>
  <si>
    <t>hughes</t>
  </si>
  <si>
    <t>marilyn</t>
  </si>
  <si>
    <t>Gibbs</t>
  </si>
  <si>
    <t>Hullinghorst</t>
  </si>
  <si>
    <t>S</t>
  </si>
  <si>
    <t>bhullinghorst@gmail.com</t>
  </si>
  <si>
    <t>Jaehning</t>
  </si>
  <si>
    <t>Judith</t>
  </si>
  <si>
    <t>judith.jaehning@gmail.com</t>
  </si>
  <si>
    <t>Jones</t>
  </si>
  <si>
    <t>Elise</t>
  </si>
  <si>
    <t>elise@elisejones.org</t>
  </si>
  <si>
    <t>Kingston</t>
  </si>
  <si>
    <t>Lenore</t>
  </si>
  <si>
    <t>Devorah</t>
  </si>
  <si>
    <t>golden.paws@hotmail.com</t>
  </si>
  <si>
    <t>Kline</t>
  </si>
  <si>
    <t>lackbeard.kline@gmail.com</t>
  </si>
  <si>
    <t>Knowles</t>
  </si>
  <si>
    <t>Mia</t>
  </si>
  <si>
    <t>Marie@mfkcomms.com</t>
  </si>
  <si>
    <t>Kochanski</t>
  </si>
  <si>
    <t>A</t>
  </si>
  <si>
    <t>karen7446@hotmail.com</t>
  </si>
  <si>
    <t>Koslov</t>
  </si>
  <si>
    <t>Wilma</t>
  </si>
  <si>
    <t>judykoslov@yahoo.com</t>
  </si>
  <si>
    <t>Krantz</t>
  </si>
  <si>
    <t>Tamar</t>
  </si>
  <si>
    <t>tamarkrantz@gmail.com</t>
  </si>
  <si>
    <t>Kulikauskas</t>
  </si>
  <si>
    <t>Joseph</t>
  </si>
  <si>
    <t>Adam</t>
  </si>
  <si>
    <t>joe.kuli@yahoo.com</t>
  </si>
  <si>
    <t>Kumin</t>
  </si>
  <si>
    <t>Jesse</t>
  </si>
  <si>
    <t>jkumin@comcast.com</t>
  </si>
  <si>
    <t>Landry</t>
  </si>
  <si>
    <t>Celeste</t>
  </si>
  <si>
    <t>chlandry@earthlink.net</t>
  </si>
  <si>
    <t>Larsen</t>
  </si>
  <si>
    <t>Kristopher</t>
  </si>
  <si>
    <t>modernviking@gmail.com</t>
  </si>
  <si>
    <t>larsen.kristopher@gmail.com</t>
  </si>
  <si>
    <t>Levison</t>
  </si>
  <si>
    <t>Sarah</t>
  </si>
  <si>
    <t>Sulka</t>
  </si>
  <si>
    <t>sarahlevison@yahoo.com</t>
  </si>
  <si>
    <t>Lotspeich</t>
  </si>
  <si>
    <t>Allison</t>
  </si>
  <si>
    <t>allison.lotspeich@gmail.com</t>
  </si>
  <si>
    <t>Lowry</t>
  </si>
  <si>
    <t>Lyn</t>
  </si>
  <si>
    <t>lynlowry9@gmail.com</t>
  </si>
  <si>
    <t>Macomber</t>
  </si>
  <si>
    <t>Kelli</t>
  </si>
  <si>
    <t>Darlene</t>
  </si>
  <si>
    <t>unibow@hotmail.com</t>
  </si>
  <si>
    <t>Martinek</t>
  </si>
  <si>
    <t>Becky</t>
  </si>
  <si>
    <t>Leavell</t>
  </si>
  <si>
    <t>Becky.martinek15674@gmail.com</t>
  </si>
  <si>
    <t>Matthews</t>
  </si>
  <si>
    <t>Gail</t>
  </si>
  <si>
    <t>Forrest</t>
  </si>
  <si>
    <t>gailfmatthews@gmail.com</t>
  </si>
  <si>
    <t>Ilyeen</t>
  </si>
  <si>
    <t>kimatthews@verizon.net</t>
  </si>
  <si>
    <t>McGoogan</t>
  </si>
  <si>
    <t>jmcgoogan@yahoo.com</t>
  </si>
  <si>
    <t>Caroline</t>
  </si>
  <si>
    <t>L</t>
  </si>
  <si>
    <t>carolinemichael075@gmail.com</t>
  </si>
  <si>
    <t>Middleton</t>
  </si>
  <si>
    <t>Adrianne</t>
  </si>
  <si>
    <t>adrianne@bluewavepostcards.org</t>
  </si>
  <si>
    <t>Mortimer</t>
  </si>
  <si>
    <t>rmortime@haverford.edu</t>
  </si>
  <si>
    <t>Myers</t>
  </si>
  <si>
    <t>Kate</t>
  </si>
  <si>
    <t>K8pets@live.com</t>
  </si>
  <si>
    <t>Jean</t>
  </si>
  <si>
    <t>jancomm@yahoo.com</t>
  </si>
  <si>
    <t>Novello</t>
  </si>
  <si>
    <t>Nicolas</t>
  </si>
  <si>
    <t>Christian</t>
  </si>
  <si>
    <t>nicolas@bocodems.org</t>
  </si>
  <si>
    <t>Owens</t>
  </si>
  <si>
    <t>lemonysarah@gmail.com</t>
  </si>
  <si>
    <t>Parcher</t>
  </si>
  <si>
    <t>Don</t>
  </si>
  <si>
    <t>don@checklists.com</t>
  </si>
  <si>
    <t>pettigrew</t>
  </si>
  <si>
    <t>mary</t>
  </si>
  <si>
    <t>mary@ampersand-design.com</t>
  </si>
  <si>
    <t>Pevec</t>
  </si>
  <si>
    <t>lfpevec@gmail.com</t>
  </si>
  <si>
    <t>Piller</t>
  </si>
  <si>
    <t>Rose</t>
  </si>
  <si>
    <t>rosie.piller@gmail.com</t>
  </si>
  <si>
    <t>Reynolds-Smith</t>
  </si>
  <si>
    <t>Anne</t>
  </si>
  <si>
    <t>scenesfromsmithpark@gmail.com</t>
  </si>
  <si>
    <t>madthorn@aol.com</t>
  </si>
  <si>
    <t>Ridge</t>
  </si>
  <si>
    <t>Heather</t>
  </si>
  <si>
    <t>Heather.Ridge.Co@gmail.com</t>
  </si>
  <si>
    <t>Rochman</t>
  </si>
  <si>
    <t>Wendy</t>
  </si>
  <si>
    <t>wendyrochman@gmail.com</t>
  </si>
  <si>
    <t>Rodriguez</t>
  </si>
  <si>
    <t>Ray</t>
  </si>
  <si>
    <t>John</t>
  </si>
  <si>
    <t>rayjohnrodriguez@gmail.com</t>
  </si>
  <si>
    <t>Schaller</t>
  </si>
  <si>
    <t>Thomas</t>
  </si>
  <si>
    <t>III</t>
  </si>
  <si>
    <t>robert@ontosmedia.com</t>
  </si>
  <si>
    <t>Schwiesow</t>
  </si>
  <si>
    <t>mschwiesow@msn.com</t>
  </si>
  <si>
    <t>Ronald</t>
  </si>
  <si>
    <t>nanron62@msn.com</t>
  </si>
  <si>
    <t>Shannon</t>
  </si>
  <si>
    <t>Bradley</t>
  </si>
  <si>
    <t>Ross</t>
  </si>
  <si>
    <t>bradleyrshannon@gmail.com</t>
  </si>
  <si>
    <t>Siedler</t>
  </si>
  <si>
    <t>Jena</t>
  </si>
  <si>
    <t>jenasiedler@gmail.com</t>
  </si>
  <si>
    <t>Singer</t>
  </si>
  <si>
    <t>Jonathan</t>
  </si>
  <si>
    <t>singerjonathan@yahoo.com</t>
  </si>
  <si>
    <t>Spillman</t>
  </si>
  <si>
    <t>Diane</t>
  </si>
  <si>
    <t>jenspillman@gmail.com</t>
  </si>
  <si>
    <t>Stonington</t>
  </si>
  <si>
    <t>Janet</t>
  </si>
  <si>
    <t>valstone2@yahoo.com</t>
  </si>
  <si>
    <t>Sullivan</t>
  </si>
  <si>
    <t>Steve</t>
  </si>
  <si>
    <t>steve.sullivan@mathcom.com</t>
  </si>
  <si>
    <t>Sydoriak</t>
  </si>
  <si>
    <t>Chris</t>
  </si>
  <si>
    <t>syd.chris@gmail.com</t>
  </si>
  <si>
    <t>Tafel</t>
  </si>
  <si>
    <t>Greg</t>
  </si>
  <si>
    <t>tafelmarygreg@msn.com</t>
  </si>
  <si>
    <t>Thiem</t>
  </si>
  <si>
    <t>Claudia</t>
  </si>
  <si>
    <t>thiem.claudia@gmail.com</t>
  </si>
  <si>
    <t>Thornbury</t>
  </si>
  <si>
    <t>Amy</t>
  </si>
  <si>
    <t>amythorn100@gmail.com</t>
  </si>
  <si>
    <t>Valette</t>
  </si>
  <si>
    <t>Dalton</t>
  </si>
  <si>
    <t>daltonvalette@gmail.com</t>
  </si>
  <si>
    <t>Vernon</t>
  </si>
  <si>
    <t>Dorothy</t>
  </si>
  <si>
    <t>Linde</t>
  </si>
  <si>
    <t>dorothyblue@gmail.com</t>
  </si>
  <si>
    <t>Vink</t>
  </si>
  <si>
    <t>Debby</t>
  </si>
  <si>
    <t>Shapiro</t>
  </si>
  <si>
    <t>debvink@gmail.com</t>
  </si>
  <si>
    <t>Weinstein</t>
  </si>
  <si>
    <t>Amy@bocodems.org</t>
  </si>
  <si>
    <t>amy@amyweinstein.com</t>
  </si>
  <si>
    <t>Lorraine</t>
  </si>
  <si>
    <t>lorraine.m.weis@gmail.com</t>
  </si>
  <si>
    <t>Wienholt</t>
  </si>
  <si>
    <t>Gerard</t>
  </si>
  <si>
    <t>gerry@yogapod.com</t>
  </si>
  <si>
    <t>Wild</t>
  </si>
  <si>
    <t>Theodore</t>
  </si>
  <si>
    <t>lordwild@hotmail.com</t>
  </si>
  <si>
    <t>Wilder</t>
  </si>
  <si>
    <t>mhouseweart@yahoo.com</t>
  </si>
  <si>
    <t>Wilson</t>
  </si>
  <si>
    <t>kenwilsonaux@gmail.com</t>
  </si>
  <si>
    <t>Winter</t>
  </si>
  <si>
    <t>Susan@bocodems.org</t>
  </si>
  <si>
    <t>Woods</t>
  </si>
  <si>
    <t>Larry</t>
  </si>
  <si>
    <t>larrywoods@usa.net</t>
  </si>
  <si>
    <t>Yerger</t>
  </si>
  <si>
    <t>sallyyerger@comcast.net</t>
  </si>
  <si>
    <t>Zezula</t>
  </si>
  <si>
    <t>Vivian</t>
  </si>
  <si>
    <t>J</t>
  </si>
  <si>
    <t>vivze1@yahoo.com</t>
  </si>
  <si>
    <t>Venue Changes</t>
  </si>
  <si>
    <t>Bruce</t>
  </si>
  <si>
    <t>New Horizon K-8 - what precincts?</t>
  </si>
  <si>
    <t>Boulder High - replaced by New Vista</t>
  </si>
  <si>
    <t>24_SS_Chair_(Public)</t>
  </si>
  <si>
    <t>24_SS_CoChair_(Public)</t>
  </si>
  <si>
    <t>location</t>
  </si>
  <si>
    <t>mike@bocodems.org</t>
  </si>
  <si>
    <t>x</t>
  </si>
  <si>
    <t>Appelman-Eastvedt</t>
  </si>
  <si>
    <t>Kendra</t>
  </si>
  <si>
    <t>Kay</t>
  </si>
  <si>
    <t>kendra.eastvedt@gmail.com</t>
  </si>
  <si>
    <t>Baer</t>
  </si>
  <si>
    <t>Rachel</t>
  </si>
  <si>
    <t>heatherbaer331@gmail.com</t>
  </si>
  <si>
    <t>Bodinger</t>
  </si>
  <si>
    <t>judi@bocodems.org</t>
  </si>
  <si>
    <t>jbodinger@gmail.com</t>
  </si>
  <si>
    <t>Bowie</t>
  </si>
  <si>
    <t>Candace</t>
  </si>
  <si>
    <t>Candace@bocodems.org</t>
  </si>
  <si>
    <t>Burger</t>
  </si>
  <si>
    <t>Micheline</t>
  </si>
  <si>
    <t>mzburger08@gmail.com</t>
  </si>
  <si>
    <t>geof@indra.com</t>
  </si>
  <si>
    <t>v.carlson@comcast.net</t>
  </si>
  <si>
    <t>Peter_Dawson1@yahoo.com</t>
  </si>
  <si>
    <t>Liliana</t>
  </si>
  <si>
    <t>marisa@bocodems.org</t>
  </si>
  <si>
    <t>Patricia</t>
  </si>
  <si>
    <t>R</t>
  </si>
  <si>
    <t>Flett</t>
  </si>
  <si>
    <t>Mark</t>
  </si>
  <si>
    <t>markflett4u@gmail.com</t>
  </si>
  <si>
    <t>Endicott</t>
  </si>
  <si>
    <t>lili.francklyn@gmail.com</t>
  </si>
  <si>
    <t>Katherine</t>
  </si>
  <si>
    <t>Holan</t>
  </si>
  <si>
    <t>Jasmine</t>
  </si>
  <si>
    <t>jasmineholan@yahoo.com</t>
  </si>
  <si>
    <t>Hughes</t>
  </si>
  <si>
    <t>M</t>
  </si>
  <si>
    <t>lm.lee@comcast.net</t>
  </si>
  <si>
    <t>Lesniak</t>
  </si>
  <si>
    <t>lisalesniak214@gmail.com</t>
  </si>
  <si>
    <t>shari.a.malloy@gmail.com</t>
  </si>
  <si>
    <t>Malzbender</t>
  </si>
  <si>
    <t>Katie</t>
  </si>
  <si>
    <t>Katie@bocodems.org</t>
  </si>
  <si>
    <t>katie.malzbender@gmail.com</t>
  </si>
  <si>
    <t>Marsing</t>
  </si>
  <si>
    <t>Jake</t>
  </si>
  <si>
    <t>jake@bocodems.org</t>
  </si>
  <si>
    <t>jakemarsing@gmail.com</t>
  </si>
  <si>
    <t>G</t>
  </si>
  <si>
    <t>McNamara</t>
  </si>
  <si>
    <t>Lynne</t>
  </si>
  <si>
    <t>mcnamaralynnea@gmail.com</t>
  </si>
  <si>
    <t>Herbert</t>
  </si>
  <si>
    <t>Norikane</t>
  </si>
  <si>
    <t>Bruce@bocodems.org</t>
  </si>
  <si>
    <t>Sargent</t>
  </si>
  <si>
    <t>kitty.sargent@icloud.com</t>
  </si>
  <si>
    <t>kitty_sargent@yahoo.com</t>
  </si>
  <si>
    <t>Matthew</t>
  </si>
  <si>
    <t>mism1838@colorado.edu</t>
  </si>
  <si>
    <t>Stras</t>
  </si>
  <si>
    <t>Marcela</t>
  </si>
  <si>
    <t>mstras@straslegsl.com</t>
  </si>
  <si>
    <t>Molly</t>
  </si>
  <si>
    <t>mollystuart@gmail.com</t>
  </si>
  <si>
    <t>carol@bocodems.org</t>
  </si>
  <si>
    <t>Teixeira</t>
  </si>
  <si>
    <t>Pamela</t>
  </si>
  <si>
    <t>pammyt@gmail.com</t>
  </si>
  <si>
    <t>Utton</t>
  </si>
  <si>
    <t>Beth</t>
  </si>
  <si>
    <t>beth@bocodems.org</t>
  </si>
  <si>
    <t>bethutton@sisna.com</t>
  </si>
  <si>
    <t>Robinson</t>
  </si>
  <si>
    <t>Jen</t>
  </si>
  <si>
    <t>Geof Cahoon</t>
  </si>
  <si>
    <t>SuperSite</t>
  </si>
  <si>
    <t>AC Lastname</t>
  </si>
  <si>
    <t>AC Firstname</t>
  </si>
  <si>
    <t>AC Pre</t>
  </si>
  <si>
    <t>AC Email</t>
  </si>
  <si>
    <t>AC Phone</t>
  </si>
  <si>
    <t>AC Phone2</t>
  </si>
  <si>
    <t>Pct #</t>
  </si>
  <si>
    <t>Role</t>
  </si>
  <si>
    <t>Lastname</t>
  </si>
  <si>
    <t>Firstname</t>
  </si>
  <si>
    <t>Pref</t>
  </si>
  <si>
    <t>Phone2</t>
  </si>
  <si>
    <t>City</t>
  </si>
  <si>
    <t>State</t>
  </si>
  <si>
    <t>Zip</t>
  </si>
  <si>
    <t>Maddress</t>
  </si>
  <si>
    <t>Mcity</t>
  </si>
  <si>
    <t>Mstate</t>
  </si>
  <si>
    <t>Mzip</t>
  </si>
  <si>
    <t>ACBO-1</t>
  </si>
  <si>
    <t>Lili</t>
  </si>
  <si>
    <t>Politics@cruciblecom.net</t>
  </si>
  <si>
    <t>PCP</t>
  </si>
  <si>
    <t>Vacant</t>
  </si>
  <si>
    <t>1440 Blue Sage Ct</t>
  </si>
  <si>
    <t>CO</t>
  </si>
  <si>
    <t>Gebhardt</t>
  </si>
  <si>
    <t>kathleengebhardt@me.com</t>
  </si>
  <si>
    <t>1900 Stony Hill Rd</t>
  </si>
  <si>
    <t>1105 Toedtli Dr</t>
  </si>
  <si>
    <t>Fivian</t>
  </si>
  <si>
    <t>Yvonne</t>
  </si>
  <si>
    <t>rosie@yrfarchitect.com</t>
  </si>
  <si>
    <t>1145 Edinboro Dr</t>
  </si>
  <si>
    <t>Spicer</t>
  </si>
  <si>
    <t>lauragcspicer@gmail.com</t>
  </si>
  <si>
    <t>1445 Gillaspie Dr</t>
  </si>
  <si>
    <t>Folkerts</t>
  </si>
  <si>
    <t>Lauren</t>
  </si>
  <si>
    <t>laurenfolkerts@gmail.com</t>
  </si>
  <si>
    <t>3154 Redstone Ln</t>
  </si>
  <si>
    <t>Gitlin</t>
  </si>
  <si>
    <t>Chelsea</t>
  </si>
  <si>
    <t>chelseacastellano@gmail.com</t>
  </si>
  <si>
    <t>3481 Cripple Creek Sq</t>
  </si>
  <si>
    <t>1506 S Foothills Hwy</t>
  </si>
  <si>
    <t>1365 S Foothills Hwy</t>
  </si>
  <si>
    <t>ACBO-2</t>
  </si>
  <si>
    <t>2135 King Ave</t>
  </si>
  <si>
    <t>1055 Hartford Dr</t>
  </si>
  <si>
    <t>Rotunno</t>
  </si>
  <si>
    <t>darayoga@comcast.net</t>
  </si>
  <si>
    <t>2965 Darley Ave</t>
  </si>
  <si>
    <t>Bennett</t>
  </si>
  <si>
    <t>jerzita@gmail.com</t>
  </si>
  <si>
    <t>2750 Stephens Rd</t>
  </si>
  <si>
    <t>Sherman</t>
  </si>
  <si>
    <t>Sandra</t>
  </si>
  <si>
    <t>therightgarb@gmail.com</t>
  </si>
  <si>
    <t>2120 Goddard Pl</t>
  </si>
  <si>
    <t>ACBO-3</t>
  </si>
  <si>
    <t>kimccarloto@gmail.com</t>
  </si>
  <si>
    <t>4020 Chippewa Dr</t>
  </si>
  <si>
    <t>265 31st St</t>
  </si>
  <si>
    <t>Hickey</t>
  </si>
  <si>
    <t>Audrey</t>
  </si>
  <si>
    <t>audylh@gmail.com</t>
  </si>
  <si>
    <t>3794 Davidson Pl</t>
  </si>
  <si>
    <t>110 S 36th St</t>
  </si>
  <si>
    <t>355 S 44th St</t>
  </si>
  <si>
    <t>1270 Chambers Dr</t>
  </si>
  <si>
    <t>Reynolds</t>
  </si>
  <si>
    <t>jeremy.r.reynolds@gmail.com</t>
  </si>
  <si>
    <t>4740 W Moorhead Cir</t>
  </si>
  <si>
    <t>Zhenya</t>
  </si>
  <si>
    <t>710 S 42nd St</t>
  </si>
  <si>
    <t>Pigott</t>
  </si>
  <si>
    <t>Fiona</t>
  </si>
  <si>
    <t>pigott.fiona@gmail.com</t>
  </si>
  <si>
    <t>555 S 44th St</t>
  </si>
  <si>
    <t>ACBO-4</t>
  </si>
  <si>
    <t>3305 Euclid Ave</t>
  </si>
  <si>
    <t>McCloskey</t>
  </si>
  <si>
    <t>Dennis</t>
  </si>
  <si>
    <t>Hon</t>
  </si>
  <si>
    <t>hickorystick@mac.com</t>
  </si>
  <si>
    <t>3790 Colorado Ave Apt A</t>
  </si>
  <si>
    <t>4705 Harrison Ave</t>
  </si>
  <si>
    <t>1525 Lodge Ct</t>
  </si>
  <si>
    <t>Rosenbaum</t>
  </si>
  <si>
    <t>Terri</t>
  </si>
  <si>
    <t>doc_rose@comcast.net</t>
  </si>
  <si>
    <t>125 Mineola Ct</t>
  </si>
  <si>
    <t>1055 Waite Dr</t>
  </si>
  <si>
    <t>Beadle</t>
  </si>
  <si>
    <t>Dele</t>
  </si>
  <si>
    <t>heatherbeadle@mac.com</t>
  </si>
  <si>
    <t>4840 Thunderbird Dr Apt 85</t>
  </si>
  <si>
    <t>4840 Thunderbird Dr Apt 288</t>
  </si>
  <si>
    <t>heather.ridge.co@gmail.com</t>
  </si>
  <si>
    <t>805 34th St</t>
  </si>
  <si>
    <t>Pettigrew</t>
  </si>
  <si>
    <t>260 Mohawk Dr</t>
  </si>
  <si>
    <t>40 S Boulder Cir Apt 4025</t>
  </si>
  <si>
    <t>ACBO-6</t>
  </si>
  <si>
    <t>Whamiltonsf@gmail.com</t>
  </si>
  <si>
    <t>474 Arapahoe Ave</t>
  </si>
  <si>
    <t>ACBO-5</t>
  </si>
  <si>
    <t>Junie</t>
  </si>
  <si>
    <t>junieforboulder@gmail.com</t>
  </si>
  <si>
    <t>1133 6th St</t>
  </si>
  <si>
    <t>745 University Ave</t>
  </si>
  <si>
    <t>Kiser</t>
  </si>
  <si>
    <t>Ben.Brady.kiser@gmail.com</t>
  </si>
  <si>
    <t>1350 20th St Apt G23</t>
  </si>
  <si>
    <t>Deborah</t>
  </si>
  <si>
    <t>2650 University Heights Ave</t>
  </si>
  <si>
    <t>2650 University Avenue Heights Ave</t>
  </si>
  <si>
    <t>Budd</t>
  </si>
  <si>
    <t>Eric</t>
  </si>
  <si>
    <t>ericbudd@gmail.com</t>
  </si>
  <si>
    <t>1180 Monroe Dr Apt B</t>
  </si>
  <si>
    <t>King</t>
  </si>
  <si>
    <t>judith.king199@gmail.com</t>
  </si>
  <si>
    <t>1055 Adams Cir Apt 1120</t>
  </si>
  <si>
    <t>ACBO-7</t>
  </si>
  <si>
    <t>Geoffrey</t>
  </si>
  <si>
    <t>1709 Spruce St</t>
  </si>
  <si>
    <t>2242 Walnut St Apt A</t>
  </si>
  <si>
    <t>Kupferberg</t>
  </si>
  <si>
    <t>Jono</t>
  </si>
  <si>
    <t>jonokup@gmail.com</t>
  </si>
  <si>
    <t>2227 Canyon Blvd Apt 152B</t>
  </si>
  <si>
    <t>1420 Elder Ave</t>
  </si>
  <si>
    <t>1829 Mapleton Ave</t>
  </si>
  <si>
    <t>2175 Knollwood Dr</t>
  </si>
  <si>
    <t>ACBO-8</t>
  </si>
  <si>
    <t>Gombosi</t>
  </si>
  <si>
    <t>Stephen</t>
  </si>
  <si>
    <t>sog@indra.com</t>
  </si>
  <si>
    <t>3060 23rd St</t>
  </si>
  <si>
    <t>3000 24th St</t>
  </si>
  <si>
    <t>Bradshaw</t>
  </si>
  <si>
    <t>wlbradshaw@hotmail.com</t>
  </si>
  <si>
    <t>3001 Spruce St Apt 305</t>
  </si>
  <si>
    <t>ACBO-9</t>
  </si>
  <si>
    <t>Pat@bocodems.org</t>
  </si>
  <si>
    <t>Lawhead</t>
  </si>
  <si>
    <t>303meteor6@gmail.com</t>
  </si>
  <si>
    <t>2685 Winding Trail Dr</t>
  </si>
  <si>
    <t>2680 Winding Trail Dr</t>
  </si>
  <si>
    <t>Mike</t>
  </si>
  <si>
    <t>2255 Meadow Ave</t>
  </si>
  <si>
    <t>Kearney</t>
  </si>
  <si>
    <t>michael9kearney@gmail.com</t>
  </si>
  <si>
    <t>3565 22nd St</t>
  </si>
  <si>
    <t>Guissinger</t>
  </si>
  <si>
    <t>Lynn</t>
  </si>
  <si>
    <t>lynnguissinger@comcast.net</t>
  </si>
  <si>
    <t>3895 Cloverleaf Dr</t>
  </si>
  <si>
    <t>3121 4th St</t>
  </si>
  <si>
    <t>1750 Hawthorn Pl</t>
  </si>
  <si>
    <t>Greenwald</t>
  </si>
  <si>
    <t>jonnyg47@gmail.com</t>
  </si>
  <si>
    <t>3014 Washington St</t>
  </si>
  <si>
    <t>ACBO-10</t>
  </si>
  <si>
    <t>4726 16th St</t>
  </si>
  <si>
    <t>Valenty</t>
  </si>
  <si>
    <t>rvalenty@msn.com</t>
  </si>
  <si>
    <t>1623 Yellow Pine Ave</t>
  </si>
  <si>
    <t>5147 Pierre St</t>
  </si>
  <si>
    <t>Byrne</t>
  </si>
  <si>
    <t>Edward</t>
  </si>
  <si>
    <t>edbyrne@smartlanduse.com</t>
  </si>
  <si>
    <t>4324 Snowberry Ct</t>
  </si>
  <si>
    <t>1375 Redwood Ave</t>
  </si>
  <si>
    <t>1945 Norwood Ave</t>
  </si>
  <si>
    <t>markflett@earthlink.net</t>
  </si>
  <si>
    <t>4278 Sumac Ct</t>
  </si>
  <si>
    <t>Moore</t>
  </si>
  <si>
    <t>Kristine</t>
  </si>
  <si>
    <t>kristinemoore@comcast.net</t>
  </si>
  <si>
    <t>4029 Eleuthera Ct</t>
  </si>
  <si>
    <t>Szczurek</t>
  </si>
  <si>
    <t>Theresa</t>
  </si>
  <si>
    <t>tms1@att.net</t>
  </si>
  <si>
    <t>3870 Newport Ln</t>
  </si>
  <si>
    <t>ACBO-11</t>
  </si>
  <si>
    <t>4571 Tally Ho Trl</t>
  </si>
  <si>
    <t>Markham</t>
  </si>
  <si>
    <t>punkideas@gmail.com</t>
  </si>
  <si>
    <t>5908 Gunbarrel Ave Apt F</t>
  </si>
  <si>
    <t>4429 S Meadow Dr</t>
  </si>
  <si>
    <t>Douglas</t>
  </si>
  <si>
    <t>5781 Orchard Creek Ln</t>
  </si>
  <si>
    <t>3742 Cedarlodge St</t>
  </si>
  <si>
    <t>James</t>
  </si>
  <si>
    <t>4882 Kings Ridge Blvd</t>
  </si>
  <si>
    <t>ACER-1</t>
  </si>
  <si>
    <t>1709 Bain Dr</t>
  </si>
  <si>
    <t>Romero</t>
  </si>
  <si>
    <t>Herman</t>
  </si>
  <si>
    <t>h_romero@q.com</t>
  </si>
  <si>
    <t>12198 Jasper Rd</t>
  </si>
  <si>
    <t>laurafisherclark@gmail.com</t>
  </si>
  <si>
    <t>11428 Billings Ave</t>
  </si>
  <si>
    <t>1395 James Way</t>
  </si>
  <si>
    <t>Weber</t>
  </si>
  <si>
    <t>weber.amy@gmail.com</t>
  </si>
  <si>
    <t>1409 Washburn St</t>
  </si>
  <si>
    <t>11938 Oxford Rd</t>
  </si>
  <si>
    <t>ACGN-1</t>
  </si>
  <si>
    <t>Gordon</t>
  </si>
  <si>
    <t>Bridget</t>
  </si>
  <si>
    <t>bridgetl13@gmail.com</t>
  </si>
  <si>
    <t>7057 Indian Peaks Trl</t>
  </si>
  <si>
    <t>Coughlin</t>
  </si>
  <si>
    <t>Kimberley</t>
  </si>
  <si>
    <t>kimpardoe@yahoo.com</t>
  </si>
  <si>
    <t>4884 Briar Ridge Ct</t>
  </si>
  <si>
    <t>Fischer</t>
  </si>
  <si>
    <t>Alexandra</t>
  </si>
  <si>
    <t>xan@melodykids.com</t>
  </si>
  <si>
    <t>6825 Cheney Ct</t>
  </si>
  <si>
    <t>bhullinghorst@comcast.net</t>
  </si>
  <si>
    <t>7301 Mount Meeker Rd</t>
  </si>
  <si>
    <t>7236 Dry Creek Rd</t>
  </si>
  <si>
    <t>7629 Nikau Dr</t>
  </si>
  <si>
    <t>6791 Walker Ct</t>
  </si>
  <si>
    <t>McQuien Dickinson</t>
  </si>
  <si>
    <t>Karon</t>
  </si>
  <si>
    <t>kg.dickinson@gmail.com</t>
  </si>
  <si>
    <t>5323 Deer Creek Ct</t>
  </si>
  <si>
    <t>lapislily@gmail.com</t>
  </si>
  <si>
    <t>4836 Brandon Creek Dr</t>
  </si>
  <si>
    <t>ACLF-1</t>
  </si>
  <si>
    <t>682 Stage Station Way</t>
  </si>
  <si>
    <t>VGebhartK@gmail.com</t>
  </si>
  <si>
    <t>716 Rock Ridge Dr</t>
  </si>
  <si>
    <t>1520 Euclid Cir</t>
  </si>
  <si>
    <t>Bales-Heisterkamp</t>
  </si>
  <si>
    <t>Chleo</t>
  </si>
  <si>
    <t>istan.taz@gmail.com</t>
  </si>
  <si>
    <t>Berns</t>
  </si>
  <si>
    <t>Frederick</t>
  </si>
  <si>
    <t>fredtalks@gmail.com</t>
  </si>
  <si>
    <t>857 Old Wagon Trail Cir</t>
  </si>
  <si>
    <t>Whitney-Williams</t>
  </si>
  <si>
    <t>heatherwhitneywilliams@mykolab.com</t>
  </si>
  <si>
    <t>880 Sparta Dr</t>
  </si>
  <si>
    <t>704 E Cleveland St</t>
  </si>
  <si>
    <t>3591 Nyland Way</t>
  </si>
  <si>
    <t>ACLF-2</t>
  </si>
  <si>
    <t>Smedley</t>
  </si>
  <si>
    <t>Clifton</t>
  </si>
  <si>
    <t>CliffSmedley@gmail.com</t>
  </si>
  <si>
    <t>959 Clover Cir</t>
  </si>
  <si>
    <t>PO Box 640</t>
  </si>
  <si>
    <t>614 W Oak St</t>
  </si>
  <si>
    <t>2220 Tamarron Ln</t>
  </si>
  <si>
    <t>2208 Tamarron Ln</t>
  </si>
  <si>
    <t>Emma</t>
  </si>
  <si>
    <t>emarion51@gmail.com</t>
  </si>
  <si>
    <t>1981 N Fork Dr</t>
  </si>
  <si>
    <t>2292 Waneka Lake Trl</t>
  </si>
  <si>
    <t>880 Sunny Way</t>
  </si>
  <si>
    <t>Moller</t>
  </si>
  <si>
    <t>Audrey Erna</t>
  </si>
  <si>
    <t>audreyemoller@gmail.com</t>
  </si>
  <si>
    <t>2480 Concord Cir</t>
  </si>
  <si>
    <t>Kevin</t>
  </si>
  <si>
    <t>kallen@allen-vellone.com</t>
  </si>
  <si>
    <t>47 Ridge Rd</t>
  </si>
  <si>
    <t>Portmanmarsh</t>
  </si>
  <si>
    <t>Natalie</t>
  </si>
  <si>
    <t>npmconsults@gmail.com</t>
  </si>
  <si>
    <t>7722 Brockway Dr</t>
  </si>
  <si>
    <t>6397 Swallow Ln</t>
  </si>
  <si>
    <t>ACLM-1</t>
  </si>
  <si>
    <t>Appelman Eastvedt</t>
  </si>
  <si>
    <t>Stewart</t>
  </si>
  <si>
    <t>seanmstewart88@gmail.com</t>
  </si>
  <si>
    <t>409 Western Sky Cir</t>
  </si>
  <si>
    <t>Williams</t>
  </si>
  <si>
    <t>a1stevewilliams@gmail.com</t>
  </si>
  <si>
    <t>1018 High Meadow Ct</t>
  </si>
  <si>
    <t>Finkjohnson</t>
  </si>
  <si>
    <t>cfinkjohnson@gmail.com</t>
  </si>
  <si>
    <t>1449 Pratt Way</t>
  </si>
  <si>
    <t>Conti</t>
  </si>
  <si>
    <t>Teresa</t>
  </si>
  <si>
    <t>terri@evolvelead.com</t>
  </si>
  <si>
    <t>859 Neon Forest Cir</t>
  </si>
  <si>
    <t>Myers.clark712@gmail.com</t>
  </si>
  <si>
    <t>1051 Neon Forest Cir</t>
  </si>
  <si>
    <t>2261 Watersong Cir</t>
  </si>
  <si>
    <t>2227 Creekside Dr</t>
  </si>
  <si>
    <t>1529 Kansas Ave</t>
  </si>
  <si>
    <t>ACLM-2</t>
  </si>
  <si>
    <t>3365 Larkspur Dr</t>
  </si>
  <si>
    <t>Meriwether</t>
  </si>
  <si>
    <t>anitameriwether@gmail.com</t>
  </si>
  <si>
    <t>4211 Riley Dr</t>
  </si>
  <si>
    <t>Halpin</t>
  </si>
  <si>
    <t>Barbara</t>
  </si>
  <si>
    <t>barbhalpin@outlook.com</t>
  </si>
  <si>
    <t>1420 Renaissance Dr Apt D107</t>
  </si>
  <si>
    <t>1663 Venice Ln</t>
  </si>
  <si>
    <t>1433 Cannon Mountain Dr</t>
  </si>
  <si>
    <t>Christine</t>
  </si>
  <si>
    <t>705 Nelson Park Cir</t>
  </si>
  <si>
    <t>Christensen</t>
  </si>
  <si>
    <t>Pauline</t>
  </si>
  <si>
    <t>pollyan@indra.com</t>
  </si>
  <si>
    <t>410 Judson St</t>
  </si>
  <si>
    <t>ACLM-3</t>
  </si>
  <si>
    <t>Shari</t>
  </si>
  <si>
    <t>314 Grant St</t>
  </si>
  <si>
    <t>Marilynsails@icloud.com</t>
  </si>
  <si>
    <t>1126 4th Ave</t>
  </si>
  <si>
    <t>634 Emery St</t>
  </si>
  <si>
    <t>400 Emery St Apt 304</t>
  </si>
  <si>
    <t>1315 Aspen St</t>
  </si>
  <si>
    <t>McCue</t>
  </si>
  <si>
    <t>Suzanne</t>
  </si>
  <si>
    <t>suspew@aol.com</t>
  </si>
  <si>
    <t>1029 Pratt St</t>
  </si>
  <si>
    <t>Burnes</t>
  </si>
  <si>
    <t>Ellen</t>
  </si>
  <si>
    <t>ellen.burnes@gmail.com</t>
  </si>
  <si>
    <t>1404 Longs Peak Ave</t>
  </si>
  <si>
    <t>nickynovello@gmail.com</t>
  </si>
  <si>
    <t>949 Lilac St</t>
  </si>
  <si>
    <t>Booze</t>
  </si>
  <si>
    <t>Risa</t>
  </si>
  <si>
    <t>risa.booze@gmail.com</t>
  </si>
  <si>
    <t>939 Hover Ridge Cir</t>
  </si>
  <si>
    <t>ACLM-4</t>
  </si>
  <si>
    <t>Lynne@bocodems.org</t>
  </si>
  <si>
    <t>Tiger</t>
  </si>
  <si>
    <t>dem@paultiger.com</t>
  </si>
  <si>
    <t>452 Dickson St</t>
  </si>
  <si>
    <t>697 Crawford Cir</t>
  </si>
  <si>
    <t>Marsh</t>
  </si>
  <si>
    <t>rich@marshlawpc.com</t>
  </si>
  <si>
    <t>458 Greenwood Ln</t>
  </si>
  <si>
    <t>1274 Ptarmigan Dr</t>
  </si>
  <si>
    <t>Charlie</t>
  </si>
  <si>
    <t>925 Yucca Ct</t>
  </si>
  <si>
    <t>1518 Moonlight Dr</t>
  </si>
  <si>
    <t>Miller</t>
  </si>
  <si>
    <t>comiller5@msn.com</t>
  </si>
  <si>
    <t>1163 Wyndemere Cir</t>
  </si>
  <si>
    <t>ACLM-5</t>
  </si>
  <si>
    <t>Lubow</t>
  </si>
  <si>
    <t>judy123@indra.com</t>
  </si>
  <si>
    <t>106 Granada Ct</t>
  </si>
  <si>
    <t>1751 Shavano St</t>
  </si>
  <si>
    <t>Padilla-Hanan</t>
  </si>
  <si>
    <t>Laurel</t>
  </si>
  <si>
    <t>laurelpadilla@yahoo.com</t>
  </si>
  <si>
    <t>1754 Crestone Dr</t>
  </si>
  <si>
    <t>Hoff</t>
  </si>
  <si>
    <t>kchoff@gmail.com</t>
  </si>
  <si>
    <t>51 21st Ave Apt 17</t>
  </si>
  <si>
    <t>1819 Collyer St</t>
  </si>
  <si>
    <t>Roy</t>
  </si>
  <si>
    <t>royaguibob@gmail.com</t>
  </si>
  <si>
    <t>2100 Santa Fe Dr</t>
  </si>
  <si>
    <t>ACLM-6</t>
  </si>
  <si>
    <t>Kathryn</t>
  </si>
  <si>
    <t>Julie@bocodems.org</t>
  </si>
  <si>
    <t>829 Widgeon Cir</t>
  </si>
  <si>
    <t>Lavender</t>
  </si>
  <si>
    <t>Kimberly</t>
  </si>
  <si>
    <t>QUERCUS.GIRL@GMAIL.COM</t>
  </si>
  <si>
    <t>917 Reynolds Farm Ln</t>
  </si>
  <si>
    <t>1222 Princeton Dr</t>
  </si>
  <si>
    <t>2719 Denver Ave</t>
  </si>
  <si>
    <t>jonathan.singer@gmail.com</t>
  </si>
  <si>
    <t>2408 Mountain View Ave</t>
  </si>
  <si>
    <t>Crawford</t>
  </si>
  <si>
    <t>Annette</t>
  </si>
  <si>
    <t>crawford@indra.com</t>
  </si>
  <si>
    <t>1720 Harvard St</t>
  </si>
  <si>
    <t>Curland</t>
  </si>
  <si>
    <t>Naomi</t>
  </si>
  <si>
    <t>ncurland@gmail.com</t>
  </si>
  <si>
    <t>2073 Gold Finch Ct</t>
  </si>
  <si>
    <t>3106 Colgate Dr</t>
  </si>
  <si>
    <t>Daley</t>
  </si>
  <si>
    <t>km.daley49@gmail.com</t>
  </si>
  <si>
    <t>3115 Almeria Way</t>
  </si>
  <si>
    <t>ACLM-7</t>
  </si>
  <si>
    <t>Marisa@bocodems.org</t>
  </si>
  <si>
    <t>Aves</t>
  </si>
  <si>
    <t>Jacqueline</t>
  </si>
  <si>
    <t>jackie@twin-peaks-video.com</t>
  </si>
  <si>
    <t>1345 Garden Pl</t>
  </si>
  <si>
    <t>1768 Juniper St</t>
  </si>
  <si>
    <t>2319 Dunbar Ct</t>
  </si>
  <si>
    <t>Stanley</t>
  </si>
  <si>
    <t>2226 Sherman St</t>
  </si>
  <si>
    <t>12220 N 75th St</t>
  </si>
  <si>
    <t>13850 N 87th St</t>
  </si>
  <si>
    <t>mdesignco7@gmail.com</t>
  </si>
  <si>
    <t>12874 N 95th St</t>
  </si>
  <si>
    <t>11965 Wasatch Rd</t>
  </si>
  <si>
    <t>ACLV-1</t>
  </si>
  <si>
    <t>350 Fairfield Ln</t>
  </si>
  <si>
    <t>Simon</t>
  </si>
  <si>
    <t>simonj1164@gmail.com</t>
  </si>
  <si>
    <t>814 Spyglass Cir</t>
  </si>
  <si>
    <t>Saenz</t>
  </si>
  <si>
    <t>Gilberto</t>
  </si>
  <si>
    <t>gsaenzj@gmail.com</t>
  </si>
  <si>
    <t>654 Manorwood Ct</t>
  </si>
  <si>
    <t>829 W Conifer Ct</t>
  </si>
  <si>
    <t>Cindylbraddock@gmail.com</t>
  </si>
  <si>
    <t>680 W Chestnut Ct</t>
  </si>
  <si>
    <t>Dunlap</t>
  </si>
  <si>
    <t>dunlapcr@gmail.com</t>
  </si>
  <si>
    <t>667 W Lilac Ct</t>
  </si>
  <si>
    <t>Donald</t>
  </si>
  <si>
    <t>378 Grouse Ct</t>
  </si>
  <si>
    <t>ACLV-2</t>
  </si>
  <si>
    <t>Angie</t>
  </si>
  <si>
    <t>624 McKinley Ave</t>
  </si>
  <si>
    <t>691 West St</t>
  </si>
  <si>
    <t>Hill</t>
  </si>
  <si>
    <t>mchill@hillsmith.com</t>
  </si>
  <si>
    <t>1445 N Franklin Ave</t>
  </si>
  <si>
    <t>261 Short Pl</t>
  </si>
  <si>
    <t>Jannie</t>
  </si>
  <si>
    <t>1101 Grant Ave</t>
  </si>
  <si>
    <t>adrianne@indra.com</t>
  </si>
  <si>
    <t>672 W Hawthorn St</t>
  </si>
  <si>
    <t>ACMT-1</t>
  </si>
  <si>
    <t>130 Alpine Vis</t>
  </si>
  <si>
    <t>2925 Ridge Rd</t>
  </si>
  <si>
    <t>400 Coulson St</t>
  </si>
  <si>
    <t>PO Box 3202</t>
  </si>
  <si>
    <t>lisalesniak@q.com</t>
  </si>
  <si>
    <t>3084 Sugarloaf Rd</t>
  </si>
  <si>
    <t>ACMT-2</t>
  </si>
  <si>
    <t>Elmore</t>
  </si>
  <si>
    <t>Nichole</t>
  </si>
  <si>
    <t>nlelmore76@gmail.com</t>
  </si>
  <si>
    <t>5 Utica St</t>
  </si>
  <si>
    <t>Ward</t>
  </si>
  <si>
    <t>PO Box 357</t>
  </si>
  <si>
    <t>becky.martinek15674@gmail.com</t>
  </si>
  <si>
    <t>15674 Indiana Gulch</t>
  </si>
  <si>
    <t>9147 Sunshine Canyon Dr</t>
  </si>
  <si>
    <t>Begleiter</t>
  </si>
  <si>
    <t>doc204@gmail.com</t>
  </si>
  <si>
    <t>23 Eagles Dr</t>
  </si>
  <si>
    <t>Arnold</t>
  </si>
  <si>
    <t>era@pobox.com</t>
  </si>
  <si>
    <t>225 Linden Dr</t>
  </si>
  <si>
    <t>4795 Tantra Dr</t>
  </si>
  <si>
    <t>Hackett</t>
  </si>
  <si>
    <t>Suzi</t>
  </si>
  <si>
    <t>suzihackett@me.com</t>
  </si>
  <si>
    <t>4847 Lee Hill Dr</t>
  </si>
  <si>
    <t>ACMT-3</t>
  </si>
  <si>
    <t>78 County Road 90</t>
  </si>
  <si>
    <t>PO Box 414</t>
  </si>
  <si>
    <t>Kean</t>
  </si>
  <si>
    <t>claudiakean@gmail.com</t>
  </si>
  <si>
    <t>228 Welch Dr</t>
  </si>
  <si>
    <t>PO Box 1016</t>
  </si>
  <si>
    <t>226 Welch Dr</t>
  </si>
  <si>
    <t>PO Box 1509</t>
  </si>
  <si>
    <t>Mann</t>
  </si>
  <si>
    <t>damemaz@hotmail.com</t>
  </si>
  <si>
    <t>1027 5th Ave</t>
  </si>
  <si>
    <t>PO Box 846</t>
  </si>
  <si>
    <t>Wicker</t>
  </si>
  <si>
    <t>lisakaufmann@gmail.com</t>
  </si>
  <si>
    <t>442 Reese St</t>
  </si>
  <si>
    <t>PO Box 197</t>
  </si>
  <si>
    <t>ACSU-1</t>
  </si>
  <si>
    <t>2855 Rock Creek Cir Unit 167</t>
  </si>
  <si>
    <t>Baskett</t>
  </si>
  <si>
    <t>baskett3223@gmail.com</t>
  </si>
  <si>
    <t>1995 E Coalton Rd Apt 51-106</t>
  </si>
  <si>
    <t>Miller Taylor</t>
  </si>
  <si>
    <t>Kelly</t>
  </si>
  <si>
    <t>kellymillertaylor@gmail.com</t>
  </si>
  <si>
    <t>787 Eldorado Dr</t>
  </si>
  <si>
    <t>Hernansanz Lopez</t>
  </si>
  <si>
    <t>Susana</t>
  </si>
  <si>
    <t>susana.hernansanz@gmail.com</t>
  </si>
  <si>
    <t>435 Andrew Way</t>
  </si>
  <si>
    <t>1259 S Weldona Ln</t>
  </si>
  <si>
    <t>Grand Total</t>
  </si>
  <si>
    <t>Street</t>
  </si>
  <si>
    <t>1301 High St.</t>
  </si>
  <si>
    <t>2205 Norwood Ave.</t>
  </si>
  <si>
    <t>111 Mesa St</t>
  </si>
  <si>
    <t>700 20th St</t>
  </si>
  <si>
    <t>4545 Sioux Dr</t>
  </si>
  <si>
    <t>6096 Baseline Rd</t>
  </si>
  <si>
    <t>8989 Niwot Rd</t>
  </si>
  <si>
    <t>10300 W South Boulder Road</t>
  </si>
  <si>
    <t>4600 Clover Basin Dr</t>
  </si>
  <si>
    <t>1051 S Pratt Pkwy</t>
  </si>
  <si>
    <t>1500 14th Ave.</t>
  </si>
  <si>
    <t>1341 Main St</t>
  </si>
  <si>
    <t> 14861 Highway 7</t>
  </si>
  <si>
    <t>890 Main St</t>
  </si>
  <si>
    <t>Gold Hill (Boulder)</t>
  </si>
  <si>
    <t>100 McConnell</t>
  </si>
  <si>
    <t>597 County Road 130</t>
  </si>
  <si>
    <t>1 Columbia Street</t>
  </si>
  <si>
    <t>3351 S. Indiana St</t>
  </si>
  <si>
    <t>Candace Bowie</t>
  </si>
  <si>
    <t>PctCount</t>
  </si>
  <si>
    <t>Preferred</t>
  </si>
  <si>
    <t>phone</t>
  </si>
  <si>
    <t>email</t>
  </si>
  <si>
    <t>second phone</t>
  </si>
  <si>
    <t>ORPHAN</t>
  </si>
  <si>
    <t>SS Chair</t>
  </si>
  <si>
    <t>SS Phone</t>
  </si>
  <si>
    <t>lauriem999@gmail.com</t>
  </si>
  <si>
    <t>myersclark712@gmail.com</t>
  </si>
  <si>
    <t>Apple</t>
  </si>
  <si>
    <t>mary.applerealty@gmail.com</t>
  </si>
  <si>
    <t>Fair</t>
  </si>
  <si>
    <t>Nathan</t>
  </si>
  <si>
    <t>natezfair@gmail.com</t>
  </si>
  <si>
    <t>Mack</t>
  </si>
  <si>
    <t>Parker</t>
  </si>
  <si>
    <t>jparkermack@gmail.com</t>
  </si>
  <si>
    <t>Mora</t>
  </si>
  <si>
    <t>Laurie</t>
  </si>
  <si>
    <t>Elizabeth</t>
  </si>
  <si>
    <t>Arthur</t>
  </si>
  <si>
    <t>s.priem@yahoo.com</t>
  </si>
  <si>
    <t>Paul@bocodems.org</t>
  </si>
  <si>
    <t>Wagner</t>
  </si>
  <si>
    <t>diotimaellen@gmail.com</t>
  </si>
  <si>
    <t>Erie Elementary</t>
  </si>
  <si>
    <t>Dahms</t>
  </si>
  <si>
    <t>Adrienne</t>
  </si>
  <si>
    <t>adrienne.dahms@gmail.com</t>
  </si>
  <si>
    <t>malloy</t>
  </si>
  <si>
    <t>sharon</t>
  </si>
  <si>
    <t>3039097201</t>
  </si>
  <si>
    <t>Michael Altenbern</t>
  </si>
  <si>
    <t>4048226732</t>
  </si>
  <si>
    <t>Kendra Appelman-Eastvedt</t>
  </si>
  <si>
    <t>3039997682</t>
  </si>
  <si>
    <t>Heather Baer</t>
  </si>
  <si>
    <t>3039479447</t>
  </si>
  <si>
    <t>7208083166</t>
  </si>
  <si>
    <t>Judith Bodinger</t>
  </si>
  <si>
    <t>7204955088</t>
  </si>
  <si>
    <t>7192515246</t>
  </si>
  <si>
    <t>Timm Bryson</t>
  </si>
  <si>
    <t>7203459803</t>
  </si>
  <si>
    <t>7203082474</t>
  </si>
  <si>
    <t>Virginia Carlson</t>
  </si>
  <si>
    <t>Adrienne Dahms</t>
  </si>
  <si>
    <t>3038172531</t>
  </si>
  <si>
    <t>Peter Dawson</t>
  </si>
  <si>
    <t>3039479477</t>
  </si>
  <si>
    <t>3037757400</t>
  </si>
  <si>
    <t>6783573242</t>
  </si>
  <si>
    <t>Erin Eastvedt</t>
  </si>
  <si>
    <t>7202334208</t>
  </si>
  <si>
    <t>5183307872</t>
  </si>
  <si>
    <t>Patricia Feeser</t>
  </si>
  <si>
    <t>7209385326</t>
  </si>
  <si>
    <t>3032291024</t>
  </si>
  <si>
    <t>7202728398</t>
  </si>
  <si>
    <t>Lilian Francklyn</t>
  </si>
  <si>
    <t>7205341960</t>
  </si>
  <si>
    <t>Stan Gelb</t>
  </si>
  <si>
    <t>7207327496</t>
  </si>
  <si>
    <t>Nancy George</t>
  </si>
  <si>
    <t>3039491542</t>
  </si>
  <si>
    <t>Michael Hart</t>
  </si>
  <si>
    <t>5127450823</t>
  </si>
  <si>
    <t>Jasmine Holan</t>
  </si>
  <si>
    <t>3038810816</t>
  </si>
  <si>
    <t>marilyn hughes</t>
  </si>
  <si>
    <t>7209383466</t>
  </si>
  <si>
    <t>7209349497</t>
  </si>
  <si>
    <t>Angelique Layton</t>
  </si>
  <si>
    <t>3039815392</t>
  </si>
  <si>
    <t>Linda Lee</t>
  </si>
  <si>
    <t>2144977899</t>
  </si>
  <si>
    <t>3035884452</t>
  </si>
  <si>
    <t>sharon malloy</t>
  </si>
  <si>
    <t>3038867847</t>
  </si>
  <si>
    <t>Katie Malzbender</t>
  </si>
  <si>
    <t>3037756376</t>
  </si>
  <si>
    <t>Jake Marsing</t>
  </si>
  <si>
    <t>3033191169</t>
  </si>
  <si>
    <t>Becky Martinek</t>
  </si>
  <si>
    <t>3036817722</t>
  </si>
  <si>
    <t>4108187383</t>
  </si>
  <si>
    <t>3032583745</t>
  </si>
  <si>
    <t>3037752697</t>
  </si>
  <si>
    <t>Bruce Norikane</t>
  </si>
  <si>
    <t>3034786467</t>
  </si>
  <si>
    <t>7203525103</t>
  </si>
  <si>
    <t>Catherine Sargent</t>
  </si>
  <si>
    <t>Robert Schaller</t>
  </si>
  <si>
    <t>3032492204</t>
  </si>
  <si>
    <t>9525673288</t>
  </si>
  <si>
    <t>Michael Smith</t>
  </si>
  <si>
    <t>2408990037</t>
  </si>
  <si>
    <t>Marcela Stras</t>
  </si>
  <si>
    <t>7206008829</t>
  </si>
  <si>
    <t>9192102776</t>
  </si>
  <si>
    <t>Carol Teal</t>
  </si>
  <si>
    <t>7326737007</t>
  </si>
  <si>
    <t>Pamela Teixeira</t>
  </si>
  <si>
    <t>Beth Utton</t>
  </si>
  <si>
    <t>3033788355</t>
  </si>
  <si>
    <t>Dalton Valette</t>
  </si>
  <si>
    <t>3035891976</t>
  </si>
  <si>
    <t>Amy Weinstein</t>
  </si>
  <si>
    <t>3032426450</t>
  </si>
  <si>
    <t>3038095686</t>
  </si>
  <si>
    <t>3035810783</t>
  </si>
  <si>
    <t>Colvin</t>
  </si>
  <si>
    <t>Annie</t>
  </si>
  <si>
    <t>colvinannie@gmail.com</t>
  </si>
  <si>
    <t>Golden-Schubert</t>
  </si>
  <si>
    <t>shan.goldyn@gmail.com</t>
  </si>
  <si>
    <t>halpin</t>
  </si>
  <si>
    <t>BARBHALPIN@outlook.COM</t>
  </si>
  <si>
    <t>Juday</t>
  </si>
  <si>
    <t>Darcy</t>
  </si>
  <si>
    <t>darcyjuday@gmail.com</t>
  </si>
  <si>
    <t>Ingrid</t>
  </si>
  <si>
    <t>fairweathergal@yahoo.com</t>
  </si>
  <si>
    <t>palmer</t>
  </si>
  <si>
    <t>Andrew</t>
  </si>
  <si>
    <t>Markandeya-Aja</t>
  </si>
  <si>
    <t>starrypalmer@gmail.com</t>
  </si>
  <si>
    <t>priem</t>
  </si>
  <si>
    <t>steve</t>
  </si>
  <si>
    <t>Ruggeri</t>
  </si>
  <si>
    <t>Marsha</t>
  </si>
  <si>
    <t>mhoruggeri@gmail.com</t>
  </si>
  <si>
    <t>Chair #</t>
  </si>
  <si>
    <t>Sec Name</t>
  </si>
  <si>
    <t>Sec Phone</t>
  </si>
  <si>
    <t>Filter Here to see SS w/ Precincts - Sorted by Region, Supersite, Precinct</t>
  </si>
  <si>
    <t>Venue Selected</t>
  </si>
  <si>
    <t>To Proof Recap- Sorted by Region,SuperSite</t>
  </si>
  <si>
    <t>1301 High St.,Boulder,80304</t>
  </si>
  <si>
    <t/>
  </si>
  <si>
    <t>Ellen Wagner</t>
  </si>
  <si>
    <t>7208792975</t>
  </si>
  <si>
    <t>Eben Carsey</t>
  </si>
  <si>
    <t>3034427284</t>
  </si>
  <si>
    <t>Michael Abreu</t>
  </si>
  <si>
    <t>7327639330</t>
  </si>
  <si>
    <t>Genevieve Devaud</t>
  </si>
  <si>
    <t>3038680530</t>
  </si>
  <si>
    <t>Judith Jaehning</t>
  </si>
  <si>
    <t>3038181931</t>
  </si>
  <si>
    <t>2205 Norwood Ave.,Boulder,80304</t>
  </si>
  <si>
    <t>Claudia Thiem</t>
  </si>
  <si>
    <t>7207719631</t>
  </si>
  <si>
    <t>Megan Dawson</t>
  </si>
  <si>
    <t>3038170306</t>
  </si>
  <si>
    <t>Jesse Kumin</t>
  </si>
  <si>
    <t>7204437542</t>
  </si>
  <si>
    <t>Mary Faltynski</t>
  </si>
  <si>
    <t>7202332142</t>
  </si>
  <si>
    <t>Joanna Clark</t>
  </si>
  <si>
    <t>3037753512</t>
  </si>
  <si>
    <t>Robert Mortimer</t>
  </si>
  <si>
    <t>6103087217</t>
  </si>
  <si>
    <t>Catherine Carlson</t>
  </si>
  <si>
    <t>7208397289</t>
  </si>
  <si>
    <t>Ann Campbell</t>
  </si>
  <si>
    <t>3035701794</t>
  </si>
  <si>
    <t>Michael Chapman</t>
  </si>
  <si>
    <t>7202728329</t>
  </si>
  <si>
    <t>Benjamin Cowan</t>
  </si>
  <si>
    <t>6509068422</t>
  </si>
  <si>
    <t>6096 Baseline Rd,Boulder,80303</t>
  </si>
  <si>
    <t>Kim Crites Carloto</t>
  </si>
  <si>
    <t>9083474839</t>
  </si>
  <si>
    <t>mary pettigrew</t>
  </si>
  <si>
    <t>3036410078</t>
  </si>
  <si>
    <t>4545 Sioux Dr,Boulder,80303</t>
  </si>
  <si>
    <t>David Anderson</t>
  </si>
  <si>
    <t>3034492511</t>
  </si>
  <si>
    <t>John Mack</t>
  </si>
  <si>
    <t>4178485511</t>
  </si>
  <si>
    <t>Rebecca Dickson</t>
  </si>
  <si>
    <t>7204927576</t>
  </si>
  <si>
    <t>Heather Ridge</t>
  </si>
  <si>
    <t>3039120220</t>
  </si>
  <si>
    <t>Kelli Macomber</t>
  </si>
  <si>
    <t>7204919513</t>
  </si>
  <si>
    <t>700 20th St,Boulder,80302</t>
  </si>
  <si>
    <t>Joel Gilbert</t>
  </si>
  <si>
    <t>7202443431</t>
  </si>
  <si>
    <t>Elise Jones</t>
  </si>
  <si>
    <t>3035798789</t>
  </si>
  <si>
    <t>Debby Vink</t>
  </si>
  <si>
    <t>3034357687</t>
  </si>
  <si>
    <t>Lisa Harris</t>
  </si>
  <si>
    <t>Erikia Blum</t>
  </si>
  <si>
    <t>5037534985</t>
  </si>
  <si>
    <t>Anita Hueftle</t>
  </si>
  <si>
    <t>7207893042</t>
  </si>
  <si>
    <t>Michael Duffy</t>
  </si>
  <si>
    <t>3038599851</t>
  </si>
  <si>
    <t>Alison Burchell</t>
  </si>
  <si>
    <t>3034992717</t>
  </si>
  <si>
    <t>Illana Gallon</t>
  </si>
  <si>
    <t>3035795685</t>
  </si>
  <si>
    <t>Marion Piller</t>
  </si>
  <si>
    <t>3034948822</t>
  </si>
  <si>
    <t>Diana Fields</t>
  </si>
  <si>
    <t>3035481814</t>
  </si>
  <si>
    <t>Stuart Cummings</t>
  </si>
  <si>
    <t>3038471674</t>
  </si>
  <si>
    <t>Joanne Brothers</t>
  </si>
  <si>
    <t>3037265934</t>
  </si>
  <si>
    <t>Marie Knowles</t>
  </si>
  <si>
    <t>2024222589</t>
  </si>
  <si>
    <t>Susan Bellas</t>
  </si>
  <si>
    <t>9704308759</t>
  </si>
  <si>
    <t>Laura Clark</t>
  </si>
  <si>
    <t>3033322096</t>
  </si>
  <si>
    <t>2489331107</t>
  </si>
  <si>
    <t>Allison Lotspeich</t>
  </si>
  <si>
    <t>3036688114</t>
  </si>
  <si>
    <t>8989 Niwot Rd,Niwot,80503</t>
  </si>
  <si>
    <t>Debra Borstein</t>
  </si>
  <si>
    <t>3039608982</t>
  </si>
  <si>
    <t>Robert Hullinghorst</t>
  </si>
  <si>
    <t>7203257748</t>
  </si>
  <si>
    <t>Lois Adamson</t>
  </si>
  <si>
    <t>3034786612</t>
  </si>
  <si>
    <t>Amy Thornbury</t>
  </si>
  <si>
    <t>3038174184</t>
  </si>
  <si>
    <t>Doug Hamilton</t>
  </si>
  <si>
    <t>7205503572</t>
  </si>
  <si>
    <t>Shannon Golden-Schubert</t>
  </si>
  <si>
    <t>3037319036</t>
  </si>
  <si>
    <t>Jim Dimmick</t>
  </si>
  <si>
    <t>3032501072</t>
  </si>
  <si>
    <t>10300 W South Boulder Road,Lafayette,80026</t>
  </si>
  <si>
    <t>Sean Espy</t>
  </si>
  <si>
    <t>3038620789</t>
  </si>
  <si>
    <t>Leslie Brown</t>
  </si>
  <si>
    <t>3035508913</t>
  </si>
  <si>
    <t>Marsha Ruggeri</t>
  </si>
  <si>
    <t>3038750613</t>
  </si>
  <si>
    <t>Jena Siedler</t>
  </si>
  <si>
    <t>3034805084</t>
  </si>
  <si>
    <t>Steve Sullivan</t>
  </si>
  <si>
    <t>7205877498</t>
  </si>
  <si>
    <t>Susan Edelman</t>
  </si>
  <si>
    <t>9014810271</t>
  </si>
  <si>
    <t>Shelly Gerding</t>
  </si>
  <si>
    <t>7203735217</t>
  </si>
  <si>
    <t>4600 Clover Basin Dr,Longmont,80503</t>
  </si>
  <si>
    <t>Theodore Wild</t>
  </si>
  <si>
    <t>3039104787</t>
  </si>
  <si>
    <t>Anita Meriwether</t>
  </si>
  <si>
    <t>3038349392</t>
  </si>
  <si>
    <t>Barbara halpin</t>
  </si>
  <si>
    <t>3035790773</t>
  </si>
  <si>
    <t>Darcy Juday</t>
  </si>
  <si>
    <t>3037091001</t>
  </si>
  <si>
    <t>Ingrid Moore</t>
  </si>
  <si>
    <t>3037170576</t>
  </si>
  <si>
    <t>Chris Sydoriak</t>
  </si>
  <si>
    <t>3033288583</t>
  </si>
  <si>
    <t>Susan Caragol</t>
  </si>
  <si>
    <t>3038349213</t>
  </si>
  <si>
    <t>Holly Glessner</t>
  </si>
  <si>
    <t>7205441741</t>
  </si>
  <si>
    <t>Nicolas Novello</t>
  </si>
  <si>
    <t>5167240028</t>
  </si>
  <si>
    <t>1051 S Pratt Pkwy,Longmont,80501</t>
  </si>
  <si>
    <t>Clark Myers</t>
  </si>
  <si>
    <t>9703713047</t>
  </si>
  <si>
    <t>Ray Rodriguez</t>
  </si>
  <si>
    <t>7202803949</t>
  </si>
  <si>
    <t>1500 14th Ave.,Longmont,80501</t>
  </si>
  <si>
    <t>Robert Davidson</t>
  </si>
  <si>
    <t>2147254438</t>
  </si>
  <si>
    <t>Jonathan Singer</t>
  </si>
  <si>
    <t>3038754727</t>
  </si>
  <si>
    <t>Kathleen Clark</t>
  </si>
  <si>
    <t>3036780640</t>
  </si>
  <si>
    <t>Annie Colvin</t>
  </si>
  <si>
    <t>3037251823</t>
  </si>
  <si>
    <t>Greg Tafel</t>
  </si>
  <si>
    <t>3035708795</t>
  </si>
  <si>
    <t>Judith Koslov</t>
  </si>
  <si>
    <t>3036788249</t>
  </si>
  <si>
    <t>Dorothy Vernon</t>
  </si>
  <si>
    <t>3037253647</t>
  </si>
  <si>
    <t>Gerard Wienholt</t>
  </si>
  <si>
    <t>7204682090</t>
  </si>
  <si>
    <t>Harrison Earl</t>
  </si>
  <si>
    <t>9253815400</t>
  </si>
  <si>
    <t>Charles Fellenbaum</t>
  </si>
  <si>
    <t>7203533612</t>
  </si>
  <si>
    <t>Lyn Lowry</t>
  </si>
  <si>
    <t>5555555555</t>
  </si>
  <si>
    <t>Katharine Cooley</t>
  </si>
  <si>
    <t>5055148700</t>
  </si>
  <si>
    <t>Sue Collard</t>
  </si>
  <si>
    <t>3038186125</t>
  </si>
  <si>
    <t>Karen Kochanski</t>
  </si>
  <si>
    <t>7208996046</t>
  </si>
  <si>
    <t>Mary Apple</t>
  </si>
  <si>
    <t>3035883476</t>
  </si>
  <si>
    <t>Anne Reynolds-Smith</t>
  </si>
  <si>
    <t>7602673610</t>
  </si>
  <si>
    <t>1341 Main St,Louisville,80027</t>
  </si>
  <si>
    <t>Earl Hauserman</t>
  </si>
  <si>
    <t>7208901212</t>
  </si>
  <si>
    <t>Larry Woods</t>
  </si>
  <si>
    <t>7202335223</t>
  </si>
  <si>
    <t>Cynthia Braddock</t>
  </si>
  <si>
    <t>7209368210</t>
  </si>
  <si>
    <t>Don Parcher</t>
  </si>
  <si>
    <t>6199875434</t>
  </si>
  <si>
    <t>Janet Stonington</t>
  </si>
  <si>
    <t>3035485482</t>
  </si>
  <si>
    <t>Adrianne Middleton</t>
  </si>
  <si>
    <t>3035790389</t>
  </si>
  <si>
    <t> 14861 Highway 7,Allenspark,80540</t>
  </si>
  <si>
    <t>890 Main St,Gold Hill (Boulder),80302</t>
  </si>
  <si>
    <t>111 Mesa St,Jamestown,80455</t>
  </si>
  <si>
    <t>100 McConnell,Lyons,80540</t>
  </si>
  <si>
    <t>597 County Road 130,Nederland,80466</t>
  </si>
  <si>
    <t>Sally Gilman</t>
  </si>
  <si>
    <t>7202274416</t>
  </si>
  <si>
    <t>Katrina Harms</t>
  </si>
  <si>
    <t>3032494141</t>
  </si>
  <si>
    <t>Kenneth Fricklas</t>
  </si>
  <si>
    <t>3037172419</t>
  </si>
  <si>
    <t>1 Columbia Street,Ward,80481</t>
  </si>
  <si>
    <t>3351 S. Indiana St,Superior,80027</t>
  </si>
  <si>
    <t>Nathan Fair</t>
  </si>
  <si>
    <t>9195892262</t>
  </si>
  <si>
    <t>David Baskett</t>
  </si>
  <si>
    <t>3034757387</t>
  </si>
  <si>
    <t>Rachael Bray</t>
  </si>
  <si>
    <t>3038592767</t>
  </si>
  <si>
    <t>Sarah Owens</t>
  </si>
  <si>
    <t>8474772363</t>
  </si>
  <si>
    <t>233 E Mountain View Ave</t>
  </si>
  <si>
    <t>233 E Mountain View Ave,Longmont,80504</t>
  </si>
  <si>
    <t>(952) 567-3288</t>
  </si>
  <si>
    <t>7202204975 </t>
  </si>
  <si>
    <t>Liana Geroche-Vizcarrondo</t>
  </si>
  <si>
    <t>liana.gerochevizcarr@bvsd.org</t>
  </si>
  <si>
    <t>Randy Herbstreit &amp; Karl Buck AD</t>
  </si>
  <si>
    <t>randy.herbstreit@bvsd.org</t>
  </si>
  <si>
    <t>Jose Ortiz Lozano</t>
  </si>
  <si>
    <t>jose.ortiz-lozano@bvsd.org</t>
  </si>
  <si>
    <t>Kenly Shanks</t>
  </si>
  <si>
    <t>kenly.shanks@bvsd.org</t>
  </si>
  <si>
    <t>Raelee Debroux</t>
  </si>
  <si>
    <t>raelee.debroux@bvsd.org</t>
  </si>
  <si>
    <t>Elizabeth Parady</t>
  </si>
  <si>
    <t>elizabeth.parady@bvsd.org</t>
  </si>
  <si>
    <t>Megan Quitter</t>
  </si>
  <si>
    <t>megan.quitter@bvsd.org</t>
  </si>
  <si>
    <t>Treacy Cole</t>
  </si>
  <si>
    <t>treacy.cole@bvsd.org</t>
  </si>
  <si>
    <t>Aimee Tomlinson</t>
  </si>
  <si>
    <t>aimee.tomlinson@bvsd.org</t>
  </si>
  <si>
    <t>Jennifer Hintz</t>
  </si>
  <si>
    <t>jennifer.hintz@bvsd.org</t>
  </si>
  <si>
    <t>Stacy Laurain</t>
  </si>
  <si>
    <t>stacy.laurain@bvsd.org</t>
  </si>
  <si>
    <t>Location Contact</t>
  </si>
  <si>
    <t>Location Contact email</t>
  </si>
  <si>
    <t>Meadowlark</t>
  </si>
  <si>
    <t>Recap as of 2/9/2024</t>
  </si>
  <si>
    <t>2300 Meadow Sweet Ln</t>
  </si>
  <si>
    <t>2300 Meadow Sweet Ln,Erie,80516</t>
  </si>
  <si>
    <t xml:space="preserve">1515 Greenbriar Blvd </t>
  </si>
  <si>
    <t>1515 Greenbriar Blvd ,Boulder,80305</t>
  </si>
  <si>
    <t>Meadowlark School</t>
  </si>
  <si>
    <t>Name 2</t>
  </si>
  <si>
    <t>Phone 2</t>
  </si>
  <si>
    <t>Name 3</t>
  </si>
  <si>
    <t>Phone 3</t>
  </si>
  <si>
    <t>Name 4</t>
  </si>
  <si>
    <t>Phone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</si>
</sst>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0.0%"/>
  </numFmts>
  <fonts count="4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548235"/>
      <name val="Calibri"/>
      <family val="2"/>
    </font>
    <font>
      <b/>
      <sz val="11"/>
      <color rgb="FF000000"/>
      <name val="Calibri"/>
      <family val="2"/>
    </font>
    <font>
      <sz val="12"/>
      <color theme="9"/>
      <name val="Calibri"/>
      <family val="2"/>
    </font>
    <font>
      <b/>
      <sz val="12"/>
      <color rgb="FF212529"/>
      <name val="Calibri"/>
      <family val="2"/>
    </font>
    <font>
      <b/>
      <sz val="8.5"/>
      <color theme="0"/>
      <name val="Segoe UI"/>
      <family val="2"/>
    </font>
    <font>
      <sz val="8.5"/>
      <color theme="1"/>
      <name val="Calibri"/>
      <family val="2"/>
      <scheme val="minor"/>
    </font>
    <font>
      <sz val="8.5"/>
      <color rgb="FF212529"/>
      <name val="Segoe UI"/>
      <family val="2"/>
    </font>
    <font>
      <b/>
      <sz val="8.5"/>
      <color rgb="FF212529"/>
      <name val="Segoe UI"/>
      <family val="2"/>
    </font>
    <font>
      <b/>
      <sz val="12"/>
      <color theme="0"/>
      <name val="Calibri"/>
      <family val="2"/>
      <scheme val="minor"/>
    </font>
    <font>
      <sz val="12"/>
      <color rgb="FF7030A0"/>
      <name val="Calibri"/>
      <family val="2"/>
    </font>
    <font>
      <sz val="12"/>
      <color rgb="FF70AD47"/>
      <name val="Calibri"/>
      <family val="2"/>
    </font>
    <font>
      <sz val="11"/>
      <color rgb="FF212529"/>
      <name val="Calibri"/>
      <family val="2"/>
    </font>
    <font>
      <sz val="11"/>
      <color rgb="FF212529"/>
      <name val="Roboto"/>
    </font>
    <font>
      <sz val="12"/>
      <color rgb="FF0070C0"/>
      <name val="Calibri"/>
      <family val="2"/>
    </font>
    <font>
      <sz val="12"/>
      <color theme="5"/>
      <name val="Calibri"/>
      <family val="2"/>
    </font>
    <font>
      <sz val="12"/>
      <color theme="4"/>
      <name val="Calibri"/>
      <family val="2"/>
    </font>
    <font>
      <sz val="12"/>
      <color theme="4" tint="-0.249977111117893"/>
      <name val="Calibri"/>
      <family val="2"/>
    </font>
    <font>
      <b/>
      <sz val="12"/>
      <color rgb="FF000000"/>
      <name val="Calibri"/>
      <family val="2"/>
    </font>
    <font>
      <sz val="12"/>
      <color rgb="FF00B0F0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22222"/>
      <name val="Arial"/>
      <family val="2"/>
    </font>
    <font>
      <b/>
      <sz val="11"/>
      <color theme="0"/>
      <name val="Calibri"/>
      <family val="2"/>
      <scheme val="minor"/>
    </font>
    <font>
      <sz val="11"/>
      <color rgb="FF202124"/>
      <name val="Calibri"/>
      <family val="2"/>
      <scheme val="minor"/>
    </font>
    <font>
      <sz val="7"/>
      <color rgb="FF228AE6"/>
      <name val="Segoe UI"/>
      <family val="2"/>
    </font>
    <font>
      <u/>
      <sz val="12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DAD6"/>
        <bgColor indexed="64"/>
      </patternFill>
    </fill>
    <fill>
      <patternFill patternType="solid">
        <fgColor rgb="FFD7DC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689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79E"/>
        <bgColor indexed="64"/>
      </patternFill>
    </fill>
    <fill>
      <patternFill patternType="solid">
        <fgColor rgb="FF8E7FFA"/>
        <bgColor indexed="64"/>
      </patternFill>
    </fill>
    <fill>
      <patternFill patternType="solid">
        <fgColor rgb="FFFFDAD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9" fontId="6" fillId="0" borderId="0" applyFont="0" applyFill="0" applyBorder="0" applyAlignment="0" applyProtection="0"/>
    <xf numFmtId="0" fontId="43" fillId="0" borderId="0" applyNumberForma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center"/>
    </xf>
    <xf numFmtId="0" fontId="10" fillId="0" borderId="0" xfId="0" applyFont="1"/>
    <xf numFmtId="0" fontId="7" fillId="0" borderId="0" xfId="0" applyFont="1"/>
    <xf numFmtId="0" fontId="15" fillId="0" borderId="0" xfId="0" applyFont="1"/>
    <xf numFmtId="0" fontId="17" fillId="0" borderId="1" xfId="0" applyFont="1" applyBorder="1"/>
    <xf numFmtId="0" fontId="18" fillId="0" borderId="1" xfId="0" applyFont="1" applyBorder="1" applyAlignment="1">
      <alignment vertical="center"/>
    </xf>
    <xf numFmtId="0" fontId="17" fillId="0" borderId="0" xfId="0" applyFont="1"/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horizontal="center"/>
    </xf>
    <xf numFmtId="0" fontId="0" fillId="20" borderId="0" xfId="0" applyFill="1"/>
    <xf numFmtId="0" fontId="20" fillId="20" borderId="0" xfId="0" applyFont="1" applyFill="1"/>
    <xf numFmtId="0" fontId="16" fillId="20" borderId="5" xfId="0" applyFont="1" applyFill="1" applyBorder="1" applyAlignment="1">
      <alignment horizontal="left" vertical="center" wrapText="1"/>
    </xf>
    <xf numFmtId="0" fontId="16" fillId="20" borderId="6" xfId="0" applyFont="1" applyFill="1" applyBorder="1" applyAlignment="1">
      <alignment horizontal="left" vertical="center" wrapText="1"/>
    </xf>
    <xf numFmtId="0" fontId="16" fillId="20" borderId="7" xfId="0" applyFont="1" applyFill="1" applyBorder="1" applyAlignment="1">
      <alignment horizontal="left" vertical="center" wrapText="1"/>
    </xf>
    <xf numFmtId="0" fontId="16" fillId="20" borderId="2" xfId="0" applyFont="1" applyFill="1" applyBorder="1" applyAlignment="1">
      <alignment horizontal="left" vertical="center" wrapText="1"/>
    </xf>
    <xf numFmtId="0" fontId="16" fillId="20" borderId="8" xfId="0" applyFont="1" applyFill="1" applyBorder="1" applyAlignment="1">
      <alignment horizontal="left" vertical="center" wrapText="1"/>
    </xf>
    <xf numFmtId="0" fontId="0" fillId="0" borderId="1" xfId="0" applyBorder="1"/>
    <xf numFmtId="0" fontId="18" fillId="0" borderId="1" xfId="0" applyFont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164" fontId="0" fillId="0" borderId="0" xfId="0" applyNumberFormat="1"/>
    <xf numFmtId="164" fontId="24" fillId="0" borderId="0" xfId="0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13" fillId="0" borderId="0" xfId="0" applyFont="1"/>
    <xf numFmtId="0" fontId="32" fillId="0" borderId="0" xfId="0" applyFont="1"/>
    <xf numFmtId="0" fontId="34" fillId="0" borderId="0" xfId="0" applyFont="1"/>
    <xf numFmtId="0" fontId="3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9" fillId="0" borderId="0" xfId="0" applyFont="1"/>
    <xf numFmtId="0" fontId="4" fillId="0" borderId="0" xfId="0" applyFont="1"/>
    <xf numFmtId="0" fontId="30" fillId="0" borderId="0" xfId="0" applyFont="1"/>
    <xf numFmtId="0" fontId="28" fillId="0" borderId="0" xfId="0" applyFont="1"/>
    <xf numFmtId="0" fontId="25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5" fillId="0" borderId="0" xfId="0" applyFont="1"/>
    <xf numFmtId="0" fontId="21" fillId="0" borderId="0" xfId="0" applyFont="1"/>
    <xf numFmtId="0" fontId="26" fillId="0" borderId="0" xfId="0" applyFont="1"/>
    <xf numFmtId="0" fontId="29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36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36" fillId="0" borderId="0" xfId="0" applyFont="1" applyAlignment="1">
      <alignment horizontal="center" wrapText="1"/>
    </xf>
    <xf numFmtId="0" fontId="38" fillId="0" borderId="0" xfId="0" applyFont="1"/>
    <xf numFmtId="0" fontId="10" fillId="0" borderId="0" xfId="0" applyFont="1" applyAlignment="1">
      <alignment horizontal="left" wrapText="1"/>
    </xf>
    <xf numFmtId="0" fontId="34" fillId="0" borderId="0" xfId="0" applyFon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1" xfId="1" applyFont="1" applyBorder="1"/>
    <xf numFmtId="0" fontId="5" fillId="0" borderId="1" xfId="1" applyBorder="1"/>
    <xf numFmtId="0" fontId="10" fillId="0" borderId="1" xfId="0" applyFont="1" applyBorder="1"/>
    <xf numFmtId="0" fontId="7" fillId="0" borderId="0" xfId="0" applyFont="1" applyAlignment="1">
      <alignment horizontal="left" wrapText="1"/>
    </xf>
    <xf numFmtId="0" fontId="13" fillId="24" borderId="0" xfId="0" applyFont="1" applyFill="1"/>
    <xf numFmtId="0" fontId="0" fillId="24" borderId="0" xfId="0" applyFill="1"/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7" fillId="0" borderId="4" xfId="0" applyFont="1" applyBorder="1" applyAlignment="1">
      <alignment horizontal="center"/>
    </xf>
    <xf numFmtId="3" fontId="10" fillId="0" borderId="0" xfId="0" applyNumberFormat="1" applyFont="1" applyAlignment="1">
      <alignment horizontal="center" wrapText="1"/>
    </xf>
    <xf numFmtId="165" fontId="7" fillId="0" borderId="0" xfId="2" applyNumberFormat="1" applyFont="1" applyAlignment="1">
      <alignment horizontal="center"/>
    </xf>
    <xf numFmtId="3" fontId="37" fillId="0" borderId="0" xfId="0" applyNumberFormat="1" applyFont="1" applyAlignment="1">
      <alignment horizontal="center" wrapText="1"/>
    </xf>
    <xf numFmtId="0" fontId="3" fillId="0" borderId="0" xfId="0" applyFont="1"/>
    <xf numFmtId="0" fontId="0" fillId="19" borderId="1" xfId="0" applyFill="1" applyBorder="1"/>
    <xf numFmtId="0" fontId="40" fillId="25" borderId="3" xfId="0" applyFont="1" applyFill="1" applyBorder="1"/>
    <xf numFmtId="0" fontId="40" fillId="26" borderId="3" xfId="0" applyFont="1" applyFill="1" applyBorder="1"/>
    <xf numFmtId="0" fontId="10" fillId="3" borderId="0" xfId="0" applyFont="1" applyFill="1"/>
    <xf numFmtId="0" fontId="0" fillId="3" borderId="0" xfId="0" applyFill="1"/>
    <xf numFmtId="9" fontId="7" fillId="0" borderId="0" xfId="2" applyFont="1"/>
    <xf numFmtId="0" fontId="0" fillId="0" borderId="3" xfId="0" applyBorder="1"/>
    <xf numFmtId="0" fontId="0" fillId="0" borderId="0" xfId="0" applyAlignment="1" applyProtection="1">
      <alignment horizontal="center"/>
      <protection locked="0"/>
    </xf>
    <xf numFmtId="0" fontId="37" fillId="0" borderId="0" xfId="0" applyFont="1" applyAlignment="1" applyProtection="1">
      <alignment horizontal="center" wrapText="1"/>
      <protection locked="0"/>
    </xf>
    <xf numFmtId="0" fontId="35" fillId="0" borderId="1" xfId="0" applyFont="1" applyBorder="1" applyAlignment="1">
      <alignment horizontal="center" vertical="top"/>
    </xf>
    <xf numFmtId="0" fontId="0" fillId="0" borderId="0" xfId="0" applyAlignment="1" applyProtection="1">
      <alignment horizontal="center" wrapText="1"/>
      <protection locked="0"/>
    </xf>
    <xf numFmtId="0" fontId="40" fillId="26" borderId="3" xfId="0" applyFont="1" applyFill="1" applyBorder="1" applyAlignment="1">
      <alignment horizontal="center"/>
    </xf>
    <xf numFmtId="0" fontId="2" fillId="0" borderId="0" xfId="0" applyFont="1"/>
    <xf numFmtId="0" fontId="40" fillId="27" borderId="3" xfId="0" applyFont="1" applyFill="1" applyBorder="1"/>
    <xf numFmtId="0" fontId="40" fillId="27" borderId="10" xfId="0" applyFont="1" applyFill="1" applyBorder="1"/>
    <xf numFmtId="0" fontId="13" fillId="0" borderId="11" xfId="0" applyFont="1" applyBorder="1"/>
    <xf numFmtId="0" fontId="33" fillId="0" borderId="11" xfId="0" applyFont="1" applyBorder="1"/>
    <xf numFmtId="0" fontId="35" fillId="0" borderId="11" xfId="0" applyFont="1" applyBorder="1"/>
    <xf numFmtId="0" fontId="35" fillId="0" borderId="11" xfId="0" applyFont="1" applyBorder="1" applyAlignment="1">
      <alignment horizontal="center"/>
    </xf>
    <xf numFmtId="0" fontId="35" fillId="0" borderId="11" xfId="0" applyFont="1" applyBorder="1" applyAlignment="1">
      <alignment wrapText="1"/>
    </xf>
    <xf numFmtId="0" fontId="33" fillId="0" borderId="12" xfId="0" applyFont="1" applyBorder="1"/>
    <xf numFmtId="0" fontId="7" fillId="0" borderId="1" xfId="0" applyFont="1" applyBorder="1"/>
    <xf numFmtId="0" fontId="11" fillId="0" borderId="1" xfId="0" applyFont="1" applyBorder="1"/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wrapText="1"/>
    </xf>
    <xf numFmtId="0" fontId="11" fillId="5" borderId="1" xfId="0" applyFont="1" applyFill="1" applyBorder="1"/>
    <xf numFmtId="0" fontId="8" fillId="0" borderId="1" xfId="0" applyFont="1" applyBorder="1" applyAlignment="1">
      <alignment wrapText="1"/>
    </xf>
    <xf numFmtId="0" fontId="7" fillId="7" borderId="1" xfId="0" applyFont="1" applyFill="1" applyBorder="1"/>
    <xf numFmtId="0" fontId="22" fillId="0" borderId="1" xfId="0" applyFont="1" applyBorder="1"/>
    <xf numFmtId="0" fontId="7" fillId="8" borderId="1" xfId="0" applyFont="1" applyFill="1" applyBorder="1"/>
    <xf numFmtId="0" fontId="38" fillId="0" borderId="1" xfId="0" applyFont="1" applyBorder="1"/>
    <xf numFmtId="0" fontId="7" fillId="10" borderId="1" xfId="0" applyFont="1" applyFill="1" applyBorder="1"/>
    <xf numFmtId="0" fontId="7" fillId="5" borderId="1" xfId="0" applyFont="1" applyFill="1" applyBorder="1"/>
    <xf numFmtId="0" fontId="7" fillId="9" borderId="1" xfId="0" applyFont="1" applyFill="1" applyBorder="1"/>
    <xf numFmtId="0" fontId="32" fillId="0" borderId="1" xfId="0" applyFont="1" applyBorder="1"/>
    <xf numFmtId="0" fontId="7" fillId="11" borderId="1" xfId="0" applyFont="1" applyFill="1" applyBorder="1"/>
    <xf numFmtId="0" fontId="7" fillId="0" borderId="1" xfId="0" applyFont="1" applyBorder="1" applyAlignment="1">
      <alignment wrapText="1"/>
    </xf>
    <xf numFmtId="0" fontId="7" fillId="12" borderId="1" xfId="0" applyFont="1" applyFill="1" applyBorder="1"/>
    <xf numFmtId="0" fontId="7" fillId="13" borderId="1" xfId="0" applyFont="1" applyFill="1" applyBorder="1"/>
    <xf numFmtId="0" fontId="8" fillId="0" borderId="1" xfId="0" applyFont="1" applyBorder="1"/>
    <xf numFmtId="0" fontId="7" fillId="14" borderId="1" xfId="0" applyFont="1" applyFill="1" applyBorder="1"/>
    <xf numFmtId="0" fontId="21" fillId="0" borderId="1" xfId="0" applyFont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4" fillId="0" borderId="1" xfId="0" applyFont="1" applyBorder="1"/>
    <xf numFmtId="0" fontId="7" fillId="15" borderId="1" xfId="0" applyFont="1" applyFill="1" applyBorder="1"/>
    <xf numFmtId="0" fontId="7" fillId="16" borderId="1" xfId="0" applyFont="1" applyFill="1" applyBorder="1"/>
    <xf numFmtId="0" fontId="0" fillId="0" borderId="1" xfId="0" applyBorder="1" applyAlignment="1">
      <alignment wrapText="1"/>
    </xf>
    <xf numFmtId="0" fontId="7" fillId="17" borderId="1" xfId="0" applyFont="1" applyFill="1" applyBorder="1"/>
    <xf numFmtId="0" fontId="7" fillId="18" borderId="1" xfId="0" applyFont="1" applyFill="1" applyBorder="1"/>
    <xf numFmtId="0" fontId="30" fillId="21" borderId="1" xfId="0" applyFont="1" applyFill="1" applyBorder="1"/>
    <xf numFmtId="0" fontId="7" fillId="21" borderId="1" xfId="0" applyFont="1" applyFill="1" applyBorder="1"/>
    <xf numFmtId="0" fontId="32" fillId="0" borderId="1" xfId="0" applyFont="1" applyBorder="1" applyAlignment="1">
      <alignment wrapText="1"/>
    </xf>
    <xf numFmtId="0" fontId="7" fillId="22" borderId="1" xfId="0" applyFont="1" applyFill="1" applyBorder="1"/>
    <xf numFmtId="0" fontId="28" fillId="23" borderId="1" xfId="0" applyFont="1" applyFill="1" applyBorder="1"/>
    <xf numFmtId="0" fontId="7" fillId="23" borderId="1" xfId="0" applyFont="1" applyFill="1" applyBorder="1"/>
    <xf numFmtId="0" fontId="31" fillId="0" borderId="1" xfId="0" applyFont="1" applyBorder="1"/>
    <xf numFmtId="0" fontId="25" fillId="5" borderId="1" xfId="0" applyFont="1" applyFill="1" applyBorder="1"/>
    <xf numFmtId="0" fontId="7" fillId="6" borderId="1" xfId="0" applyFont="1" applyFill="1" applyBorder="1"/>
    <xf numFmtId="0" fontId="10" fillId="6" borderId="1" xfId="0" applyFont="1" applyFill="1" applyBorder="1"/>
    <xf numFmtId="0" fontId="0" fillId="6" borderId="1" xfId="0" applyFill="1" applyBorder="1"/>
    <xf numFmtId="0" fontId="27" fillId="5" borderId="1" xfId="0" applyFont="1" applyFill="1" applyBorder="1"/>
    <xf numFmtId="0" fontId="21" fillId="2" borderId="1" xfId="0" applyFont="1" applyFill="1" applyBorder="1"/>
    <xf numFmtId="0" fontId="7" fillId="2" borderId="1" xfId="0" applyFont="1" applyFill="1" applyBorder="1"/>
    <xf numFmtId="0" fontId="7" fillId="4" borderId="1" xfId="0" applyFont="1" applyFill="1" applyBorder="1"/>
    <xf numFmtId="0" fontId="29" fillId="4" borderId="1" xfId="0" applyFont="1" applyFill="1" applyBorder="1"/>
    <xf numFmtId="0" fontId="26" fillId="4" borderId="1" xfId="0" applyFont="1" applyFill="1" applyBorder="1"/>
    <xf numFmtId="0" fontId="1" fillId="0" borderId="0" xfId="0" applyFont="1"/>
    <xf numFmtId="0" fontId="0" fillId="3" borderId="1" xfId="0" applyFill="1" applyBorder="1"/>
    <xf numFmtId="0" fontId="40" fillId="25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2" fillId="0" borderId="0" xfId="0" applyFont="1"/>
    <xf numFmtId="0" fontId="43" fillId="0" borderId="0" xfId="3" quotePrefix="1"/>
    <xf numFmtId="0" fontId="10" fillId="0" borderId="13" xfId="0" applyFont="1" applyBorder="1"/>
    <xf numFmtId="0" fontId="0" fillId="0" borderId="13" xfId="0" applyBorder="1"/>
    <xf numFmtId="0" fontId="44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3" fillId="0" borderId="0" xfId="3" applyFill="1" applyBorder="1" applyAlignment="1">
      <alignment vertical="center" wrapText="1"/>
    </xf>
    <xf numFmtId="0" fontId="46" fillId="0" borderId="0" xfId="0" applyFont="1" applyAlignment="1">
      <alignment vertical="center" wrapText="1"/>
    </xf>
    <xf numFmtId="0" fontId="39" fillId="0" borderId="1" xfId="0" applyFont="1" applyBorder="1"/>
    <xf numFmtId="0" fontId="41" fillId="0" borderId="1" xfId="0" applyFont="1" applyBorder="1"/>
    <xf numFmtId="0" fontId="0" fillId="19" borderId="13" xfId="0" applyFill="1" applyBorder="1"/>
    <xf numFmtId="0" fontId="44" fillId="19" borderId="0" xfId="0" applyFont="1" applyFill="1" applyAlignment="1">
      <alignment vertical="center" wrapText="1"/>
    </xf>
    <xf numFmtId="0" fontId="46" fillId="19" borderId="0" xfId="0" applyFont="1" applyFill="1" applyAlignment="1">
      <alignment vertical="center" wrapText="1"/>
    </xf>
    <xf numFmtId="0" fontId="43" fillId="19" borderId="0" xfId="3" applyFill="1" applyBorder="1" applyAlignment="1">
      <alignment vertical="center" wrapText="1"/>
    </xf>
    <xf numFmtId="0" fontId="0" fillId="19" borderId="0" xfId="0" applyFill="1"/>
    <xf numFmtId="0" fontId="45" fillId="19" borderId="0" xfId="0" applyFont="1" applyFill="1" applyAlignment="1">
      <alignment vertical="center" wrapText="1"/>
    </xf>
    <xf numFmtId="1" fontId="0" fillId="0" borderId="3" xfId="0" applyNumberFormat="1" applyBorder="1"/>
  </cellXfs>
  <cellStyles count="4">
    <cellStyle name="Excel Built-in Normal" xfId="1" xr:uid="{6E05BC91-FEF0-134A-A1EE-997E19EEF8AD}"/>
    <cellStyle name="Hyperlink" xfId="3" builtinId="8"/>
    <cellStyle name="Normal" xfId="0" builtinId="0"/>
    <cellStyle name="Percent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tel:+1-720-220-4975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CEB4-36AF-4899-9A3E-058794C16674}">
  <sheetPr>
    <tabColor theme="5" tint="-0.249977111117893"/>
    <pageSetUpPr fitToPage="1"/>
  </sheetPr>
  <dimension ref="A1:HF28"/>
  <sheetViews>
    <sheetView zoomScaleNormal="100" workbookViewId="0">
      <pane xSplit="1" ySplit="4" topLeftCell="C5" activePane="bottomRight" state="frozen"/>
      <selection pane="topRight" activeCell="B1" sqref="B1"/>
      <selection pane="bottomLeft" activeCell="A8" sqref="A8"/>
      <selection pane="bottomRight" activeCell="F11" sqref="F11"/>
    </sheetView>
  </sheetViews>
  <sheetFormatPr baseColWidth="10" defaultColWidth="8.83203125" defaultRowHeight="16" x14ac:dyDescent="0.2"/>
  <cols>
    <col min="1" max="1" width="19.83203125" bestFit="1" customWidth="1"/>
    <col min="2" max="2" width="15.5" bestFit="1" customWidth="1"/>
    <col min="3" max="3" width="14.5" bestFit="1" customWidth="1"/>
    <col min="4" max="4" width="7" style="59" customWidth="1"/>
    <col min="5" max="5" width="7.5" style="1" customWidth="1"/>
    <col min="6" max="6" width="9" style="1" customWidth="1"/>
    <col min="7" max="7" width="46.5" style="51" bestFit="1" customWidth="1"/>
    <col min="8" max="32" width="5.5" style="1" hidden="1" customWidth="1"/>
    <col min="33" max="33" width="7.5" style="1" customWidth="1"/>
    <col min="34" max="34" width="9.5" bestFit="1" customWidth="1"/>
    <col min="35" max="35" width="23.33203125" bestFit="1" customWidth="1"/>
    <col min="36" max="36" width="10.5" customWidth="1"/>
    <col min="37" max="37" width="25.5" bestFit="1" customWidth="1"/>
    <col min="38" max="38" width="9.5" bestFit="1" customWidth="1"/>
    <col min="39" max="39" width="15.33203125" bestFit="1" customWidth="1"/>
    <col min="40" max="40" width="10.5" bestFit="1" customWidth="1"/>
    <col min="41" max="41" width="29" bestFit="1" customWidth="1"/>
    <col min="42" max="42" width="9.5" bestFit="1" customWidth="1"/>
    <col min="43" max="43" width="13.5" bestFit="1" customWidth="1"/>
    <col min="44" max="44" width="10.5" bestFit="1" customWidth="1"/>
    <col min="45" max="45" width="22.33203125" bestFit="1" customWidth="1"/>
    <col min="46" max="46" width="9.5" bestFit="1" customWidth="1"/>
    <col min="47" max="47" width="12.83203125" bestFit="1" customWidth="1"/>
    <col min="48" max="48" width="10.5" bestFit="1" customWidth="1"/>
    <col min="49" max="49" width="24.83203125" bestFit="1" customWidth="1"/>
    <col min="50" max="50" width="9.5" bestFit="1" customWidth="1"/>
    <col min="51" max="51" width="13" bestFit="1" customWidth="1"/>
    <col min="52" max="52" width="10.5" bestFit="1" customWidth="1"/>
    <col min="53" max="53" width="17.83203125" bestFit="1" customWidth="1"/>
    <col min="54" max="58" width="8" bestFit="1" customWidth="1"/>
    <col min="59" max="59" width="19.33203125" hidden="1" customWidth="1"/>
    <col min="60" max="65" width="8.5" bestFit="1" customWidth="1"/>
    <col min="66" max="83" width="11.83203125" bestFit="1" customWidth="1"/>
    <col min="84" max="95" width="12.83203125" bestFit="1" customWidth="1"/>
    <col min="96" max="103" width="10.5" bestFit="1" customWidth="1"/>
    <col min="104" max="115" width="6.5" bestFit="1" customWidth="1"/>
    <col min="116" max="131" width="12.83203125" bestFit="1" customWidth="1"/>
    <col min="132" max="136" width="17.5" bestFit="1" customWidth="1"/>
    <col min="137" max="148" width="13" bestFit="1" customWidth="1"/>
    <col min="149" max="161" width="10.83203125" bestFit="1" customWidth="1"/>
    <col min="162" max="167" width="12" bestFit="1" customWidth="1"/>
    <col min="168" max="180" width="8.33203125" bestFit="1" customWidth="1"/>
    <col min="181" max="195" width="15.33203125" bestFit="1" customWidth="1"/>
    <col min="196" max="214" width="12.33203125" bestFit="1" customWidth="1"/>
  </cols>
  <sheetData>
    <row r="1" spans="1:214" ht="17" x14ac:dyDescent="0.2">
      <c r="A1" s="32" t="s">
        <v>96</v>
      </c>
      <c r="B1" s="32"/>
      <c r="C1" s="32"/>
      <c r="D1" s="42"/>
      <c r="E1" s="62">
        <f>(E2/D2)</f>
        <v>2.5000000000000005E-2</v>
      </c>
      <c r="F1" s="31">
        <f>('Supersite Working-AW'!B2)</f>
        <v>193</v>
      </c>
      <c r="G1" s="55" t="s">
        <v>97</v>
      </c>
      <c r="H1" s="31"/>
      <c r="I1" s="31"/>
      <c r="J1" s="31"/>
      <c r="K1" s="31"/>
      <c r="L1" s="31"/>
      <c r="M1" s="1" t="s">
        <v>97</v>
      </c>
      <c r="N1" s="1" t="s">
        <v>97</v>
      </c>
      <c r="O1" s="37"/>
      <c r="P1" s="37"/>
      <c r="Q1" s="37" t="s">
        <v>97</v>
      </c>
      <c r="R1" s="37" t="s">
        <v>97</v>
      </c>
      <c r="S1" s="37" t="s">
        <v>97</v>
      </c>
      <c r="T1" s="37"/>
      <c r="U1" s="31"/>
      <c r="V1" s="31"/>
      <c r="W1" s="31"/>
      <c r="X1" s="31"/>
      <c r="Y1" s="31"/>
      <c r="Z1" s="31"/>
      <c r="AA1" s="37"/>
      <c r="AB1" s="31"/>
      <c r="AC1" s="31"/>
      <c r="AD1" s="31"/>
      <c r="AE1" s="31"/>
      <c r="AF1" s="31"/>
      <c r="AG1" s="41" t="s">
        <v>98</v>
      </c>
      <c r="AH1" s="46"/>
      <c r="AI1" s="46"/>
      <c r="AK1" s="46"/>
      <c r="AL1" s="46"/>
      <c r="AQ1" s="3"/>
      <c r="AR1" s="3"/>
      <c r="AS1" s="3"/>
      <c r="AT1" s="3"/>
      <c r="AU1" s="3"/>
      <c r="AV1" s="3"/>
      <c r="AW1" s="3"/>
      <c r="AX1" s="38"/>
      <c r="AY1" s="3"/>
      <c r="AZ1" s="3"/>
      <c r="BA1" s="3"/>
      <c r="BB1" s="38"/>
      <c r="BC1" s="38"/>
      <c r="BD1" s="38"/>
      <c r="BE1" s="38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4"/>
      <c r="EC1" s="34"/>
      <c r="ED1" s="34"/>
      <c r="EE1" s="34"/>
      <c r="EF1" s="34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</row>
    <row r="2" spans="1:214" ht="17" x14ac:dyDescent="0.2">
      <c r="A2" s="41">
        <f>COUNTA(A5:A25)</f>
        <v>20</v>
      </c>
      <c r="B2" s="41"/>
      <c r="C2" s="41"/>
      <c r="D2" s="42">
        <f>SUM(D5:D25)</f>
        <v>66739</v>
      </c>
      <c r="E2" s="42">
        <f>SUM(E5:E25)</f>
        <v>1668.4750000000004</v>
      </c>
      <c r="F2" s="31">
        <f>SUM(F5:F25)</f>
        <v>193</v>
      </c>
      <c r="G2" s="55" t="s">
        <v>97</v>
      </c>
      <c r="H2" s="36" t="s">
        <v>97</v>
      </c>
      <c r="I2" s="36" t="s">
        <v>97</v>
      </c>
      <c r="J2" s="36" t="s">
        <v>97</v>
      </c>
      <c r="K2" s="36" t="s">
        <v>97</v>
      </c>
      <c r="L2" s="36"/>
      <c r="M2" s="36"/>
      <c r="N2" s="37"/>
      <c r="O2" s="37"/>
      <c r="P2" s="37"/>
      <c r="Q2" s="37"/>
      <c r="R2" s="37"/>
      <c r="S2" s="37"/>
      <c r="T2" s="37"/>
      <c r="U2" s="31"/>
      <c r="V2" s="31"/>
      <c r="W2" s="31"/>
      <c r="X2" s="31"/>
      <c r="Y2" s="31"/>
      <c r="Z2" s="31"/>
      <c r="AA2" s="37"/>
      <c r="AB2" s="31"/>
      <c r="AC2" s="31"/>
      <c r="AD2" s="31"/>
      <c r="AE2" s="31"/>
      <c r="AF2" s="31"/>
      <c r="AG2" s="31">
        <f>SUM(AH2:BA2)</f>
        <v>50</v>
      </c>
      <c r="AH2" s="3"/>
      <c r="AI2" s="3">
        <f>COUNTA(AI5:AI24)-1</f>
        <v>19</v>
      </c>
      <c r="AJ2" s="3"/>
      <c r="AK2" s="3"/>
      <c r="AL2" s="3">
        <f>COUNTA(AL5:AL24)</f>
        <v>15</v>
      </c>
      <c r="AM2" s="3"/>
      <c r="AN2" s="3"/>
      <c r="AO2" s="3"/>
      <c r="AP2" s="3">
        <f>COUNTA(AP5:AP24)</f>
        <v>10</v>
      </c>
      <c r="AQ2" s="3"/>
      <c r="AR2" s="3"/>
      <c r="AS2" s="3"/>
      <c r="AT2" s="3">
        <f>COUNTA(AT5:AT24)</f>
        <v>5</v>
      </c>
      <c r="AU2" s="3"/>
      <c r="AV2" s="3"/>
      <c r="AW2" s="3"/>
      <c r="AX2" s="3">
        <f>COUNTA(AX5:AX24)</f>
        <v>1</v>
      </c>
      <c r="AY2" s="3"/>
      <c r="AZ2" s="3"/>
      <c r="BA2" s="3"/>
      <c r="BB2" s="38"/>
      <c r="BC2" s="38"/>
      <c r="BD2" s="38"/>
      <c r="BE2" s="38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4"/>
      <c r="EC2" s="34"/>
      <c r="ED2" s="34"/>
      <c r="EE2" s="34"/>
      <c r="EF2" s="34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</row>
    <row r="3" spans="1:214" ht="17" x14ac:dyDescent="0.2">
      <c r="A3" s="3"/>
      <c r="B3" s="3"/>
      <c r="C3" s="3"/>
      <c r="D3" s="42"/>
      <c r="E3" s="31"/>
      <c r="F3" s="31"/>
      <c r="G3" s="55" t="s">
        <v>97</v>
      </c>
      <c r="H3" s="36">
        <v>1</v>
      </c>
      <c r="I3" s="36">
        <f>(H3+1)</f>
        <v>2</v>
      </c>
      <c r="J3" s="36">
        <f t="shared" ref="J3:Z3" si="0">(I3+1)</f>
        <v>3</v>
      </c>
      <c r="K3" s="36">
        <f t="shared" si="0"/>
        <v>4</v>
      </c>
      <c r="L3" s="36">
        <f t="shared" si="0"/>
        <v>5</v>
      </c>
      <c r="M3" s="36">
        <f t="shared" si="0"/>
        <v>6</v>
      </c>
      <c r="N3" s="36">
        <f t="shared" si="0"/>
        <v>7</v>
      </c>
      <c r="O3" s="36">
        <f t="shared" si="0"/>
        <v>8</v>
      </c>
      <c r="P3" s="36">
        <f t="shared" si="0"/>
        <v>9</v>
      </c>
      <c r="Q3" s="36">
        <f t="shared" si="0"/>
        <v>10</v>
      </c>
      <c r="R3" s="36">
        <f t="shared" si="0"/>
        <v>11</v>
      </c>
      <c r="S3" s="36">
        <f t="shared" si="0"/>
        <v>12</v>
      </c>
      <c r="T3" s="36">
        <f t="shared" si="0"/>
        <v>13</v>
      </c>
      <c r="U3" s="36">
        <f t="shared" si="0"/>
        <v>14</v>
      </c>
      <c r="V3" s="36">
        <f t="shared" si="0"/>
        <v>15</v>
      </c>
      <c r="W3" s="36">
        <f t="shared" si="0"/>
        <v>16</v>
      </c>
      <c r="X3" s="36">
        <f t="shared" si="0"/>
        <v>17</v>
      </c>
      <c r="Y3" s="36">
        <f t="shared" si="0"/>
        <v>18</v>
      </c>
      <c r="Z3" s="36">
        <f t="shared" si="0"/>
        <v>19</v>
      </c>
      <c r="AA3" s="36">
        <f t="shared" ref="AA3:AF3" si="1">(Z3+1)</f>
        <v>20</v>
      </c>
      <c r="AB3" s="36">
        <f t="shared" si="1"/>
        <v>21</v>
      </c>
      <c r="AC3" s="36">
        <f t="shared" si="1"/>
        <v>22</v>
      </c>
      <c r="AD3" s="36">
        <f t="shared" si="1"/>
        <v>23</v>
      </c>
      <c r="AE3" s="36">
        <f t="shared" si="1"/>
        <v>24</v>
      </c>
      <c r="AF3" s="36">
        <f t="shared" si="1"/>
        <v>25</v>
      </c>
      <c r="AG3" s="58">
        <f>('NGP Chairs CoChairs'!A55)-3</f>
        <v>-3</v>
      </c>
      <c r="AH3" s="3"/>
      <c r="AI3" s="3"/>
      <c r="AJ3" s="3"/>
      <c r="AK3" s="3"/>
      <c r="AL3" s="3"/>
      <c r="AM3" s="3"/>
      <c r="AN3" s="3"/>
      <c r="AO3" s="3"/>
      <c r="AP3" s="46" t="s">
        <v>97</v>
      </c>
      <c r="AQ3" s="3"/>
      <c r="AR3" s="3"/>
      <c r="AS3" s="3"/>
      <c r="AT3" s="3"/>
      <c r="AU3" s="3"/>
      <c r="AV3" s="3"/>
      <c r="AW3" s="3"/>
      <c r="AX3" s="38"/>
      <c r="AY3" s="3"/>
      <c r="AZ3" s="3"/>
      <c r="BA3" s="3"/>
      <c r="BB3" s="38"/>
      <c r="BC3" s="38"/>
      <c r="BD3" s="38"/>
      <c r="BE3" s="38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4"/>
      <c r="EC3" s="34"/>
      <c r="ED3" s="34"/>
      <c r="EE3" s="34"/>
      <c r="EF3" s="34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</row>
    <row r="4" spans="1:214" s="43" customFormat="1" ht="53" x14ac:dyDescent="0.2">
      <c r="A4" s="43" t="s">
        <v>99</v>
      </c>
      <c r="B4" s="43" t="s">
        <v>100</v>
      </c>
      <c r="C4" s="43" t="s">
        <v>101</v>
      </c>
      <c r="D4" s="61" t="s">
        <v>102</v>
      </c>
      <c r="E4" s="63" t="s">
        <v>103</v>
      </c>
      <c r="F4" s="44" t="s">
        <v>104</v>
      </c>
      <c r="G4" s="47" t="s">
        <v>105</v>
      </c>
      <c r="H4" s="45" t="s">
        <v>106</v>
      </c>
      <c r="I4" s="45" t="s">
        <v>106</v>
      </c>
      <c r="J4" s="45" t="s">
        <v>106</v>
      </c>
      <c r="K4" s="45" t="s">
        <v>106</v>
      </c>
      <c r="L4" s="45" t="s">
        <v>106</v>
      </c>
      <c r="M4" s="45" t="s">
        <v>106</v>
      </c>
      <c r="N4" s="45" t="s">
        <v>106</v>
      </c>
      <c r="O4" s="45" t="s">
        <v>106</v>
      </c>
      <c r="P4" s="45" t="s">
        <v>106</v>
      </c>
      <c r="Q4" s="45" t="s">
        <v>106</v>
      </c>
      <c r="R4" s="45" t="s">
        <v>106</v>
      </c>
      <c r="S4" s="45" t="s">
        <v>106</v>
      </c>
      <c r="T4" s="45" t="s">
        <v>106</v>
      </c>
      <c r="U4" s="45" t="s">
        <v>106</v>
      </c>
      <c r="V4" s="45" t="s">
        <v>106</v>
      </c>
      <c r="W4" s="45" t="s">
        <v>106</v>
      </c>
      <c r="X4" s="45" t="s">
        <v>106</v>
      </c>
      <c r="Y4" s="45" t="s">
        <v>106</v>
      </c>
      <c r="Z4" s="45" t="s">
        <v>106</v>
      </c>
      <c r="AA4" s="45" t="s">
        <v>106</v>
      </c>
      <c r="AB4" s="45" t="s">
        <v>106</v>
      </c>
      <c r="AC4" s="45" t="s">
        <v>106</v>
      </c>
      <c r="AD4" s="45" t="s">
        <v>106</v>
      </c>
      <c r="AE4" s="45" t="s">
        <v>106</v>
      </c>
      <c r="AF4" s="45" t="s">
        <v>106</v>
      </c>
      <c r="AG4" s="45" t="s">
        <v>107</v>
      </c>
      <c r="AH4" s="43" t="s">
        <v>108</v>
      </c>
      <c r="AI4" s="43" t="s">
        <v>109</v>
      </c>
      <c r="AJ4" s="43" t="s">
        <v>110</v>
      </c>
      <c r="AK4" s="43" t="s">
        <v>111</v>
      </c>
      <c r="AL4" s="43" t="s">
        <v>112</v>
      </c>
      <c r="AM4" s="43" t="s">
        <v>113</v>
      </c>
      <c r="AN4" s="43" t="s">
        <v>110</v>
      </c>
      <c r="AO4" s="43" t="s">
        <v>111</v>
      </c>
      <c r="AP4" s="43" t="s">
        <v>114</v>
      </c>
      <c r="AQ4" s="43" t="s">
        <v>115</v>
      </c>
      <c r="AR4" s="43" t="s">
        <v>110</v>
      </c>
      <c r="AS4" s="43" t="s">
        <v>111</v>
      </c>
      <c r="AT4" s="43" t="s">
        <v>116</v>
      </c>
      <c r="AU4" s="43" t="s">
        <v>117</v>
      </c>
      <c r="AV4" s="43" t="s">
        <v>110</v>
      </c>
      <c r="AW4" s="43" t="s">
        <v>118</v>
      </c>
      <c r="AX4" s="43" t="s">
        <v>119</v>
      </c>
      <c r="AY4" s="43" t="s">
        <v>120</v>
      </c>
      <c r="AZ4" s="43" t="s">
        <v>110</v>
      </c>
      <c r="BA4" s="43" t="s">
        <v>118</v>
      </c>
      <c r="BB4" s="43" t="s">
        <v>108</v>
      </c>
      <c r="BC4" s="43" t="s">
        <v>112</v>
      </c>
      <c r="BD4" s="43" t="s">
        <v>114</v>
      </c>
      <c r="BE4" s="43" t="s">
        <v>116</v>
      </c>
      <c r="BF4" s="43" t="s">
        <v>119</v>
      </c>
    </row>
    <row r="5" spans="1:214" ht="17" x14ac:dyDescent="0.2">
      <c r="A5" t="s">
        <v>121</v>
      </c>
      <c r="B5" t="s">
        <v>122</v>
      </c>
      <c r="C5" t="str">
        <f>+INDEX('Supersite Working-AW'!$O$4:$R$196,MATCH('Old Recap SS &amp; Precinct #s'!$A5,'Supersite Working-AW'!$R$4:$R$196,0),1)</f>
        <v>Mountains</v>
      </c>
      <c r="D5" s="59">
        <f>SUMIF('Supersite Working-AW'!$R$4:$R$196,$A5,'Supersite Working-AW'!$L$4:$L$198)</f>
        <v>155</v>
      </c>
      <c r="E5" s="59">
        <f>SUMIF('Supersite Working-AW'!$R$4:$R$196,$A5,'Supersite Working-AW'!$M$4:$M$198)</f>
        <v>3.875</v>
      </c>
      <c r="F5" s="1">
        <f>COUNTA(H5:AF5)</f>
        <v>1</v>
      </c>
      <c r="G5" s="51" t="str">
        <f t="shared" ref="G5:G9" si="2">(H5&amp;","&amp;I5&amp;","&amp;J5&amp;","&amp;K5&amp;","&amp;L5&amp;","&amp;M5&amp;","&amp;N5&amp;","&amp;O5&amp;","&amp;P5&amp;","&amp;Q5&amp;","&amp;R5&amp;","&amp;S5&amp;","&amp;T5&amp;","&amp;U5&amp;","&amp;V5&amp;","&amp;W5&amp;","&amp;X5&amp;","&amp;Y5&amp;","&amp;Z5&amp;","&amp;AA5)</f>
        <v>914,,,,,,,,,,,,,,,,,,,</v>
      </c>
      <c r="H5" s="1">
        <v>914</v>
      </c>
      <c r="AG5" s="1">
        <f t="shared" ref="AG5:AG24" si="3">SUM(BB5:BF5)</f>
        <v>1</v>
      </c>
      <c r="AH5">
        <v>111658139</v>
      </c>
      <c r="AI5" t="str">
        <f>+INDEX('NGP Chairs CoChairs'!$A$2:$L$99,MATCH('Old Recap SS &amp; Precinct #s'!$AH5,'NGP Chairs CoChairs'!$A$2:$A$99,0),12)</f>
        <v>Jasmine Holan</v>
      </c>
      <c r="AJ5" t="str">
        <f>+INDEX('NGP Chairs CoChairs'!$A$2:$L$99,MATCH('Old Recap SS &amp; Precinct #s'!$AH5,'NGP Chairs CoChairs'!$A$2:$A$99,0),7)</f>
        <v>5127450823</v>
      </c>
      <c r="AK5" t="str">
        <f>+INDEX('NGP Chairs CoChairs'!$A$2:$L$99,MATCH('Old Recap SS &amp; Precinct #s'!$AH5,'NGP Chairs CoChairs'!$A$2:$A$99,0),8)</f>
        <v>jasmineholan@yahoo.com</v>
      </c>
      <c r="AM5" t="e">
        <f>+INDEX('NGP Chairs CoChairs'!$A$2:$M$99,MATCH('Old Recap SS &amp; Precinct #s'!$AL5,'NGP Chairs CoChairs'!$A$2:$A$99,0),12)</f>
        <v>#N/A</v>
      </c>
      <c r="AN5" t="e">
        <f>+INDEX('NGP Chairs CoChairs'!$A$2:$M$99,MATCH('Old Recap SS &amp; Precinct #s'!$AL5,'NGP Chairs CoChairs'!$A$2:$A$99,0),7)</f>
        <v>#N/A</v>
      </c>
      <c r="AO5" t="e">
        <f>+INDEX('NGP Chairs CoChairs'!$A$2:$M$99,MATCH('Old Recap SS &amp; Precinct #s'!$AL5,'NGP Chairs CoChairs'!$A$2:$A$99,0),8)</f>
        <v>#N/A</v>
      </c>
      <c r="AQ5" t="e">
        <f>+INDEX('NGP Chairs CoChairs'!$A$2:$M$99,MATCH('Old Recap SS &amp; Precinct #s'!$AP5,'NGP Chairs CoChairs'!$A$2:$A$99,0),12)</f>
        <v>#N/A</v>
      </c>
      <c r="AR5" t="e">
        <f>+INDEX('NGP Chairs CoChairs'!$A$2:$M$99,MATCH('Old Recap SS &amp; Precinct #s'!$AP5,'NGP Chairs CoChairs'!$A$2:$A$99,0),7)</f>
        <v>#N/A</v>
      </c>
      <c r="AS5" t="e">
        <f>+INDEX('NGP Chairs CoChairs'!$A$2:$M$99,MATCH('Old Recap SS &amp; Precinct #s'!$AP5,'NGP Chairs CoChairs'!$A$2:$A$99,0),8)</f>
        <v>#N/A</v>
      </c>
      <c r="AU5" t="e">
        <f>+INDEX('NGP Chairs CoChairs'!$A$2:$M$99,MATCH('Old Recap SS &amp; Precinct #s'!$AT5,'NGP Chairs CoChairs'!$A$2:$A$99,0),12)</f>
        <v>#N/A</v>
      </c>
      <c r="AV5" t="e">
        <f>+INDEX('NGP Chairs CoChairs'!$A$2:$M$99,MATCH('Old Recap SS &amp; Precinct #s'!$AT5,'NGP Chairs CoChairs'!$A$2:$A$99,0),7)</f>
        <v>#N/A</v>
      </c>
      <c r="AW5" t="e">
        <f>+INDEX('NGP Chairs CoChairs'!$A$2:$M$99,MATCH('Old Recap SS &amp; Precinct #s'!$AT5,'NGP Chairs CoChairs'!$A$2:$A$99,0),8)</f>
        <v>#N/A</v>
      </c>
      <c r="AY5" t="e">
        <f>+INDEX('NGP Chairs CoChairs'!$A$2:$M$99,MATCH('Old Recap SS &amp; Precinct #s'!$AX5,'NGP Chairs CoChairs'!$A$2:$A$99,0),12)</f>
        <v>#N/A</v>
      </c>
      <c r="AZ5" t="e">
        <f>+INDEX('NGP Chairs CoChairs'!$A$2:$M$99,MATCH('Old Recap SS &amp; Precinct #s'!$AX5,'NGP Chairs CoChairs'!$A$2:$A$99,0),7)</f>
        <v>#N/A</v>
      </c>
      <c r="BA5" t="e">
        <f>+INDEX('NGP Chairs CoChairs'!$A$2:$M$99,MATCH('Old Recap SS &amp; Precinct #s'!$AX5,'NGP Chairs CoChairs'!$A$2:$A$99,0),8)</f>
        <v>#N/A</v>
      </c>
      <c r="BB5">
        <f t="shared" ref="BB5" si="4">IF(AH5&gt;0,1,"")</f>
        <v>1</v>
      </c>
      <c r="BC5" t="str">
        <f t="shared" ref="BC5" si="5">IF(AL5&gt;0,1,"")</f>
        <v/>
      </c>
      <c r="BD5" t="str">
        <f t="shared" ref="BD5" si="6">IF(AP5&gt;0,1,"")</f>
        <v/>
      </c>
      <c r="BE5" t="str">
        <f t="shared" ref="BE5" si="7">IF(AT5&gt;0,1,"")</f>
        <v/>
      </c>
      <c r="BF5" t="str">
        <f t="shared" ref="BF5" si="8">IF(AX5&gt;0,1,"")</f>
        <v/>
      </c>
    </row>
    <row r="6" spans="1:214" ht="34" x14ac:dyDescent="0.2">
      <c r="A6" t="s">
        <v>123</v>
      </c>
      <c r="B6" t="s">
        <v>124</v>
      </c>
      <c r="C6" t="str">
        <f>+INDEX('Supersite Working-AW'!$O$4:$R$196,MATCH('Old Recap SS &amp; Precinct #s'!$A6,'Supersite Working-AW'!$R$4:$R$196,0),1)</f>
        <v>Longmont</v>
      </c>
      <c r="D6" s="59">
        <f>SUMIF('Supersite Working-AW'!$R$4:$R$196,$A6,'Supersite Working-AW'!$L$4:$L$198)</f>
        <v>7518</v>
      </c>
      <c r="E6" s="59">
        <f>SUMIF('Supersite Working-AW'!$R$4:$R$196,$A6,'Supersite Working-AW'!$M$4:$M$198)</f>
        <v>187.95000000000002</v>
      </c>
      <c r="F6" s="1">
        <f>COUNTA(H6:AF6)</f>
        <v>14</v>
      </c>
      <c r="G6" s="51" t="str">
        <f t="shared" si="2"/>
        <v>605,606,607,608,609,610,611,614,615,616,624,625,630,631,,,,,,</v>
      </c>
      <c r="H6" s="1">
        <v>605</v>
      </c>
      <c r="I6" s="1">
        <v>606</v>
      </c>
      <c r="J6" s="1">
        <v>607</v>
      </c>
      <c r="K6" s="1">
        <v>608</v>
      </c>
      <c r="L6" s="1">
        <v>609</v>
      </c>
      <c r="M6" s="1">
        <v>610</v>
      </c>
      <c r="N6" s="1">
        <v>611</v>
      </c>
      <c r="O6" s="1">
        <v>614</v>
      </c>
      <c r="P6" s="1">
        <v>615</v>
      </c>
      <c r="Q6" s="1">
        <v>616</v>
      </c>
      <c r="R6" s="1">
        <v>624</v>
      </c>
      <c r="S6" s="1">
        <v>625</v>
      </c>
      <c r="T6" s="1">
        <v>630</v>
      </c>
      <c r="U6" s="1">
        <v>631</v>
      </c>
      <c r="AG6" s="1">
        <f t="shared" si="3"/>
        <v>3</v>
      </c>
      <c r="AH6">
        <v>107153150</v>
      </c>
      <c r="AI6" t="str">
        <f>+INDEX('NGP Chairs CoChairs'!$A$2:$L$99,MATCH('Old Recap SS &amp; Precinct #s'!$AH6,'NGP Chairs CoChairs'!$A$2:$A$99,0),12)</f>
        <v>Gaythia Weis</v>
      </c>
      <c r="AJ6" t="str">
        <f>+INDEX('NGP Chairs CoChairs'!$A$2:$L$99,MATCH('Old Recap SS &amp; Precinct #s'!$AH6,'NGP Chairs CoChairs'!$A$2:$A$99,0),7)</f>
        <v>3032426450</v>
      </c>
      <c r="AK6" t="str">
        <f>+INDEX('NGP Chairs CoChairs'!$A$2:$L$99,MATCH('Old Recap SS &amp; Precinct #s'!$AH6,'NGP Chairs CoChairs'!$A$2:$A$99,0),8)</f>
        <v>gaythia@gmail.com</v>
      </c>
      <c r="AL6" s="46">
        <v>107152750</v>
      </c>
      <c r="AM6" t="str">
        <f>+INDEX('NGP Chairs CoChairs'!$A$2:$M$99,MATCH('Old Recap SS &amp; Precinct #s'!$AL6,'NGP Chairs CoChairs'!$A$2:$A$99,0),12)</f>
        <v>sharon malloy</v>
      </c>
      <c r="AN6" t="str">
        <f>+INDEX('NGP Chairs CoChairs'!$A$2:$M$99,MATCH('Old Recap SS &amp; Precinct #s'!$AL6,'NGP Chairs CoChairs'!$A$2:$A$99,0),7)</f>
        <v>3035884452</v>
      </c>
      <c r="AO6" t="str">
        <f>+INDEX('NGP Chairs CoChairs'!$A$2:$M$99,MATCH('Old Recap SS &amp; Precinct #s'!$AL6,'NGP Chairs CoChairs'!$A$2:$A$99,0),8)</f>
        <v>shari.a.malloy@gmail.com</v>
      </c>
      <c r="AP6">
        <v>107152594</v>
      </c>
      <c r="AQ6" t="str">
        <f>+INDEX('NGP Chairs CoChairs'!$A$2:$M$99,MATCH('Old Recap SS &amp; Precinct #s'!$AP6,'NGP Chairs CoChairs'!$A$2:$A$99,0),12)</f>
        <v>marilyn hughes</v>
      </c>
      <c r="AR6" t="str">
        <f>+INDEX('NGP Chairs CoChairs'!$A$2:$M$99,MATCH('Old Recap SS &amp; Precinct #s'!$AP6,'NGP Chairs CoChairs'!$A$2:$A$99,0),7)</f>
        <v>3038810816</v>
      </c>
      <c r="AS6" t="str">
        <f>+INDEX('NGP Chairs CoChairs'!$A$2:$M$99,MATCH('Old Recap SS &amp; Precinct #s'!$AP6,'NGP Chairs CoChairs'!$A$2:$A$99,0),8)</f>
        <v>marilynsails@icloud.com</v>
      </c>
      <c r="AU6" t="e">
        <f>+INDEX('NGP Chairs CoChairs'!$A$2:$M$99,MATCH('Old Recap SS &amp; Precinct #s'!$AT6,'NGP Chairs CoChairs'!$A$2:$A$99,0),12)</f>
        <v>#N/A</v>
      </c>
      <c r="AV6" t="e">
        <f>+INDEX('NGP Chairs CoChairs'!$A$2:$M$99,MATCH('Old Recap SS &amp; Precinct #s'!$AT6,'NGP Chairs CoChairs'!$A$2:$A$99,0),7)</f>
        <v>#N/A</v>
      </c>
      <c r="AW6" t="e">
        <f>+INDEX('NGP Chairs CoChairs'!$A$2:$M$99,MATCH('Old Recap SS &amp; Precinct #s'!$AT6,'NGP Chairs CoChairs'!$A$2:$A$99,0),8)</f>
        <v>#N/A</v>
      </c>
      <c r="AY6" t="e">
        <f>+INDEX('NGP Chairs CoChairs'!$A$2:$M$99,MATCH('Old Recap SS &amp; Precinct #s'!$AX6,'NGP Chairs CoChairs'!$A$2:$A$99,0),12)</f>
        <v>#N/A</v>
      </c>
      <c r="AZ6" t="e">
        <f>+INDEX('NGP Chairs CoChairs'!$A$2:$M$99,MATCH('Old Recap SS &amp; Precinct #s'!$AX6,'NGP Chairs CoChairs'!$A$2:$A$99,0),7)</f>
        <v>#N/A</v>
      </c>
      <c r="BA6" t="e">
        <f>+INDEX('NGP Chairs CoChairs'!$A$2:$M$99,MATCH('Old Recap SS &amp; Precinct #s'!$AX6,'NGP Chairs CoChairs'!$A$2:$A$99,0),8)</f>
        <v>#N/A</v>
      </c>
      <c r="BB6">
        <f t="shared" ref="BB6:BB24" si="9">IF(AH6&gt;0,1,"")</f>
        <v>1</v>
      </c>
      <c r="BC6">
        <f t="shared" ref="BC6:BC24" si="10">IF(AL6&gt;0,1,"")</f>
        <v>1</v>
      </c>
      <c r="BD6">
        <f t="shared" ref="BD6:BD24" si="11">IF(AP6&gt;0,1,"")</f>
        <v>1</v>
      </c>
      <c r="BE6" t="str">
        <f t="shared" ref="BE6:BE24" si="12">IF(AT6&gt;0,1,"")</f>
        <v/>
      </c>
      <c r="BF6" t="str">
        <f t="shared" ref="BF6:BF24" si="13">IF(AX6&gt;0,1,"")</f>
        <v/>
      </c>
    </row>
    <row r="7" spans="1:214" ht="17" x14ac:dyDescent="0.2">
      <c r="A7" t="s">
        <v>125</v>
      </c>
      <c r="B7" t="s">
        <v>126</v>
      </c>
      <c r="C7" t="str">
        <f>+INDEX('Supersite Working-AW'!$O$4:$R$196,MATCH('Old Recap SS &amp; Precinct #s'!$A7,'Supersite Working-AW'!$R$4:$R$196,0),1)</f>
        <v>Boulder</v>
      </c>
      <c r="D7" s="59">
        <f>SUMIF('Supersite Working-AW'!$R$4:$R$196,$A7,'Supersite Working-AW'!$L$4:$L$198)</f>
        <v>3670</v>
      </c>
      <c r="E7" s="59">
        <f>SUMIF('Supersite Working-AW'!$R$4:$R$196,$A7,'Supersite Working-AW'!$M$4:$M$198)</f>
        <v>91.750000000000014</v>
      </c>
      <c r="F7" s="1">
        <f t="shared" ref="F7:F24" si="14">COUNTA(H7:AF7)</f>
        <v>5</v>
      </c>
      <c r="G7" s="51" t="str">
        <f t="shared" si="2"/>
        <v>828,829,831,832,833,,,,,,,,,,,,,,,</v>
      </c>
      <c r="H7" s="1">
        <v>828</v>
      </c>
      <c r="I7" s="1">
        <v>829</v>
      </c>
      <c r="J7" s="1">
        <v>831</v>
      </c>
      <c r="K7" s="1">
        <v>832</v>
      </c>
      <c r="L7" s="1">
        <v>833</v>
      </c>
      <c r="AG7" s="1">
        <f t="shared" si="3"/>
        <v>1</v>
      </c>
      <c r="AH7">
        <v>147113970</v>
      </c>
      <c r="AI7" t="str">
        <f>+INDEX('NGP Chairs CoChairs'!$A$2:$L$99,MATCH('Old Recap SS &amp; Precinct #s'!$AH7,'NGP Chairs CoChairs'!$A$2:$A$99,0),12)</f>
        <v>Michael Smith</v>
      </c>
      <c r="AJ7" t="str">
        <f>+INDEX('NGP Chairs CoChairs'!$A$2:$L$99,MATCH('Old Recap SS &amp; Precinct #s'!$AH7,'NGP Chairs CoChairs'!$A$2:$A$99,0),7)</f>
        <v>9525673288</v>
      </c>
      <c r="AK7" t="str">
        <f>+INDEX('NGP Chairs CoChairs'!$A$2:$L$99,MATCH('Old Recap SS &amp; Precinct #s'!$AH7,'NGP Chairs CoChairs'!$A$2:$A$99,0),8)</f>
        <v>mism1838@colorado.edu</v>
      </c>
      <c r="AL7">
        <f>+INDEX('Supersite Working-AW'!$R$4:$AB$196,MATCH('Old Recap SS &amp; Precinct #s'!A7,'Supersite Working-AW'!$R$4:$R$196,0),8)</f>
        <v>0</v>
      </c>
      <c r="AM7" t="e">
        <f>+INDEX('NGP Chairs CoChairs'!$A$2:$M$99,MATCH('Old Recap SS &amp; Precinct #s'!$AL7,'NGP Chairs CoChairs'!$A$2:$A$99,0),12)</f>
        <v>#N/A</v>
      </c>
      <c r="AN7" t="e">
        <f>+INDEX('NGP Chairs CoChairs'!$A$2:$M$99,MATCH('Old Recap SS &amp; Precinct #s'!$AL7,'NGP Chairs CoChairs'!$A$2:$A$99,0),7)</f>
        <v>#N/A</v>
      </c>
      <c r="AO7" t="e">
        <f>+INDEX('NGP Chairs CoChairs'!$A$2:$M$99,MATCH('Old Recap SS &amp; Precinct #s'!$AL7,'NGP Chairs CoChairs'!$A$2:$A$99,0),8)</f>
        <v>#N/A</v>
      </c>
      <c r="AQ7" t="e">
        <f>+INDEX('NGP Chairs CoChairs'!$A$2:$M$99,MATCH('Old Recap SS &amp; Precinct #s'!$AP7,'NGP Chairs CoChairs'!$A$2:$A$99,0),12)</f>
        <v>#N/A</v>
      </c>
      <c r="AR7" t="e">
        <f>+INDEX('NGP Chairs CoChairs'!$A$2:$M$99,MATCH('Old Recap SS &amp; Precinct #s'!$AP7,'NGP Chairs CoChairs'!$A$2:$A$99,0),7)</f>
        <v>#N/A</v>
      </c>
      <c r="AS7" t="e">
        <f>+INDEX('NGP Chairs CoChairs'!$A$2:$M$99,MATCH('Old Recap SS &amp; Precinct #s'!$AP7,'NGP Chairs CoChairs'!$A$2:$A$99,0),8)</f>
        <v>#N/A</v>
      </c>
      <c r="AU7" t="e">
        <f>+INDEX('NGP Chairs CoChairs'!$A$2:$M$99,MATCH('Old Recap SS &amp; Precinct #s'!$AT7,'NGP Chairs CoChairs'!$A$2:$A$99,0),12)</f>
        <v>#N/A</v>
      </c>
      <c r="AV7" t="e">
        <f>+INDEX('NGP Chairs CoChairs'!$A$2:$M$99,MATCH('Old Recap SS &amp; Precinct #s'!$AT7,'NGP Chairs CoChairs'!$A$2:$A$99,0),7)</f>
        <v>#N/A</v>
      </c>
      <c r="AW7" t="e">
        <f>+INDEX('NGP Chairs CoChairs'!$A$2:$M$99,MATCH('Old Recap SS &amp; Precinct #s'!$AT7,'NGP Chairs CoChairs'!$A$2:$A$99,0),8)</f>
        <v>#N/A</v>
      </c>
      <c r="AY7" t="e">
        <f>+INDEX('NGP Chairs CoChairs'!$A$2:$M$99,MATCH('Old Recap SS &amp; Precinct #s'!$AX7,'NGP Chairs CoChairs'!$A$2:$A$99,0),12)</f>
        <v>#N/A</v>
      </c>
      <c r="AZ7" t="e">
        <f>+INDEX('NGP Chairs CoChairs'!$A$2:$M$99,MATCH('Old Recap SS &amp; Precinct #s'!$AX7,'NGP Chairs CoChairs'!$A$2:$A$99,0),7)</f>
        <v>#N/A</v>
      </c>
      <c r="BA7" t="e">
        <f>+INDEX('NGP Chairs CoChairs'!$A$2:$M$99,MATCH('Old Recap SS &amp; Precinct #s'!$AX7,'NGP Chairs CoChairs'!$A$2:$A$99,0),8)</f>
        <v>#N/A</v>
      </c>
      <c r="BB7">
        <f t="shared" si="9"/>
        <v>1</v>
      </c>
      <c r="BC7" t="str">
        <f t="shared" si="10"/>
        <v/>
      </c>
      <c r="BD7" t="str">
        <f t="shared" si="11"/>
        <v/>
      </c>
      <c r="BE7" t="str">
        <f t="shared" si="12"/>
        <v/>
      </c>
      <c r="BF7" t="str">
        <f t="shared" si="13"/>
        <v/>
      </c>
    </row>
    <row r="8" spans="1:214" ht="17" x14ac:dyDescent="0.2">
      <c r="A8" t="s">
        <v>127</v>
      </c>
      <c r="B8" t="s">
        <v>128</v>
      </c>
      <c r="C8" t="str">
        <f>+INDEX('Supersite Working-AW'!$O$4:$R$196,MATCH('Old Recap SS &amp; Precinct #s'!$A8,'Supersite Working-AW'!$R$4:$R$196,0),1)</f>
        <v>Longmont</v>
      </c>
      <c r="D8" s="59">
        <f>SUMIF('Supersite Working-AW'!$R$4:$R$196,$A8,'Supersite Working-AW'!$L$4:$L$198)</f>
        <v>3351</v>
      </c>
      <c r="E8" s="59">
        <f>SUMIF('Supersite Working-AW'!$R$4:$R$196,$A8,'Supersite Working-AW'!$M$4:$M$198)</f>
        <v>83.775000000000006</v>
      </c>
      <c r="F8" s="1">
        <f t="shared" si="14"/>
        <v>7</v>
      </c>
      <c r="G8" s="51" t="str">
        <f t="shared" si="2"/>
        <v>600,601,602,603,604,612,613,,,,,,,,,,,,,</v>
      </c>
      <c r="H8" s="1">
        <v>600</v>
      </c>
      <c r="I8" s="1">
        <v>601</v>
      </c>
      <c r="J8" s="1">
        <v>602</v>
      </c>
      <c r="K8" s="1">
        <v>603</v>
      </c>
      <c r="L8" s="1">
        <v>604</v>
      </c>
      <c r="M8" s="1">
        <v>612</v>
      </c>
      <c r="N8" s="1">
        <v>613</v>
      </c>
      <c r="AG8" s="1">
        <f t="shared" si="3"/>
        <v>3</v>
      </c>
      <c r="AH8">
        <f>+INDEX('Supersite Working-AW'!$R$4:$AB$196,MATCH('Old Recap SS &amp; Precinct #s'!$A8,'Supersite Working-AW'!$R$4:$R$196,0),7)</f>
        <v>138232649</v>
      </c>
      <c r="AI8" t="str">
        <f>+INDEX('NGP Chairs CoChairs'!$A$2:$L$99,MATCH('Old Recap SS &amp; Precinct #s'!$AH8,'NGP Chairs CoChairs'!$A$2:$A$99,0),12)</f>
        <v>Kendra Appelman-Eastvedt</v>
      </c>
      <c r="AJ8" t="str">
        <f>+INDEX('NGP Chairs CoChairs'!$A$2:$L$99,MATCH('Old Recap SS &amp; Precinct #s'!$AH8,'NGP Chairs CoChairs'!$A$2:$A$99,0),7)</f>
        <v>4048226732</v>
      </c>
      <c r="AK8" t="str">
        <f>+INDEX('NGP Chairs CoChairs'!$A$2:$L$99,MATCH('Old Recap SS &amp; Precinct #s'!$AH8,'NGP Chairs CoChairs'!$A$2:$A$99,0),8)</f>
        <v>kendra.eastvedt@gmail.com</v>
      </c>
      <c r="AL8">
        <f>+INDEX('Supersite Working-AW'!$R$4:$AB$196,MATCH('Old Recap SS &amp; Precinct #s'!A8,'Supersite Working-AW'!$R$4:$R$196,0),8)</f>
        <v>111502459</v>
      </c>
      <c r="AM8" t="str">
        <f>+INDEX('NGP Chairs CoChairs'!$A$2:$M$99,MATCH('Old Recap SS &amp; Precinct #s'!$AL8,'NGP Chairs CoChairs'!$A$2:$A$99,0),12)</f>
        <v>Erin Eastvedt</v>
      </c>
      <c r="AN8" t="str">
        <f>+INDEX('NGP Chairs CoChairs'!$A$2:$M$99,MATCH('Old Recap SS &amp; Precinct #s'!$AL8,'NGP Chairs CoChairs'!$A$2:$A$99,0),7)</f>
        <v>6783573242</v>
      </c>
      <c r="AO8" t="str">
        <f>+INDEX('NGP Chairs CoChairs'!$A$2:$M$99,MATCH('Old Recap SS &amp; Precinct #s'!$AL8,'NGP Chairs CoChairs'!$A$2:$A$99,0),8)</f>
        <v>erin.eastvedt@gmail.com</v>
      </c>
      <c r="AP8">
        <v>111502455</v>
      </c>
      <c r="AQ8" t="e">
        <f>+INDEX('NGP Chairs CoChairs'!$A$2:$M$99,MATCH('Old Recap SS &amp; Precinct #s'!$AP8,'NGP Chairs CoChairs'!$A$2:$A$99,0),12)</f>
        <v>#N/A</v>
      </c>
      <c r="AR8" t="e">
        <f>+INDEX('NGP Chairs CoChairs'!$A$2:$M$99,MATCH('Old Recap SS &amp; Precinct #s'!$AP8,'NGP Chairs CoChairs'!$A$2:$A$99,0),7)</f>
        <v>#N/A</v>
      </c>
      <c r="AS8" t="e">
        <f>+INDEX('NGP Chairs CoChairs'!$A$2:$M$99,MATCH('Old Recap SS &amp; Precinct #s'!$AP8,'NGP Chairs CoChairs'!$A$2:$A$99,0),8)</f>
        <v>#N/A</v>
      </c>
      <c r="AU8" t="e">
        <f>+INDEX('NGP Chairs CoChairs'!$A$2:$M$99,MATCH('Old Recap SS &amp; Precinct #s'!$AT8,'NGP Chairs CoChairs'!$A$2:$A$99,0),12)</f>
        <v>#N/A</v>
      </c>
      <c r="AV8" t="e">
        <f>+INDEX('NGP Chairs CoChairs'!$A$2:$M$99,MATCH('Old Recap SS &amp; Precinct #s'!$AT8,'NGP Chairs CoChairs'!$A$2:$A$99,0),7)</f>
        <v>#N/A</v>
      </c>
      <c r="AW8" t="e">
        <f>+INDEX('NGP Chairs CoChairs'!$A$2:$M$99,MATCH('Old Recap SS &amp; Precinct #s'!$AT8,'NGP Chairs CoChairs'!$A$2:$A$99,0),8)</f>
        <v>#N/A</v>
      </c>
      <c r="AY8" t="e">
        <f>+INDEX('NGP Chairs CoChairs'!$A$2:$M$99,MATCH('Old Recap SS &amp; Precinct #s'!$AX8,'NGP Chairs CoChairs'!$A$2:$A$99,0),12)</f>
        <v>#N/A</v>
      </c>
      <c r="AZ8" t="e">
        <f>+INDEX('NGP Chairs CoChairs'!$A$2:$M$99,MATCH('Old Recap SS &amp; Precinct #s'!$AX8,'NGP Chairs CoChairs'!$A$2:$A$99,0),7)</f>
        <v>#N/A</v>
      </c>
      <c r="BA8" t="e">
        <f>+INDEX('NGP Chairs CoChairs'!$A$2:$M$99,MATCH('Old Recap SS &amp; Precinct #s'!$AX8,'NGP Chairs CoChairs'!$A$2:$A$99,0),8)</f>
        <v>#N/A</v>
      </c>
      <c r="BB8">
        <f t="shared" si="9"/>
        <v>1</v>
      </c>
      <c r="BC8">
        <f t="shared" si="10"/>
        <v>1</v>
      </c>
      <c r="BD8">
        <f t="shared" si="11"/>
        <v>1</v>
      </c>
      <c r="BE8" t="str">
        <f t="shared" si="12"/>
        <v/>
      </c>
      <c r="BF8" t="str">
        <f t="shared" si="13"/>
        <v/>
      </c>
    </row>
    <row r="9" spans="1:214" ht="34" x14ac:dyDescent="0.2">
      <c r="A9" t="s">
        <v>8</v>
      </c>
      <c r="B9" t="s">
        <v>129</v>
      </c>
      <c r="C9" t="str">
        <f>+INDEX('Supersite Working-AW'!$O$4:$R$196,MATCH('Old Recap SS &amp; Precinct #s'!$A9,'Supersite Working-AW'!$R$4:$R$196,0),1)</f>
        <v>Boulder</v>
      </c>
      <c r="D9" s="59">
        <f>SUMIF('Supersite Working-AW'!$R$4:$R$196,$A9,'Supersite Working-AW'!$L$4:$L$198)</f>
        <v>8267</v>
      </c>
      <c r="E9" s="59">
        <f>SUMIF('Supersite Working-AW'!$R$4:$R$196,$A9,'Supersite Working-AW'!$M$4:$M$198)</f>
        <v>206.67499999999998</v>
      </c>
      <c r="F9" s="1">
        <f t="shared" si="14"/>
        <v>12</v>
      </c>
      <c r="G9" s="51" t="str">
        <f t="shared" si="2"/>
        <v>810,817,818,820,821,822,823,824,825,826,827,910,,,,,,,,</v>
      </c>
      <c r="H9" s="31">
        <v>810</v>
      </c>
      <c r="I9" s="31">
        <v>817</v>
      </c>
      <c r="J9" s="31">
        <v>818</v>
      </c>
      <c r="K9" s="31">
        <v>820</v>
      </c>
      <c r="L9" s="31">
        <v>821</v>
      </c>
      <c r="M9" s="1">
        <v>822</v>
      </c>
      <c r="N9" s="1">
        <v>823</v>
      </c>
      <c r="O9" s="1">
        <v>824</v>
      </c>
      <c r="P9" s="1">
        <v>825</v>
      </c>
      <c r="Q9" s="1">
        <v>826</v>
      </c>
      <c r="R9" s="1">
        <v>827</v>
      </c>
      <c r="S9" s="1">
        <v>910</v>
      </c>
      <c r="AG9" s="1">
        <f t="shared" si="3"/>
        <v>4</v>
      </c>
      <c r="AH9" s="46">
        <v>118591584</v>
      </c>
      <c r="AI9" t="str">
        <f>+INDEX('NGP Chairs CoChairs'!$A$2:$L$99,MATCH('Old Recap SS &amp; Precinct #s'!$AH9,'NGP Chairs CoChairs'!$A$2:$A$99,0),12)</f>
        <v>David Kline</v>
      </c>
      <c r="AJ9" t="str">
        <f>+INDEX('NGP Chairs CoChairs'!$A$2:$L$99,MATCH('Old Recap SS &amp; Precinct #s'!$AH9,'NGP Chairs CoChairs'!$A$2:$A$99,0),7)</f>
        <v>7209383466</v>
      </c>
      <c r="AK9" t="str">
        <f>+INDEX('NGP Chairs CoChairs'!$A$2:$L$99,MATCH('Old Recap SS &amp; Precinct #s'!$AH9,'NGP Chairs CoChairs'!$A$2:$A$99,0),8)</f>
        <v>lackbeard.kline@gmail.com</v>
      </c>
      <c r="AL9" s="46">
        <v>147521014</v>
      </c>
      <c r="AM9" t="str">
        <f>+INDEX('NGP Chairs CoChairs'!$A$2:$M$99,MATCH('Old Recap SS &amp; Precinct #s'!$AL9,'NGP Chairs CoChairs'!$A$2:$A$99,0),12)</f>
        <v>Geof Cahoon</v>
      </c>
      <c r="AN9" t="str">
        <f>+INDEX('NGP Chairs CoChairs'!$A$2:$M$99,MATCH('Old Recap SS &amp; Precinct #s'!$AL9,'NGP Chairs CoChairs'!$A$2:$A$99,0),7)</f>
        <v>7203459803</v>
      </c>
      <c r="AO9" t="str">
        <f>+INDEX('NGP Chairs CoChairs'!$A$2:$M$99,MATCH('Old Recap SS &amp; Precinct #s'!$AL9,'NGP Chairs CoChairs'!$A$2:$A$99,0),8)</f>
        <v>geof@indra.com</v>
      </c>
      <c r="AP9" s="46"/>
      <c r="AQ9" t="e">
        <f>+INDEX('NGP Chairs CoChairs'!$A$2:$M$99,MATCH('Old Recap SS &amp; Precinct #s'!$AP9,'NGP Chairs CoChairs'!$A$2:$A$99,0),12)</f>
        <v>#N/A</v>
      </c>
      <c r="AR9" t="e">
        <f>+INDEX('NGP Chairs CoChairs'!$A$2:$M$99,MATCH('Old Recap SS &amp; Precinct #s'!$AP9,'NGP Chairs CoChairs'!$A$2:$A$99,0),7)</f>
        <v>#N/A</v>
      </c>
      <c r="AS9" t="e">
        <f>+INDEX('NGP Chairs CoChairs'!$A$2:$M$99,MATCH('Old Recap SS &amp; Precinct #s'!$AP9,'NGP Chairs CoChairs'!$A$2:$A$99,0),8)</f>
        <v>#N/A</v>
      </c>
      <c r="AT9">
        <v>118591584</v>
      </c>
      <c r="AU9" t="str">
        <f>+INDEX('NGP Chairs CoChairs'!$A$2:$M$99,MATCH('Old Recap SS &amp; Precinct #s'!$AT9,'NGP Chairs CoChairs'!$A$2:$A$99,0),12)</f>
        <v>David Kline</v>
      </c>
      <c r="AV9" t="str">
        <f>+INDEX('NGP Chairs CoChairs'!$A$2:$M$99,MATCH('Old Recap SS &amp; Precinct #s'!$AT9,'NGP Chairs CoChairs'!$A$2:$A$99,0),7)</f>
        <v>7209383466</v>
      </c>
      <c r="AW9" t="str">
        <f>+INDEX('NGP Chairs CoChairs'!$A$2:$M$99,MATCH('Old Recap SS &amp; Precinct #s'!$AT9,'NGP Chairs CoChairs'!$A$2:$A$99,0),8)</f>
        <v>lackbeard.kline@gmail.com</v>
      </c>
      <c r="AX9" s="46">
        <v>147521014</v>
      </c>
      <c r="AY9" t="str">
        <f>+INDEX('NGP Chairs CoChairs'!$A$2:$M$99,MATCH('Old Recap SS &amp; Precinct #s'!$AX9,'NGP Chairs CoChairs'!$A$2:$A$99,0),12)</f>
        <v>Geof Cahoon</v>
      </c>
      <c r="AZ9" t="str">
        <f>+INDEX('NGP Chairs CoChairs'!$A$2:$M$99,MATCH('Old Recap SS &amp; Precinct #s'!$AX9,'NGP Chairs CoChairs'!$A$2:$A$99,0),7)</f>
        <v>7203459803</v>
      </c>
      <c r="BA9" t="str">
        <f>+INDEX('NGP Chairs CoChairs'!$A$2:$M$99,MATCH('Old Recap SS &amp; Precinct #s'!$AX9,'NGP Chairs CoChairs'!$A$2:$A$99,0),8)</f>
        <v>geof@indra.com</v>
      </c>
      <c r="BB9">
        <f t="shared" si="9"/>
        <v>1</v>
      </c>
      <c r="BC9">
        <f t="shared" si="10"/>
        <v>1</v>
      </c>
      <c r="BD9" t="str">
        <f t="shared" si="11"/>
        <v/>
      </c>
      <c r="BE9">
        <f t="shared" si="12"/>
        <v>1</v>
      </c>
      <c r="BF9">
        <f t="shared" si="13"/>
        <v>1</v>
      </c>
    </row>
    <row r="10" spans="1:214" ht="34" x14ac:dyDescent="0.2">
      <c r="A10" t="s">
        <v>130</v>
      </c>
      <c r="B10" t="s">
        <v>131</v>
      </c>
      <c r="C10" t="str">
        <f>+INDEX('Supersite Working-AW'!$O$4:$R$196,MATCH('Old Recap SS &amp; Precinct #s'!$A10,'Supersite Working-AW'!$R$4:$R$196,0),1)</f>
        <v>Lafayette</v>
      </c>
      <c r="D10" s="59">
        <f>SUMIF('Supersite Working-AW'!$R$4:$R$196,$A10,'Supersite Working-AW'!$L$4:$L$198)</f>
        <v>11327</v>
      </c>
      <c r="E10" s="59">
        <f>SUMIF('Supersite Working-AW'!$R$4:$R$196,$A10,'Supersite Working-AW'!$M$4:$M$198)</f>
        <v>283.17500000000001</v>
      </c>
      <c r="F10" s="1">
        <f t="shared" si="14"/>
        <v>20</v>
      </c>
      <c r="G10" s="51" t="str">
        <f>(H10&amp;","&amp;I10&amp;","&amp;J10&amp;","&amp;K10&amp;","&amp;L10&amp;","&amp;M10&amp;","&amp;N10&amp;","&amp;O10&amp;","&amp;P10&amp;","&amp;Q10&amp;","&amp;R10&amp;","&amp;S10&amp;","&amp;T10&amp;","&amp;U10&amp;","&amp;V10&amp;","&amp;W10&amp;","&amp;X10&amp;","&amp;Y10&amp;","&amp;Z10&amp;","&amp;AA10)</f>
        <v>300,301,302,303,304,305,306,307,308,309,310,311,312,313,314,315,316,500,501,502</v>
      </c>
      <c r="H10" s="1">
        <v>300</v>
      </c>
      <c r="I10" s="1">
        <v>301</v>
      </c>
      <c r="J10" s="1">
        <v>302</v>
      </c>
      <c r="K10" s="1">
        <v>303</v>
      </c>
      <c r="L10" s="1">
        <v>304</v>
      </c>
      <c r="M10" s="1">
        <v>305</v>
      </c>
      <c r="N10" s="1">
        <v>306</v>
      </c>
      <c r="O10" s="1">
        <v>307</v>
      </c>
      <c r="P10" s="1">
        <v>308</v>
      </c>
      <c r="Q10" s="1">
        <v>309</v>
      </c>
      <c r="R10" s="1">
        <v>310</v>
      </c>
      <c r="S10" s="1">
        <v>311</v>
      </c>
      <c r="T10" s="1">
        <v>312</v>
      </c>
      <c r="U10" s="1">
        <v>313</v>
      </c>
      <c r="V10" s="1">
        <v>314</v>
      </c>
      <c r="W10" s="1">
        <v>315</v>
      </c>
      <c r="X10" s="1">
        <v>316</v>
      </c>
      <c r="Y10" s="1">
        <v>500</v>
      </c>
      <c r="Z10" s="1">
        <v>501</v>
      </c>
      <c r="AA10" s="1">
        <v>502</v>
      </c>
      <c r="AG10" s="1">
        <f t="shared" si="3"/>
        <v>1</v>
      </c>
      <c r="AH10">
        <f>+INDEX('Supersite Working-AW'!$R$4:$AB$196,MATCH('Old Recap SS &amp; Precinct #s'!$A10,'Supersite Working-AW'!$R$4:$R$196,0),7)</f>
        <v>107152163</v>
      </c>
      <c r="AI10" t="str">
        <f>+INDEX('NGP Chairs CoChairs'!$A$2:$L$99,MATCH('Old Recap SS &amp; Precinct #s'!$AH10,'NGP Chairs CoChairs'!$A$2:$A$99,0),12)</f>
        <v>Jennifer Bales</v>
      </c>
      <c r="AJ10" t="str">
        <f>+INDEX('NGP Chairs CoChairs'!$A$2:$L$99,MATCH('Old Recap SS &amp; Precinct #s'!$AH10,'NGP Chairs CoChairs'!$A$2:$A$99,0),7)</f>
        <v>3039479447</v>
      </c>
      <c r="AK10" t="str">
        <f>+INDEX('NGP Chairs CoChairs'!$A$2:$L$99,MATCH('Old Recap SS &amp; Precinct #s'!$AH10,'NGP Chairs CoChairs'!$A$2:$A$99,0),8)</f>
        <v>jbales@me.com</v>
      </c>
      <c r="AM10" t="e">
        <f>+INDEX('NGP Chairs CoChairs'!$A$2:$M$99,MATCH('Old Recap SS &amp; Precinct #s'!$AL10,'NGP Chairs CoChairs'!$A$2:$A$99,0),12)</f>
        <v>#N/A</v>
      </c>
      <c r="AN10" t="e">
        <f>+INDEX('NGP Chairs CoChairs'!$A$2:$M$99,MATCH('Old Recap SS &amp; Precinct #s'!$AL10,'NGP Chairs CoChairs'!$A$2:$A$99,0),7)</f>
        <v>#N/A</v>
      </c>
      <c r="AO10" t="e">
        <f>+INDEX('NGP Chairs CoChairs'!$A$2:$M$99,MATCH('Old Recap SS &amp; Precinct #s'!$AL10,'NGP Chairs CoChairs'!$A$2:$A$99,0),8)</f>
        <v>#N/A</v>
      </c>
      <c r="AQ10" t="e">
        <f>+INDEX('NGP Chairs CoChairs'!$A$2:$M$99,MATCH('Old Recap SS &amp; Precinct #s'!$AP10,'NGP Chairs CoChairs'!$A$2:$A$99,0),12)</f>
        <v>#N/A</v>
      </c>
      <c r="AR10" t="e">
        <f>+INDEX('NGP Chairs CoChairs'!$A$2:$M$99,MATCH('Old Recap SS &amp; Precinct #s'!$AP10,'NGP Chairs CoChairs'!$A$2:$A$99,0),7)</f>
        <v>#N/A</v>
      </c>
      <c r="AS10" t="e">
        <f>+INDEX('NGP Chairs CoChairs'!$A$2:$M$99,MATCH('Old Recap SS &amp; Precinct #s'!$AP10,'NGP Chairs CoChairs'!$A$2:$A$99,0),8)</f>
        <v>#N/A</v>
      </c>
      <c r="AU10" t="e">
        <f>+INDEX('NGP Chairs CoChairs'!$A$2:$M$99,MATCH('Old Recap SS &amp; Precinct #s'!$AT10,'NGP Chairs CoChairs'!$A$2:$A$99,0),12)</f>
        <v>#N/A</v>
      </c>
      <c r="AV10" t="e">
        <f>+INDEX('NGP Chairs CoChairs'!$A$2:$M$99,MATCH('Old Recap SS &amp; Precinct #s'!$AT10,'NGP Chairs CoChairs'!$A$2:$A$99,0),7)</f>
        <v>#N/A</v>
      </c>
      <c r="AW10" t="e">
        <f>+INDEX('NGP Chairs CoChairs'!$A$2:$M$99,MATCH('Old Recap SS &amp; Precinct #s'!$AT10,'NGP Chairs CoChairs'!$A$2:$A$99,0),8)</f>
        <v>#N/A</v>
      </c>
      <c r="AY10" t="e">
        <f>+INDEX('NGP Chairs CoChairs'!$A$2:$M$99,MATCH('Old Recap SS &amp; Precinct #s'!$AX10,'NGP Chairs CoChairs'!$A$2:$A$99,0),12)</f>
        <v>#N/A</v>
      </c>
      <c r="AZ10" t="e">
        <f>+INDEX('NGP Chairs CoChairs'!$A$2:$M$99,MATCH('Old Recap SS &amp; Precinct #s'!$AX10,'NGP Chairs CoChairs'!$A$2:$A$99,0),7)</f>
        <v>#N/A</v>
      </c>
      <c r="BA10" t="e">
        <f>+INDEX('NGP Chairs CoChairs'!$A$2:$M$99,MATCH('Old Recap SS &amp; Precinct #s'!$AX10,'NGP Chairs CoChairs'!$A$2:$A$99,0),8)</f>
        <v>#N/A</v>
      </c>
      <c r="BB10">
        <f t="shared" si="9"/>
        <v>1</v>
      </c>
      <c r="BC10" t="str">
        <f t="shared" si="10"/>
        <v/>
      </c>
      <c r="BD10" t="str">
        <f t="shared" si="11"/>
        <v/>
      </c>
      <c r="BE10" t="str">
        <f t="shared" si="12"/>
        <v/>
      </c>
      <c r="BF10" t="str">
        <f t="shared" si="13"/>
        <v/>
      </c>
    </row>
    <row r="11" spans="1:214" ht="34" x14ac:dyDescent="0.2">
      <c r="A11" t="s">
        <v>132</v>
      </c>
      <c r="B11" t="s">
        <v>133</v>
      </c>
      <c r="C11" t="str">
        <f>+INDEX('Supersite Working-AW'!$O$4:$R$196,MATCH('Old Recap SS &amp; Precinct #s'!$A11,'Supersite Working-AW'!$R$4:$R$196,0),1)</f>
        <v>Boulder</v>
      </c>
      <c r="D11" s="59">
        <f>SUMIF('Supersite Working-AW'!$R$4:$R$196,$A11,'Supersite Working-AW'!$L$4:$L$198)</f>
        <v>8884</v>
      </c>
      <c r="E11" s="59">
        <f>SUMIF('Supersite Working-AW'!$R$4:$R$196,$A11,'Supersite Working-AW'!$M$4:$M$198)</f>
        <v>222.1</v>
      </c>
      <c r="F11" s="1">
        <f t="shared" si="14"/>
        <v>13</v>
      </c>
      <c r="G11" s="51" t="str">
        <f t="shared" ref="G11:G24" si="15">(H11&amp;","&amp;I11&amp;","&amp;J11&amp;","&amp;K11&amp;","&amp;L11&amp;","&amp;M11&amp;","&amp;N11&amp;","&amp;O11&amp;","&amp;P11&amp;","&amp;Q11&amp;","&amp;R11&amp;","&amp;S11&amp;","&amp;T11&amp;","&amp;U11&amp;","&amp;V11&amp;","&amp;W11&amp;","&amp;X11&amp;","&amp;Y11&amp;","&amp;Z11&amp;","&amp;AA11)</f>
        <v>803,804,805,806,807,811,812,813,814,815,816,911,912,,,,,,,</v>
      </c>
      <c r="H11" s="1">
        <v>803</v>
      </c>
      <c r="I11" s="1">
        <v>804</v>
      </c>
      <c r="J11" s="1">
        <v>805</v>
      </c>
      <c r="K11" s="1">
        <v>806</v>
      </c>
      <c r="L11" s="1">
        <v>807</v>
      </c>
      <c r="M11" s="1">
        <v>811</v>
      </c>
      <c r="N11" s="1">
        <v>812</v>
      </c>
      <c r="O11" s="1">
        <v>813</v>
      </c>
      <c r="P11" s="1">
        <v>814</v>
      </c>
      <c r="Q11" s="1">
        <v>815</v>
      </c>
      <c r="R11" s="1">
        <v>816</v>
      </c>
      <c r="S11" s="1">
        <v>911</v>
      </c>
      <c r="T11" s="1">
        <v>912</v>
      </c>
      <c r="AG11" s="1">
        <f t="shared" si="3"/>
        <v>3</v>
      </c>
      <c r="AH11">
        <f>+INDEX('Supersite Working-AW'!$R$4:$AB$196,MATCH('Old Recap SS &amp; Precinct #s'!$A11,'Supersite Working-AW'!$R$4:$R$196,0),7)</f>
        <v>107153029</v>
      </c>
      <c r="AI11" t="str">
        <f>+INDEX('NGP Chairs CoChairs'!$A$2:$L$99,MATCH('Old Recap SS &amp; Precinct #s'!$AH11,'NGP Chairs CoChairs'!$A$2:$A$99,0),12)</f>
        <v>Joel Smith</v>
      </c>
      <c r="AJ11" t="str">
        <f>+INDEX('NGP Chairs CoChairs'!$A$2:$L$99,MATCH('Old Recap SS &amp; Precinct #s'!$AH11,'NGP Chairs CoChairs'!$A$2:$A$99,0),7)</f>
        <v>3032492204</v>
      </c>
      <c r="AK11" t="str">
        <f>+INDEX('NGP Chairs CoChairs'!$A$2:$L$99,MATCH('Old Recap SS &amp; Precinct #s'!$AH11,'NGP Chairs CoChairs'!$A$2:$A$99,0),8)</f>
        <v>joel.b.smith@att.net</v>
      </c>
      <c r="AL11">
        <f>+INDEX('Supersite Working-AW'!$R$4:$AB$196,MATCH('Old Recap SS &amp; Precinct #s'!A11,'Supersite Working-AW'!$R$4:$R$196,0),8)</f>
        <v>107152549</v>
      </c>
      <c r="AM11" t="str">
        <f>+INDEX('NGP Chairs CoChairs'!$A$2:$M$99,MATCH('Old Recap SS &amp; Precinct #s'!$AL11,'NGP Chairs CoChairs'!$A$2:$A$99,0),12)</f>
        <v>Michael Hart</v>
      </c>
      <c r="AN11" t="str">
        <f>+INDEX('NGP Chairs CoChairs'!$A$2:$M$99,MATCH('Old Recap SS &amp; Precinct #s'!$AL11,'NGP Chairs CoChairs'!$A$2:$A$99,0),7)</f>
        <v>3039491542</v>
      </c>
      <c r="AO11" t="str">
        <f>+INDEX('NGP Chairs CoChairs'!$A$2:$M$99,MATCH('Old Recap SS &amp; Precinct #s'!$AL11,'NGP Chairs CoChairs'!$A$2:$A$99,0),8)</f>
        <v>Hart@bocodems.org</v>
      </c>
      <c r="AP11">
        <v>107152440</v>
      </c>
      <c r="AQ11" t="str">
        <f>+INDEX('NGP Chairs CoChairs'!$A$2:$M$99,MATCH('Old Recap SS &amp; Precinct #s'!$AP11,'NGP Chairs CoChairs'!$A$2:$A$99,0),12)</f>
        <v>Patricia Feeser</v>
      </c>
      <c r="AR11" t="str">
        <f>+INDEX('NGP Chairs CoChairs'!$A$2:$M$99,MATCH('Old Recap SS &amp; Precinct #s'!$AP11,'NGP Chairs CoChairs'!$A$2:$A$99,0),7)</f>
        <v>5183307872</v>
      </c>
      <c r="AS11" t="str">
        <f>+INDEX('NGP Chairs CoChairs'!$A$2:$M$99,MATCH('Old Recap SS &amp; Precinct #s'!$AP11,'NGP Chairs CoChairs'!$A$2:$A$99,0),8)</f>
        <v>pat@bocodems.org</v>
      </c>
      <c r="AU11" t="e">
        <f>+INDEX('NGP Chairs CoChairs'!$A$2:$M$99,MATCH('Old Recap SS &amp; Precinct #s'!$AT11,'NGP Chairs CoChairs'!$A$2:$A$99,0),12)</f>
        <v>#N/A</v>
      </c>
      <c r="AV11" t="e">
        <f>+INDEX('NGP Chairs CoChairs'!$A$2:$M$99,MATCH('Old Recap SS &amp; Precinct #s'!$AT11,'NGP Chairs CoChairs'!$A$2:$A$99,0),7)</f>
        <v>#N/A</v>
      </c>
      <c r="AW11" t="e">
        <f>+INDEX('NGP Chairs CoChairs'!$A$2:$M$99,MATCH('Old Recap SS &amp; Precinct #s'!$AT11,'NGP Chairs CoChairs'!$A$2:$A$99,0),8)</f>
        <v>#N/A</v>
      </c>
      <c r="AY11" t="e">
        <f>+INDEX('NGP Chairs CoChairs'!$A$2:$M$99,MATCH('Old Recap SS &amp; Precinct #s'!$AX11,'NGP Chairs CoChairs'!$A$2:$A$99,0),12)</f>
        <v>#N/A</v>
      </c>
      <c r="AZ11" t="e">
        <f>+INDEX('NGP Chairs CoChairs'!$A$2:$M$99,MATCH('Old Recap SS &amp; Precinct #s'!$AX11,'NGP Chairs CoChairs'!$A$2:$A$99,0),7)</f>
        <v>#N/A</v>
      </c>
      <c r="BA11" t="e">
        <f>+INDEX('NGP Chairs CoChairs'!$A$2:$M$99,MATCH('Old Recap SS &amp; Precinct #s'!$AX11,'NGP Chairs CoChairs'!$A$2:$A$99,0),8)</f>
        <v>#N/A</v>
      </c>
      <c r="BB11">
        <f t="shared" si="9"/>
        <v>1</v>
      </c>
      <c r="BC11">
        <f t="shared" si="10"/>
        <v>1</v>
      </c>
      <c r="BD11">
        <f t="shared" si="11"/>
        <v>1</v>
      </c>
      <c r="BE11" t="str">
        <f t="shared" si="12"/>
        <v/>
      </c>
      <c r="BF11" t="str">
        <f t="shared" si="13"/>
        <v/>
      </c>
    </row>
    <row r="12" spans="1:214" ht="17" x14ac:dyDescent="0.2">
      <c r="A12" t="s">
        <v>134</v>
      </c>
      <c r="B12" t="s">
        <v>135</v>
      </c>
      <c r="C12" t="str">
        <f>+INDEX('Supersite Working-AW'!$O$4:$R$196,MATCH('Old Recap SS &amp; Precinct #s'!$A12,'Supersite Working-AW'!$R$4:$R$196,0),1)</f>
        <v>Superior</v>
      </c>
      <c r="D12" s="59">
        <f>SUMIF('Supersite Working-AW'!$R$4:$R$196,$A12,'Supersite Working-AW'!$L$4:$L$198)</f>
        <v>3303</v>
      </c>
      <c r="E12" s="59">
        <f>SUMIF('Supersite Working-AW'!$R$4:$R$196,$A12,'Supersite Working-AW'!$M$4:$M$198)</f>
        <v>82.575000000000003</v>
      </c>
      <c r="F12" s="1">
        <f t="shared" si="14"/>
        <v>8</v>
      </c>
      <c r="G12" s="51" t="str">
        <f t="shared" si="15"/>
        <v>3,100,101,102,103,104,105,106,,,,,,,,,,,,</v>
      </c>
      <c r="H12" s="1">
        <v>3</v>
      </c>
      <c r="I12" s="1">
        <v>100</v>
      </c>
      <c r="J12" s="1">
        <v>101</v>
      </c>
      <c r="K12" s="1">
        <v>102</v>
      </c>
      <c r="L12" s="1">
        <v>103</v>
      </c>
      <c r="M12" s="1">
        <v>104</v>
      </c>
      <c r="N12" s="1">
        <v>105</v>
      </c>
      <c r="O12" s="1">
        <v>106</v>
      </c>
      <c r="AG12" s="1">
        <f t="shared" si="3"/>
        <v>3</v>
      </c>
      <c r="AH12">
        <f>+INDEX('Supersite Working-AW'!$R$4:$AB$196,MATCH('Old Recap SS &amp; Precinct #s'!$A12,'Supersite Working-AW'!$R$4:$R$196,0),7)</f>
        <v>107146029</v>
      </c>
      <c r="AI12" t="str">
        <f>+INDEX('NGP Chairs CoChairs'!$A$2:$L$99,MATCH('Old Recap SS &amp; Precinct #s'!$AH12,'NGP Chairs CoChairs'!$A$2:$A$99,0),12)</f>
        <v>Carol Teal</v>
      </c>
      <c r="AJ12" t="str">
        <f>+INDEX('NGP Chairs CoChairs'!$A$2:$L$99,MATCH('Old Recap SS &amp; Precinct #s'!$AH12,'NGP Chairs CoChairs'!$A$2:$A$99,0),7)</f>
        <v>9192102776</v>
      </c>
      <c r="AK12" t="str">
        <f>+INDEX('NGP Chairs CoChairs'!$A$2:$L$99,MATCH('Old Recap SS &amp; Precinct #s'!$AH12,'NGP Chairs CoChairs'!$A$2:$A$99,0),8)</f>
        <v>carol@bocodems.org</v>
      </c>
      <c r="AL12">
        <f>+INDEX('Supersite Working-AW'!$R$4:$AB$196,MATCH('Old Recap SS &amp; Precinct #s'!A12,'Supersite Working-AW'!$R$4:$R$196,0),8)</f>
        <v>107153114</v>
      </c>
      <c r="AM12" t="str">
        <f>+INDEX('NGP Chairs CoChairs'!$A$2:$M$99,MATCH('Old Recap SS &amp; Precinct #s'!$AL12,'NGP Chairs CoChairs'!$A$2:$A$99,0),12)</f>
        <v>Dalton Valette</v>
      </c>
      <c r="AN12" t="str">
        <f>+INDEX('NGP Chairs CoChairs'!$A$2:$M$99,MATCH('Old Recap SS &amp; Precinct #s'!$AL12,'NGP Chairs CoChairs'!$A$2:$A$99,0),7)</f>
        <v>3033788355</v>
      </c>
      <c r="AO12" t="str">
        <f>+INDEX('NGP Chairs CoChairs'!$A$2:$M$99,MATCH('Old Recap SS &amp; Precinct #s'!$AL12,'NGP Chairs CoChairs'!$A$2:$A$99,0),8)</f>
        <v>daltonvalette@gmail.com</v>
      </c>
      <c r="AP12">
        <v>107153114</v>
      </c>
      <c r="AQ12" t="str">
        <f>+INDEX('NGP Chairs CoChairs'!$A$2:$M$99,MATCH('Old Recap SS &amp; Precinct #s'!$AP12,'NGP Chairs CoChairs'!$A$2:$A$99,0),12)</f>
        <v>Dalton Valette</v>
      </c>
      <c r="AR12" t="str">
        <f>+INDEX('NGP Chairs CoChairs'!$A$2:$M$99,MATCH('Old Recap SS &amp; Precinct #s'!$AP12,'NGP Chairs CoChairs'!$A$2:$A$99,0),7)</f>
        <v>3033788355</v>
      </c>
      <c r="AS12" t="str">
        <f>+INDEX('NGP Chairs CoChairs'!$A$2:$M$99,MATCH('Old Recap SS &amp; Precinct #s'!$AP12,'NGP Chairs CoChairs'!$A$2:$A$99,0),8)</f>
        <v>daltonvalette@gmail.com</v>
      </c>
      <c r="AU12" t="e">
        <f>+INDEX('NGP Chairs CoChairs'!$A$2:$M$99,MATCH('Old Recap SS &amp; Precinct #s'!$AT12,'NGP Chairs CoChairs'!$A$2:$A$99,0),12)</f>
        <v>#N/A</v>
      </c>
      <c r="AV12" t="e">
        <f>+INDEX('NGP Chairs CoChairs'!$A$2:$M$99,MATCH('Old Recap SS &amp; Precinct #s'!$AT12,'NGP Chairs CoChairs'!$A$2:$A$99,0),7)</f>
        <v>#N/A</v>
      </c>
      <c r="AW12" t="e">
        <f>+INDEX('NGP Chairs CoChairs'!$A$2:$M$99,MATCH('Old Recap SS &amp; Precinct #s'!$AT12,'NGP Chairs CoChairs'!$A$2:$A$99,0),8)</f>
        <v>#N/A</v>
      </c>
      <c r="AY12" t="e">
        <f>+INDEX('NGP Chairs CoChairs'!$A$2:$M$99,MATCH('Old Recap SS &amp; Precinct #s'!$AX12,'NGP Chairs CoChairs'!$A$2:$A$99,0),12)</f>
        <v>#N/A</v>
      </c>
      <c r="AZ12" t="e">
        <f>+INDEX('NGP Chairs CoChairs'!$A$2:$M$99,MATCH('Old Recap SS &amp; Precinct #s'!$AX12,'NGP Chairs CoChairs'!$A$2:$A$99,0),7)</f>
        <v>#N/A</v>
      </c>
      <c r="BA12" t="e">
        <f>+INDEX('NGP Chairs CoChairs'!$A$2:$M$99,MATCH('Old Recap SS &amp; Precinct #s'!$AX12,'NGP Chairs CoChairs'!$A$2:$A$99,0),8)</f>
        <v>#N/A</v>
      </c>
      <c r="BB12">
        <f t="shared" si="9"/>
        <v>1</v>
      </c>
      <c r="BC12">
        <f t="shared" si="10"/>
        <v>1</v>
      </c>
      <c r="BD12">
        <f t="shared" si="11"/>
        <v>1</v>
      </c>
      <c r="BE12" t="str">
        <f t="shared" si="12"/>
        <v/>
      </c>
      <c r="BF12" t="str">
        <f t="shared" si="13"/>
        <v/>
      </c>
    </row>
    <row r="13" spans="1:214" ht="17" x14ac:dyDescent="0.2">
      <c r="A13" t="s">
        <v>55</v>
      </c>
      <c r="B13" t="s">
        <v>136</v>
      </c>
      <c r="C13" t="e">
        <f>+INDEX('Supersite Working-AW'!$O$4:$R$196,MATCH('Old Recap SS &amp; Precinct #s'!$A13,'Supersite Working-AW'!$R$4:$R$196,0),1)</f>
        <v>#N/A</v>
      </c>
      <c r="D13" s="59">
        <f>SUMIF('Supersite Working-AW'!$R$4:$R$196,$A13,'Supersite Working-AW'!$L$4:$L$198)</f>
        <v>0</v>
      </c>
      <c r="E13" s="59">
        <f>SUMIF('Supersite Working-AW'!$R$4:$R$196,$A13,'Supersite Working-AW'!$M$4:$M$198)</f>
        <v>0</v>
      </c>
      <c r="F13" s="1">
        <f t="shared" si="14"/>
        <v>9</v>
      </c>
      <c r="G13" s="51" t="str">
        <f t="shared" si="15"/>
        <v>400,401,402,403,404,405,406,407,408,,,,,,,,,,,</v>
      </c>
      <c r="H13" s="1">
        <v>400</v>
      </c>
      <c r="I13" s="1">
        <v>401</v>
      </c>
      <c r="J13" s="1">
        <v>402</v>
      </c>
      <c r="K13" s="1">
        <v>403</v>
      </c>
      <c r="L13" s="1">
        <v>404</v>
      </c>
      <c r="M13" s="1">
        <v>405</v>
      </c>
      <c r="N13" s="1">
        <v>406</v>
      </c>
      <c r="O13" s="1">
        <v>407</v>
      </c>
      <c r="P13" s="1">
        <v>408</v>
      </c>
      <c r="AG13" s="1">
        <f t="shared" si="3"/>
        <v>3</v>
      </c>
      <c r="AH13">
        <v>107152262</v>
      </c>
      <c r="AI13" t="str">
        <f>+INDEX('NGP Chairs CoChairs'!$A$2:$L$99,MATCH('Old Recap SS &amp; Precinct #s'!$AH13,'NGP Chairs CoChairs'!$A$2:$A$99,0),12)</f>
        <v>Timm Bryson</v>
      </c>
      <c r="AJ13" t="str">
        <f>+INDEX('NGP Chairs CoChairs'!$A$2:$L$99,MATCH('Old Recap SS &amp; Precinct #s'!$AH13,'NGP Chairs CoChairs'!$A$2:$A$99,0),7)</f>
        <v>7192515246</v>
      </c>
      <c r="AK13" t="str">
        <f>+INDEX('NGP Chairs CoChairs'!$A$2:$L$99,MATCH('Old Recap SS &amp; Precinct #s'!$AH13,'NGP Chairs CoChairs'!$A$2:$A$99,0),8)</f>
        <v>Timm@bocodems.org</v>
      </c>
      <c r="AL13">
        <v>144328289</v>
      </c>
      <c r="AM13" t="str">
        <f>+INDEX('NGP Chairs CoChairs'!$A$2:$M$99,MATCH('Old Recap SS &amp; Precinct #s'!$AL13,'NGP Chairs CoChairs'!$A$2:$A$99,0),12)</f>
        <v>Pamela Teixeira</v>
      </c>
      <c r="AN13" t="str">
        <f>+INDEX('NGP Chairs CoChairs'!$A$2:$M$99,MATCH('Old Recap SS &amp; Precinct #s'!$AL13,'NGP Chairs CoChairs'!$A$2:$A$99,0),7)</f>
        <v>7326737007</v>
      </c>
      <c r="AO13" t="str">
        <f>+INDEX('NGP Chairs CoChairs'!$A$2:$M$99,MATCH('Old Recap SS &amp; Precinct #s'!$AL13,'NGP Chairs CoChairs'!$A$2:$A$99,0),8)</f>
        <v>pammyt@gmail.com</v>
      </c>
      <c r="AP13">
        <v>107152500</v>
      </c>
      <c r="AQ13" t="str">
        <f>+INDEX('NGP Chairs CoChairs'!$A$2:$M$99,MATCH('Old Recap SS &amp; Precinct #s'!$AP13,'NGP Chairs CoChairs'!$A$2:$A$99,0),12)</f>
        <v>Nancy George</v>
      </c>
      <c r="AR13" t="str">
        <f>+INDEX('NGP Chairs CoChairs'!$A$2:$M$99,MATCH('Old Recap SS &amp; Precinct #s'!$AP13,'NGP Chairs CoChairs'!$A$2:$A$99,0),7)</f>
        <v>7207327496</v>
      </c>
      <c r="AS13" t="str">
        <f>+INDEX('NGP Chairs CoChairs'!$A$2:$M$99,MATCH('Old Recap SS &amp; Precinct #s'!$AP13,'NGP Chairs CoChairs'!$A$2:$A$99,0),8)</f>
        <v>eriedem681@gmail.com</v>
      </c>
      <c r="AU13" t="e">
        <f>+INDEX('NGP Chairs CoChairs'!$A$2:$M$99,MATCH('Old Recap SS &amp; Precinct #s'!$AT13,'NGP Chairs CoChairs'!$A$2:$A$99,0),12)</f>
        <v>#N/A</v>
      </c>
      <c r="AV13" t="e">
        <f>+INDEX('NGP Chairs CoChairs'!$A$2:$M$99,MATCH('Old Recap SS &amp; Precinct #s'!$AT13,'NGP Chairs CoChairs'!$A$2:$A$99,0),7)</f>
        <v>#N/A</v>
      </c>
      <c r="AW13" t="e">
        <f>+INDEX('NGP Chairs CoChairs'!$A$2:$M$99,MATCH('Old Recap SS &amp; Precinct #s'!$AT13,'NGP Chairs CoChairs'!$A$2:$A$99,0),8)</f>
        <v>#N/A</v>
      </c>
      <c r="AY13" t="e">
        <f>+INDEX('NGP Chairs CoChairs'!$A$2:$M$99,MATCH('Old Recap SS &amp; Precinct #s'!$AX13,'NGP Chairs CoChairs'!$A$2:$A$99,0),12)</f>
        <v>#N/A</v>
      </c>
      <c r="AZ13" t="e">
        <f>+INDEX('NGP Chairs CoChairs'!$A$2:$M$99,MATCH('Old Recap SS &amp; Precinct #s'!$AX13,'NGP Chairs CoChairs'!$A$2:$A$99,0),7)</f>
        <v>#N/A</v>
      </c>
      <c r="BA13" t="e">
        <f>+INDEX('NGP Chairs CoChairs'!$A$2:$M$99,MATCH('Old Recap SS &amp; Precinct #s'!$AX13,'NGP Chairs CoChairs'!$A$2:$A$99,0),8)</f>
        <v>#N/A</v>
      </c>
      <c r="BB13">
        <f t="shared" si="9"/>
        <v>1</v>
      </c>
      <c r="BC13">
        <f t="shared" si="10"/>
        <v>1</v>
      </c>
      <c r="BD13">
        <f t="shared" si="11"/>
        <v>1</v>
      </c>
      <c r="BE13" t="str">
        <f t="shared" si="12"/>
        <v/>
      </c>
      <c r="BF13" t="str">
        <f t="shared" si="13"/>
        <v/>
      </c>
    </row>
    <row r="14" spans="1:214" ht="17" x14ac:dyDescent="0.2">
      <c r="A14" s="3" t="s">
        <v>137</v>
      </c>
      <c r="B14" s="3" t="s">
        <v>138</v>
      </c>
      <c r="C14" t="str">
        <f>+INDEX('Supersite Working-AW'!$O$4:$R$196,MATCH('Old Recap SS &amp; Precinct #s'!$A14,'Supersite Working-AW'!$R$4:$R$196,0),1)</f>
        <v>Mountains</v>
      </c>
      <c r="D14" s="59">
        <f>SUMIF('Supersite Working-AW'!$R$4:$R$196,$A14,'Supersite Working-AW'!$L$4:$L$198)</f>
        <v>308</v>
      </c>
      <c r="E14" s="59">
        <f>SUMIF('Supersite Working-AW'!$R$4:$R$196,$A14,'Supersite Working-AW'!$M$4:$M$198)</f>
        <v>7.7</v>
      </c>
      <c r="F14" s="1">
        <f t="shared" si="14"/>
        <v>1</v>
      </c>
      <c r="G14" s="51" t="str">
        <f t="shared" si="15"/>
        <v>909,,,,,,,,,,,,,,,,,,,</v>
      </c>
      <c r="H14" s="1">
        <v>909</v>
      </c>
      <c r="AG14" s="1">
        <f t="shared" si="3"/>
        <v>1</v>
      </c>
      <c r="AH14">
        <f>+INDEX('Supersite Working-AW'!$R$4:$AB$196,MATCH('Old Recap SS &amp; Precinct #s'!$A14,'Supersite Working-AW'!$R$4:$R$196,0),7)</f>
        <v>107152390</v>
      </c>
      <c r="AI14" t="str">
        <f>+INDEX('NGP Chairs CoChairs'!$A$2:$L$99,MATCH('Old Recap SS &amp; Precinct #s'!$AH14,'NGP Chairs CoChairs'!$A$2:$A$99,0),12)</f>
        <v>Gretchen Diefenderfer</v>
      </c>
      <c r="AJ14" t="str">
        <f>+INDEX('NGP Chairs CoChairs'!$A$2:$L$99,MATCH('Old Recap SS &amp; Precinct #s'!$AH14,'NGP Chairs CoChairs'!$A$2:$A$99,0),7)</f>
        <v>3039479477</v>
      </c>
      <c r="AK14" t="str">
        <f>+INDEX('NGP Chairs CoChairs'!$A$2:$L$99,MATCH('Old Recap SS &amp; Precinct #s'!$AH14,'NGP Chairs CoChairs'!$A$2:$A$99,0),8)</f>
        <v>gretchend@mac.com</v>
      </c>
      <c r="AM14" t="e">
        <f>+INDEX('NGP Chairs CoChairs'!$A$2:$M$99,MATCH('Old Recap SS &amp; Precinct #s'!$AL14,'NGP Chairs CoChairs'!$A$2:$A$99,0),12)</f>
        <v>#N/A</v>
      </c>
      <c r="AN14" t="e">
        <f>+INDEX('NGP Chairs CoChairs'!$A$2:$M$99,MATCH('Old Recap SS &amp; Precinct #s'!$AL14,'NGP Chairs CoChairs'!$A$2:$A$99,0),7)</f>
        <v>#N/A</v>
      </c>
      <c r="AO14" t="e">
        <f>+INDEX('NGP Chairs CoChairs'!$A$2:$M$99,MATCH('Old Recap SS &amp; Precinct #s'!$AL14,'NGP Chairs CoChairs'!$A$2:$A$99,0),8)</f>
        <v>#N/A</v>
      </c>
      <c r="AQ14" t="e">
        <f>+INDEX('NGP Chairs CoChairs'!$A$2:$M$99,MATCH('Old Recap SS &amp; Precinct #s'!$AP14,'NGP Chairs CoChairs'!$A$2:$A$99,0),12)</f>
        <v>#N/A</v>
      </c>
      <c r="AR14" t="e">
        <f>+INDEX('NGP Chairs CoChairs'!$A$2:$M$99,MATCH('Old Recap SS &amp; Precinct #s'!$AP14,'NGP Chairs CoChairs'!$A$2:$A$99,0),7)</f>
        <v>#N/A</v>
      </c>
      <c r="AS14" t="e">
        <f>+INDEX('NGP Chairs CoChairs'!$A$2:$M$99,MATCH('Old Recap SS &amp; Precinct #s'!$AP14,'NGP Chairs CoChairs'!$A$2:$A$99,0),8)</f>
        <v>#N/A</v>
      </c>
      <c r="AU14" t="e">
        <f>+INDEX('NGP Chairs CoChairs'!$A$2:$M$99,MATCH('Old Recap SS &amp; Precinct #s'!$AT14,'NGP Chairs CoChairs'!$A$2:$A$99,0),12)</f>
        <v>#N/A</v>
      </c>
      <c r="AV14" t="e">
        <f>+INDEX('NGP Chairs CoChairs'!$A$2:$M$99,MATCH('Old Recap SS &amp; Precinct #s'!$AT14,'NGP Chairs CoChairs'!$A$2:$A$99,0),7)</f>
        <v>#N/A</v>
      </c>
      <c r="AW14" t="e">
        <f>+INDEX('NGP Chairs CoChairs'!$A$2:$M$99,MATCH('Old Recap SS &amp; Precinct #s'!$AT14,'NGP Chairs CoChairs'!$A$2:$A$99,0),8)</f>
        <v>#N/A</v>
      </c>
      <c r="AY14" t="e">
        <f>+INDEX('NGP Chairs CoChairs'!$A$2:$M$99,MATCH('Old Recap SS &amp; Precinct #s'!$AX14,'NGP Chairs CoChairs'!$A$2:$A$99,0),12)</f>
        <v>#N/A</v>
      </c>
      <c r="AZ14" t="e">
        <f>+INDEX('NGP Chairs CoChairs'!$A$2:$M$99,MATCH('Old Recap SS &amp; Precinct #s'!$AX14,'NGP Chairs CoChairs'!$A$2:$A$99,0),7)</f>
        <v>#N/A</v>
      </c>
      <c r="BA14" t="e">
        <f>+INDEX('NGP Chairs CoChairs'!$A$2:$M$99,MATCH('Old Recap SS &amp; Precinct #s'!$AX14,'NGP Chairs CoChairs'!$A$2:$A$99,0),8)</f>
        <v>#N/A</v>
      </c>
      <c r="BB14">
        <f t="shared" si="9"/>
        <v>1</v>
      </c>
      <c r="BC14" t="str">
        <f t="shared" si="10"/>
        <v/>
      </c>
      <c r="BD14" t="str">
        <f t="shared" si="11"/>
        <v/>
      </c>
      <c r="BE14" t="str">
        <f t="shared" si="12"/>
        <v/>
      </c>
      <c r="BF14" t="str">
        <f t="shared" si="13"/>
        <v/>
      </c>
    </row>
    <row r="15" spans="1:214" ht="17" x14ac:dyDescent="0.2">
      <c r="A15" t="s">
        <v>139</v>
      </c>
      <c r="B15" s="3" t="s">
        <v>138</v>
      </c>
      <c r="C15" t="str">
        <f>+INDEX('Supersite Working-AW'!$O$4:$R$196,MATCH('Old Recap SS &amp; Precinct #s'!$A15,'Supersite Working-AW'!$R$4:$R$196,0),1)</f>
        <v>Mountains</v>
      </c>
      <c r="D15" s="59">
        <f>SUMIF('Supersite Working-AW'!$R$4:$R$196,$A15,'Supersite Working-AW'!$L$4:$L$198)</f>
        <v>283</v>
      </c>
      <c r="E15" s="59">
        <f>SUMIF('Supersite Working-AW'!$R$4:$R$196,$A15,'Supersite Working-AW'!$M$4:$M$198)</f>
        <v>7.0750000000000002</v>
      </c>
      <c r="F15" s="1">
        <f t="shared" si="14"/>
        <v>1</v>
      </c>
      <c r="G15" s="51" t="str">
        <f t="shared" si="15"/>
        <v>913,,,,,,,,,,,,,,,,,,,</v>
      </c>
      <c r="H15" s="1">
        <v>913</v>
      </c>
      <c r="AG15" s="1">
        <f t="shared" si="3"/>
        <v>1</v>
      </c>
      <c r="AH15">
        <v>122990310</v>
      </c>
      <c r="AI15" t="str">
        <f>+INDEX('NGP Chairs CoChairs'!$A$2:$L$99,MATCH('Old Recap SS &amp; Precinct #s'!$AH15,'NGP Chairs CoChairs'!$A$2:$A$99,0),12)</f>
        <v>Robert Schaller</v>
      </c>
      <c r="AJ15" t="str">
        <f>+INDEX('NGP Chairs CoChairs'!$A$2:$L$99,MATCH('Old Recap SS &amp; Precinct #s'!$AH15,'NGP Chairs CoChairs'!$A$2:$A$99,0),7)</f>
        <v>7202204975 </v>
      </c>
      <c r="AK15" t="str">
        <f>+INDEX('NGP Chairs CoChairs'!$A$2:$L$99,MATCH('Old Recap SS &amp; Precinct #s'!$AH15,'NGP Chairs CoChairs'!$A$2:$A$99,0),8)</f>
        <v>robert@ontosmedia.com</v>
      </c>
      <c r="AM15" t="e">
        <f>+INDEX('NGP Chairs CoChairs'!$A$2:$M$99,MATCH('Old Recap SS &amp; Precinct #s'!$AL15,'NGP Chairs CoChairs'!$A$2:$A$99,0),12)</f>
        <v>#N/A</v>
      </c>
      <c r="AN15" t="e">
        <f>+INDEX('NGP Chairs CoChairs'!$A$2:$M$99,MATCH('Old Recap SS &amp; Precinct #s'!$AL15,'NGP Chairs CoChairs'!$A$2:$A$99,0),7)</f>
        <v>#N/A</v>
      </c>
      <c r="AO15" t="e">
        <f>+INDEX('NGP Chairs CoChairs'!$A$2:$M$99,MATCH('Old Recap SS &amp; Precinct #s'!$AL15,'NGP Chairs CoChairs'!$A$2:$A$99,0),8)</f>
        <v>#N/A</v>
      </c>
      <c r="AQ15" t="e">
        <f>+INDEX('NGP Chairs CoChairs'!$A$2:$M$99,MATCH('Old Recap SS &amp; Precinct #s'!$AP15,'NGP Chairs CoChairs'!$A$2:$A$99,0),12)</f>
        <v>#N/A</v>
      </c>
      <c r="AR15" t="e">
        <f>+INDEX('NGP Chairs CoChairs'!$A$2:$M$99,MATCH('Old Recap SS &amp; Precinct #s'!$AP15,'NGP Chairs CoChairs'!$A$2:$A$99,0),7)</f>
        <v>#N/A</v>
      </c>
      <c r="AS15" t="e">
        <f>+INDEX('NGP Chairs CoChairs'!$A$2:$M$99,MATCH('Old Recap SS &amp; Precinct #s'!$AP15,'NGP Chairs CoChairs'!$A$2:$A$99,0),8)</f>
        <v>#N/A</v>
      </c>
      <c r="AU15" t="e">
        <f>+INDEX('NGP Chairs CoChairs'!$A$2:$M$99,MATCH('Old Recap SS &amp; Precinct #s'!$AT15,'NGP Chairs CoChairs'!$A$2:$A$99,0),12)</f>
        <v>#N/A</v>
      </c>
      <c r="AV15" t="e">
        <f>+INDEX('NGP Chairs CoChairs'!$A$2:$M$99,MATCH('Old Recap SS &amp; Precinct #s'!$AT15,'NGP Chairs CoChairs'!$A$2:$A$99,0),7)</f>
        <v>#N/A</v>
      </c>
      <c r="AW15" t="e">
        <f>+INDEX('NGP Chairs CoChairs'!$A$2:$M$99,MATCH('Old Recap SS &amp; Precinct #s'!$AT15,'NGP Chairs CoChairs'!$A$2:$A$99,0),8)</f>
        <v>#N/A</v>
      </c>
      <c r="AY15" t="e">
        <f>+INDEX('NGP Chairs CoChairs'!$A$2:$M$99,MATCH('Old Recap SS &amp; Precinct #s'!$AX15,'NGP Chairs CoChairs'!$A$2:$A$99,0),12)</f>
        <v>#N/A</v>
      </c>
      <c r="AZ15" t="e">
        <f>+INDEX('NGP Chairs CoChairs'!$A$2:$M$99,MATCH('Old Recap SS &amp; Precinct #s'!$AX15,'NGP Chairs CoChairs'!$A$2:$A$99,0),7)</f>
        <v>#N/A</v>
      </c>
      <c r="BA15" t="e">
        <f>+INDEX('NGP Chairs CoChairs'!$A$2:$M$99,MATCH('Old Recap SS &amp; Precinct #s'!$AX15,'NGP Chairs CoChairs'!$A$2:$A$99,0),8)</f>
        <v>#N/A</v>
      </c>
      <c r="BB15">
        <f t="shared" si="9"/>
        <v>1</v>
      </c>
      <c r="BC15" t="str">
        <f t="shared" si="10"/>
        <v/>
      </c>
      <c r="BD15" t="str">
        <f t="shared" si="11"/>
        <v/>
      </c>
      <c r="BE15" t="str">
        <f t="shared" si="12"/>
        <v/>
      </c>
      <c r="BF15" t="str">
        <f t="shared" si="13"/>
        <v/>
      </c>
    </row>
    <row r="16" spans="1:214" ht="34" x14ac:dyDescent="0.2">
      <c r="A16" t="s">
        <v>60</v>
      </c>
      <c r="B16" t="s">
        <v>140</v>
      </c>
      <c r="C16" t="str">
        <f>+INDEX('Supersite Working-AW'!$O$4:$R$196,MATCH('Old Recap SS &amp; Precinct #s'!$A16,'Supersite Working-AW'!$R$4:$R$196,0),1)</f>
        <v>Longmont</v>
      </c>
      <c r="D16" s="59">
        <f>SUMIF('Supersite Working-AW'!$R$4:$R$196,$A16,'Supersite Working-AW'!$L$4:$L$198)</f>
        <v>6376</v>
      </c>
      <c r="E16" s="59">
        <f>SUMIF('Supersite Working-AW'!$R$4:$R$196,$A16,'Supersite Working-AW'!$M$4:$M$198)</f>
        <v>159.40000000000003</v>
      </c>
      <c r="F16" s="1">
        <f t="shared" si="14"/>
        <v>18</v>
      </c>
      <c r="G16" s="51" t="str">
        <f t="shared" si="15"/>
        <v>626,627,628,629,643,644,645,646,617,632,641,642,647,648,649,703,704,705,,</v>
      </c>
      <c r="H16" s="31">
        <v>626</v>
      </c>
      <c r="I16" s="31">
        <v>627</v>
      </c>
      <c r="J16" s="31">
        <v>628</v>
      </c>
      <c r="K16" s="31">
        <v>629</v>
      </c>
      <c r="L16" s="31">
        <v>643</v>
      </c>
      <c r="M16" s="31">
        <v>644</v>
      </c>
      <c r="N16" s="31">
        <v>645</v>
      </c>
      <c r="O16" s="31">
        <v>646</v>
      </c>
      <c r="P16" s="31">
        <v>617</v>
      </c>
      <c r="Q16" s="31">
        <v>632</v>
      </c>
      <c r="R16" s="31">
        <v>641</v>
      </c>
      <c r="S16" s="31">
        <v>642</v>
      </c>
      <c r="T16" s="31">
        <v>647</v>
      </c>
      <c r="U16" s="31">
        <v>648</v>
      </c>
      <c r="V16" s="31">
        <v>649</v>
      </c>
      <c r="W16" s="31">
        <v>703</v>
      </c>
      <c r="X16" s="31">
        <v>704</v>
      </c>
      <c r="Y16" s="60">
        <v>705</v>
      </c>
      <c r="AG16" s="1">
        <f t="shared" si="3"/>
        <v>4</v>
      </c>
      <c r="AH16">
        <v>137032958</v>
      </c>
      <c r="AI16" t="str">
        <f>+INDEX('NGP Chairs CoChairs'!$A$2:$L$99,MATCH('Old Recap SS &amp; Precinct #s'!$AH16,'NGP Chairs CoChairs'!$A$2:$A$99,0),12)</f>
        <v>Marisa Dirks</v>
      </c>
      <c r="AJ16" t="str">
        <f>+INDEX('NGP Chairs CoChairs'!$A$2:$L$99,MATCH('Old Recap SS &amp; Precinct #s'!$AH16,'NGP Chairs CoChairs'!$A$2:$A$99,0),7)</f>
        <v>3037757400</v>
      </c>
      <c r="AK16" t="str">
        <f>+INDEX('NGP Chairs CoChairs'!$A$2:$L$99,MATCH('Old Recap SS &amp; Precinct #s'!$AH16,'NGP Chairs CoChairs'!$A$2:$A$99,0),8)</f>
        <v>marisa@bocodems.org</v>
      </c>
      <c r="AL16">
        <v>108682188</v>
      </c>
      <c r="AM16" t="str">
        <f>+INDEX('NGP Chairs CoChairs'!$A$2:$M$99,MATCH('Old Recap SS &amp; Precinct #s'!$AL16,'NGP Chairs CoChairs'!$A$2:$A$99,0),12)</f>
        <v>Stan Gelb</v>
      </c>
      <c r="AN16" t="str">
        <f>+INDEX('NGP Chairs CoChairs'!$A$2:$M$99,MATCH('Old Recap SS &amp; Precinct #s'!$AL16,'NGP Chairs CoChairs'!$A$2:$A$99,0),7)</f>
        <v>7205341960</v>
      </c>
      <c r="AO16" t="str">
        <f>+INDEX('NGP Chairs CoChairs'!$A$2:$M$99,MATCH('Old Recap SS &amp; Precinct #s'!$AL16,'NGP Chairs CoChairs'!$A$2:$A$99,0),8)</f>
        <v>Stan@bocodems.org</v>
      </c>
      <c r="AP16">
        <v>107153112</v>
      </c>
      <c r="AQ16" t="str">
        <f>+INDEX('NGP Chairs CoChairs'!$A$2:$M$99,MATCH('Old Recap SS &amp; Precinct #s'!$AP16,'NGP Chairs CoChairs'!$A$2:$A$99,0),12)</f>
        <v>Beth Utton</v>
      </c>
      <c r="AR16" t="str">
        <f>+INDEX('NGP Chairs CoChairs'!$A$2:$M$99,MATCH('Old Recap SS &amp; Precinct #s'!$AP16,'NGP Chairs CoChairs'!$A$2:$A$99,0),7)</f>
        <v>7205341960</v>
      </c>
      <c r="AS16" t="str">
        <f>+INDEX('NGP Chairs CoChairs'!$A$2:$M$99,MATCH('Old Recap SS &amp; Precinct #s'!$AP16,'NGP Chairs CoChairs'!$A$2:$A$99,0),8)</f>
        <v>beth@bocodems.org</v>
      </c>
      <c r="AT16">
        <v>107152357</v>
      </c>
      <c r="AU16" t="e">
        <f>+INDEX('NGP Chairs CoChairs'!$A$2:$M$99,MATCH('Old Recap SS &amp; Precinct #s'!$AT16,'NGP Chairs CoChairs'!$A$2:$A$99,0),12)</f>
        <v>#N/A</v>
      </c>
      <c r="AV16" t="e">
        <f>+INDEX('NGP Chairs CoChairs'!$A$2:$M$99,MATCH('Old Recap SS &amp; Precinct #s'!$AT16,'NGP Chairs CoChairs'!$A$2:$A$99,0),7)</f>
        <v>#N/A</v>
      </c>
      <c r="AW16" t="e">
        <f>+INDEX('NGP Chairs CoChairs'!$A$2:$M$99,MATCH('Old Recap SS &amp; Precinct #s'!$AT16,'NGP Chairs CoChairs'!$A$2:$A$99,0),8)</f>
        <v>#N/A</v>
      </c>
      <c r="AY16" t="e">
        <f>+INDEX('NGP Chairs CoChairs'!$A$2:$M$99,MATCH('Old Recap SS &amp; Precinct #s'!$AX16,'NGP Chairs CoChairs'!$A$2:$A$99,0),12)</f>
        <v>#N/A</v>
      </c>
      <c r="AZ16" t="e">
        <f>+INDEX('NGP Chairs CoChairs'!$A$2:$M$99,MATCH('Old Recap SS &amp; Precinct #s'!$AX16,'NGP Chairs CoChairs'!$A$2:$A$99,0),7)</f>
        <v>#N/A</v>
      </c>
      <c r="BA16" t="e">
        <f>+INDEX('NGP Chairs CoChairs'!$A$2:$M$99,MATCH('Old Recap SS &amp; Precinct #s'!$AX16,'NGP Chairs CoChairs'!$A$2:$A$99,0),8)</f>
        <v>#N/A</v>
      </c>
      <c r="BB16">
        <f t="shared" si="9"/>
        <v>1</v>
      </c>
      <c r="BC16">
        <f t="shared" si="10"/>
        <v>1</v>
      </c>
      <c r="BD16">
        <f t="shared" si="11"/>
        <v>1</v>
      </c>
      <c r="BE16">
        <f t="shared" si="12"/>
        <v>1</v>
      </c>
      <c r="BF16" t="str">
        <f t="shared" si="13"/>
        <v/>
      </c>
    </row>
    <row r="17" spans="1:58" ht="17" x14ac:dyDescent="0.2">
      <c r="A17" t="s">
        <v>141</v>
      </c>
      <c r="B17" t="s">
        <v>122</v>
      </c>
      <c r="C17" t="str">
        <f>+INDEX('Supersite Working-AW'!$O$4:$R$196,MATCH('Old Recap SS &amp; Precinct #s'!$A17,'Supersite Working-AW'!$R$4:$R$196,0),1)</f>
        <v>Mountains</v>
      </c>
      <c r="D17" s="59">
        <f>SUMIF('Supersite Working-AW'!$R$4:$R$196,$A17,'Supersite Working-AW'!$L$4:$L$198)</f>
        <v>2380</v>
      </c>
      <c r="E17" s="59">
        <f>SUMIF('Supersite Working-AW'!$R$4:$R$196,$A17,'Supersite Working-AW'!$M$4:$M$198)</f>
        <v>59.500000000000007</v>
      </c>
      <c r="F17" s="1">
        <f t="shared" si="14"/>
        <v>5</v>
      </c>
      <c r="G17" s="51" t="str">
        <f t="shared" si="15"/>
        <v>700,701,702,915,916,,,,,,,,,,,,,,,</v>
      </c>
      <c r="H17" s="1">
        <v>700</v>
      </c>
      <c r="I17" s="1">
        <v>701</v>
      </c>
      <c r="J17" s="1">
        <v>702</v>
      </c>
      <c r="K17" s="1">
        <v>915</v>
      </c>
      <c r="L17" s="1">
        <v>916</v>
      </c>
      <c r="AG17" s="1">
        <f t="shared" si="3"/>
        <v>1</v>
      </c>
      <c r="AH17">
        <f>+INDEX('Supersite Working-AW'!$R$4:$AB$196,MATCH('Old Recap SS &amp; Precinct #s'!$A17,'Supersite Working-AW'!$R$4:$R$196,0),7)</f>
        <v>107272606</v>
      </c>
      <c r="AI17" t="str">
        <f>+INDEX('NGP Chairs CoChairs'!$A$2:$L$99,MATCH('Old Recap SS &amp; Precinct #s'!$AH17,'NGP Chairs CoChairs'!$A$2:$A$99,0),12)</f>
        <v>Jen Wingard</v>
      </c>
      <c r="AJ17" t="str">
        <f>+INDEX('NGP Chairs CoChairs'!$A$2:$L$99,MATCH('Old Recap SS &amp; Precinct #s'!$AH17,'NGP Chairs CoChairs'!$A$2:$A$99,0),7)</f>
        <v>3038095686</v>
      </c>
      <c r="AK17" t="str">
        <f>+INDEX('NGP Chairs CoChairs'!$A$2:$L$99,MATCH('Old Recap SS &amp; Precinct #s'!$AH17,'NGP Chairs CoChairs'!$A$2:$A$99,0),8)</f>
        <v>jwingard@q.com</v>
      </c>
      <c r="AM17" t="e">
        <f>+INDEX('NGP Chairs CoChairs'!$A$2:$M$99,MATCH('Old Recap SS &amp; Precinct #s'!$AL17,'NGP Chairs CoChairs'!$A$2:$A$99,0),12)</f>
        <v>#N/A</v>
      </c>
      <c r="AN17" t="e">
        <f>+INDEX('NGP Chairs CoChairs'!$A$2:$M$99,MATCH('Old Recap SS &amp; Precinct #s'!$AL17,'NGP Chairs CoChairs'!$A$2:$A$99,0),7)</f>
        <v>#N/A</v>
      </c>
      <c r="AO17" t="e">
        <f>+INDEX('NGP Chairs CoChairs'!$A$2:$M$99,MATCH('Old Recap SS &amp; Precinct #s'!$AL17,'NGP Chairs CoChairs'!$A$2:$A$99,0),8)</f>
        <v>#N/A</v>
      </c>
      <c r="AQ17" t="e">
        <f>+INDEX('NGP Chairs CoChairs'!$A$2:$M$99,MATCH('Old Recap SS &amp; Precinct #s'!$AP17,'NGP Chairs CoChairs'!$A$2:$A$99,0),12)</f>
        <v>#N/A</v>
      </c>
      <c r="AR17" t="e">
        <f>+INDEX('NGP Chairs CoChairs'!$A$2:$M$99,MATCH('Old Recap SS &amp; Precinct #s'!$AP17,'NGP Chairs CoChairs'!$A$2:$A$99,0),7)</f>
        <v>#N/A</v>
      </c>
      <c r="AS17" t="e">
        <f>+INDEX('NGP Chairs CoChairs'!$A$2:$M$99,MATCH('Old Recap SS &amp; Precinct #s'!$AP17,'NGP Chairs CoChairs'!$A$2:$A$99,0),8)</f>
        <v>#N/A</v>
      </c>
      <c r="AU17" t="e">
        <f>+INDEX('NGP Chairs CoChairs'!$A$2:$M$99,MATCH('Old Recap SS &amp; Precinct #s'!$AT17,'NGP Chairs CoChairs'!$A$2:$A$99,0),12)</f>
        <v>#N/A</v>
      </c>
      <c r="AV17" t="e">
        <f>+INDEX('NGP Chairs CoChairs'!$A$2:$M$99,MATCH('Old Recap SS &amp; Precinct #s'!$AT17,'NGP Chairs CoChairs'!$A$2:$A$99,0),7)</f>
        <v>#N/A</v>
      </c>
      <c r="AW17" t="e">
        <f>+INDEX('NGP Chairs CoChairs'!$A$2:$M$99,MATCH('Old Recap SS &amp; Precinct #s'!$AT17,'NGP Chairs CoChairs'!$A$2:$A$99,0),8)</f>
        <v>#N/A</v>
      </c>
      <c r="AY17" t="e">
        <f>+INDEX('NGP Chairs CoChairs'!$A$2:$M$99,MATCH('Old Recap SS &amp; Precinct #s'!$AX17,'NGP Chairs CoChairs'!$A$2:$A$99,0),12)</f>
        <v>#N/A</v>
      </c>
      <c r="AZ17" t="e">
        <f>+INDEX('NGP Chairs CoChairs'!$A$2:$M$99,MATCH('Old Recap SS &amp; Precinct #s'!$AX17,'NGP Chairs CoChairs'!$A$2:$A$99,0),7)</f>
        <v>#N/A</v>
      </c>
      <c r="BA17" t="e">
        <f>+INDEX('NGP Chairs CoChairs'!$A$2:$M$99,MATCH('Old Recap SS &amp; Precinct #s'!$AX17,'NGP Chairs CoChairs'!$A$2:$A$99,0),8)</f>
        <v>#N/A</v>
      </c>
      <c r="BB17">
        <f t="shared" si="9"/>
        <v>1</v>
      </c>
      <c r="BC17" t="str">
        <f t="shared" si="10"/>
        <v/>
      </c>
      <c r="BD17" t="str">
        <f t="shared" si="11"/>
        <v/>
      </c>
      <c r="BE17" t="str">
        <f t="shared" si="12"/>
        <v/>
      </c>
      <c r="BF17" t="str">
        <f t="shared" si="13"/>
        <v/>
      </c>
    </row>
    <row r="18" spans="1:58" ht="17" x14ac:dyDescent="0.2">
      <c r="A18" t="s">
        <v>142</v>
      </c>
      <c r="B18" t="s">
        <v>143</v>
      </c>
      <c r="C18" t="e">
        <f>+INDEX('Supersite Working-AW'!$O$4:$R$196,MATCH('Old Recap SS &amp; Precinct #s'!$A18,'Supersite Working-AW'!$R$4:$R$196,0),1)</f>
        <v>#N/A</v>
      </c>
      <c r="D18" s="59">
        <f>SUMIF('Supersite Working-AW'!$R$4:$R$196,$A18,'Supersite Working-AW'!$L$4:$L$198)</f>
        <v>0</v>
      </c>
      <c r="E18" s="59">
        <f>SUMIF('Supersite Working-AW'!$R$4:$R$196,$A18,'Supersite Working-AW'!$M$4:$M$198)</f>
        <v>0</v>
      </c>
      <c r="F18" s="1">
        <f t="shared" si="14"/>
        <v>12</v>
      </c>
      <c r="G18" s="51" t="str">
        <f t="shared" si="15"/>
        <v>4,834,835,836,837,838,839,840,841,842,848,849,,,,,,,,</v>
      </c>
      <c r="H18" s="31">
        <v>4</v>
      </c>
      <c r="I18" s="31">
        <v>834</v>
      </c>
      <c r="J18" s="31">
        <v>835</v>
      </c>
      <c r="K18" s="31">
        <v>836</v>
      </c>
      <c r="L18" s="31">
        <v>837</v>
      </c>
      <c r="M18" s="31">
        <v>838</v>
      </c>
      <c r="N18" s="31">
        <v>839</v>
      </c>
      <c r="O18" s="31">
        <v>840</v>
      </c>
      <c r="P18" s="31">
        <v>841</v>
      </c>
      <c r="Q18" s="31">
        <v>842</v>
      </c>
      <c r="R18" s="31">
        <v>848</v>
      </c>
      <c r="S18" s="31">
        <v>849</v>
      </c>
      <c r="T18" s="31"/>
      <c r="U18" s="31"/>
      <c r="V18" s="31"/>
      <c r="AG18" s="1" t="e">
        <f t="shared" si="3"/>
        <v>#N/A</v>
      </c>
      <c r="AH18" t="e">
        <f>+INDEX('Supersite Working-AW'!$R$4:$AB$196,MATCH('Old Recap SS &amp; Precinct #s'!$A18,'Supersite Working-AW'!$R$4:$R$196,0),7)</f>
        <v>#N/A</v>
      </c>
      <c r="AI18" t="e">
        <f>+INDEX('NGP Chairs CoChairs'!$A$2:$L$99,MATCH('Old Recap SS &amp; Precinct #s'!$AH18,'NGP Chairs CoChairs'!$A$2:$A$99,0),12)</f>
        <v>#N/A</v>
      </c>
      <c r="AJ18" t="e">
        <f>+INDEX('NGP Chairs CoChairs'!$A$2:$L$99,MATCH('Old Recap SS &amp; Precinct #s'!$AH18,'NGP Chairs CoChairs'!$A$2:$A$99,0),7)</f>
        <v>#N/A</v>
      </c>
      <c r="AK18" t="e">
        <f>+INDEX('NGP Chairs CoChairs'!$A$2:$L$99,MATCH('Old Recap SS &amp; Precinct #s'!$AH18,'NGP Chairs CoChairs'!$A$2:$A$99,0),8)</f>
        <v>#N/A</v>
      </c>
      <c r="AL18" t="e">
        <f>+INDEX('Supersite Working-AW'!$R$4:$AB$196,MATCH('Old Recap SS &amp; Precinct #s'!A18,'Supersite Working-AW'!$R$4:$R$196,0),8)</f>
        <v>#N/A</v>
      </c>
      <c r="AM18" t="e">
        <f>+INDEX('NGP Chairs CoChairs'!$A$2:$M$99,MATCH('Old Recap SS &amp; Precinct #s'!$AL18,'NGP Chairs CoChairs'!$A$2:$A$99,0),12)</f>
        <v>#N/A</v>
      </c>
      <c r="AN18" t="e">
        <f>+INDEX('NGP Chairs CoChairs'!$A$2:$M$99,MATCH('Old Recap SS &amp; Precinct #s'!$AL18,'NGP Chairs CoChairs'!$A$2:$A$99,0),7)</f>
        <v>#N/A</v>
      </c>
      <c r="AO18" t="e">
        <f>+INDEX('NGP Chairs CoChairs'!$A$2:$M$99,MATCH('Old Recap SS &amp; Precinct #s'!$AL18,'NGP Chairs CoChairs'!$A$2:$A$99,0),8)</f>
        <v>#N/A</v>
      </c>
      <c r="AP18">
        <v>107152229</v>
      </c>
      <c r="AQ18" t="str">
        <f>+INDEX('NGP Chairs CoChairs'!$A$2:$M$99,MATCH('Old Recap SS &amp; Precinct #s'!$AP18,'NGP Chairs CoChairs'!$A$2:$A$99,0),12)</f>
        <v>Candace Bowie</v>
      </c>
      <c r="AR18" t="str">
        <f>+INDEX('NGP Chairs CoChairs'!$A$2:$M$99,MATCH('Old Recap SS &amp; Precinct #s'!$AP18,'NGP Chairs CoChairs'!$A$2:$A$99,0),7)</f>
        <v>7204955088</v>
      </c>
      <c r="AS18" t="str">
        <f>+INDEX('NGP Chairs CoChairs'!$A$2:$M$99,MATCH('Old Recap SS &amp; Precinct #s'!$AP18,'NGP Chairs CoChairs'!$A$2:$A$99,0),8)</f>
        <v>Candace@bocodems.org</v>
      </c>
      <c r="AT18">
        <v>107152370</v>
      </c>
      <c r="AU18" t="str">
        <f>+INDEX('NGP Chairs CoChairs'!$A$2:$M$99,MATCH('Old Recap SS &amp; Precinct #s'!$AT18,'NGP Chairs CoChairs'!$A$2:$A$99,0),12)</f>
        <v>Peter Dawson</v>
      </c>
      <c r="AV18" t="str">
        <f>+INDEX('NGP Chairs CoChairs'!$A$2:$M$99,MATCH('Old Recap SS &amp; Precinct #s'!$AT18,'NGP Chairs CoChairs'!$A$2:$A$99,0),7)</f>
        <v>3038172531</v>
      </c>
      <c r="AW18" t="str">
        <f>+INDEX('NGP Chairs CoChairs'!$A$2:$M$99,MATCH('Old Recap SS &amp; Precinct #s'!$AT18,'NGP Chairs CoChairs'!$A$2:$A$99,0),8)</f>
        <v>Peter_Dawson1@yahoo.com</v>
      </c>
      <c r="AY18" t="e">
        <f>+INDEX('NGP Chairs CoChairs'!$A$2:$M$99,MATCH('Old Recap SS &amp; Precinct #s'!$AX18,'NGP Chairs CoChairs'!$A$2:$A$99,0),12)</f>
        <v>#N/A</v>
      </c>
      <c r="AZ18" t="e">
        <f>+INDEX('NGP Chairs CoChairs'!$A$2:$M$99,MATCH('Old Recap SS &amp; Precinct #s'!$AX18,'NGP Chairs CoChairs'!$A$2:$A$99,0),7)</f>
        <v>#N/A</v>
      </c>
      <c r="BA18" t="e">
        <f>+INDEX('NGP Chairs CoChairs'!$A$2:$M$99,MATCH('Old Recap SS &amp; Precinct #s'!$AX18,'NGP Chairs CoChairs'!$A$2:$A$99,0),8)</f>
        <v>#N/A</v>
      </c>
      <c r="BB18" t="e">
        <f t="shared" si="9"/>
        <v>#N/A</v>
      </c>
      <c r="BC18" t="e">
        <f t="shared" si="10"/>
        <v>#N/A</v>
      </c>
      <c r="BD18">
        <f t="shared" si="11"/>
        <v>1</v>
      </c>
      <c r="BE18">
        <f t="shared" si="12"/>
        <v>1</v>
      </c>
      <c r="BF18" t="str">
        <f t="shared" si="13"/>
        <v/>
      </c>
    </row>
    <row r="19" spans="1:58" ht="34" x14ac:dyDescent="0.2">
      <c r="A19" t="s">
        <v>144</v>
      </c>
      <c r="B19" t="s">
        <v>145</v>
      </c>
      <c r="C19" t="e">
        <f>+INDEX('Supersite Working-AW'!$O$4:$R$196,MATCH('Old Recap SS &amp; Precinct #s'!$A19,'Supersite Working-AW'!$R$4:$R$196,0),1)</f>
        <v>#N/A</v>
      </c>
      <c r="D19" s="59">
        <f>SUMIF('Supersite Working-AW'!$R$4:$R$196,$A19,'Supersite Working-AW'!$L$4:$L$198)</f>
        <v>0</v>
      </c>
      <c r="E19" s="59">
        <f>SUMIF('Supersite Working-AW'!$R$4:$R$196,$A19,'Supersite Working-AW'!$M$4:$M$198)</f>
        <v>0</v>
      </c>
      <c r="F19" s="1">
        <f t="shared" si="14"/>
        <v>13</v>
      </c>
      <c r="G19" s="51" t="str">
        <f t="shared" si="15"/>
        <v>200,201,202,203,204,205,206,207,208,209,210,211,212,,,,,,,</v>
      </c>
      <c r="H19" s="1">
        <v>200</v>
      </c>
      <c r="I19" s="1">
        <v>201</v>
      </c>
      <c r="J19" s="1">
        <v>202</v>
      </c>
      <c r="K19" s="1">
        <v>203</v>
      </c>
      <c r="L19" s="1">
        <v>204</v>
      </c>
      <c r="M19" s="1">
        <v>205</v>
      </c>
      <c r="N19" s="1">
        <v>206</v>
      </c>
      <c r="O19" s="1">
        <v>207</v>
      </c>
      <c r="P19" s="1">
        <v>208</v>
      </c>
      <c r="Q19" s="1">
        <v>209</v>
      </c>
      <c r="R19" s="1">
        <v>210</v>
      </c>
      <c r="S19" s="1">
        <v>211</v>
      </c>
      <c r="T19" s="1">
        <v>212</v>
      </c>
      <c r="AG19" s="1" t="e">
        <f t="shared" si="3"/>
        <v>#N/A</v>
      </c>
      <c r="AH19" t="e">
        <f>+INDEX('Supersite Working-AW'!$R$4:$AB$196,MATCH('Old Recap SS &amp; Precinct #s'!$A19,'Supersite Working-AW'!$R$4:$R$196,0),7)</f>
        <v>#N/A</v>
      </c>
      <c r="AI19" t="e">
        <f>+INDEX('NGP Chairs CoChairs'!$A$2:$L$99,MATCH('Old Recap SS &amp; Precinct #s'!$AH19,'NGP Chairs CoChairs'!$A$2:$A$99,0),12)</f>
        <v>#N/A</v>
      </c>
      <c r="AJ19" t="e">
        <f>+INDEX('NGP Chairs CoChairs'!$A$2:$L$99,MATCH('Old Recap SS &amp; Precinct #s'!$AH19,'NGP Chairs CoChairs'!$A$2:$A$99,0),7)</f>
        <v>#N/A</v>
      </c>
      <c r="AK19" t="e">
        <f>+INDEX('NGP Chairs CoChairs'!$A$2:$L$99,MATCH('Old Recap SS &amp; Precinct #s'!$AH19,'NGP Chairs CoChairs'!$A$2:$A$99,0),8)</f>
        <v>#N/A</v>
      </c>
      <c r="AL19">
        <v>107152704</v>
      </c>
      <c r="AM19" t="str">
        <f>+INDEX('NGP Chairs CoChairs'!$A$2:$M$99,MATCH('Old Recap SS &amp; Precinct #s'!$AL19,'NGP Chairs CoChairs'!$A$2:$A$99,0),12)</f>
        <v>Linda Lee</v>
      </c>
      <c r="AN19" t="str">
        <f>+INDEX('NGP Chairs CoChairs'!$A$2:$M$99,MATCH('Old Recap SS &amp; Precinct #s'!$AL19,'NGP Chairs CoChairs'!$A$2:$A$99,0),7)</f>
        <v>3039815392</v>
      </c>
      <c r="AO19" t="str">
        <f>+INDEX('NGP Chairs CoChairs'!$A$2:$M$99,MATCH('Old Recap SS &amp; Precinct #s'!$AL19,'NGP Chairs CoChairs'!$A$2:$A$99,0),8)</f>
        <v>lm.lee@comcast.net</v>
      </c>
      <c r="AQ19" t="e">
        <f>+INDEX('NGP Chairs CoChairs'!$A$2:$M$99,MATCH('Old Recap SS &amp; Precinct #s'!$AP19,'NGP Chairs CoChairs'!$A$2:$A$99,0),12)</f>
        <v>#N/A</v>
      </c>
      <c r="AR19" t="e">
        <f>+INDEX('NGP Chairs CoChairs'!$A$2:$M$99,MATCH('Old Recap SS &amp; Precinct #s'!$AP19,'NGP Chairs CoChairs'!$A$2:$A$99,0),7)</f>
        <v>#N/A</v>
      </c>
      <c r="AS19" t="e">
        <f>+INDEX('NGP Chairs CoChairs'!$A$2:$M$99,MATCH('Old Recap SS &amp; Precinct #s'!$AP19,'NGP Chairs CoChairs'!$A$2:$A$99,0),8)</f>
        <v>#N/A</v>
      </c>
      <c r="AU19" t="e">
        <f>+INDEX('NGP Chairs CoChairs'!$A$2:$M$99,MATCH('Old Recap SS &amp; Precinct #s'!$AT19,'NGP Chairs CoChairs'!$A$2:$A$99,0),12)</f>
        <v>#N/A</v>
      </c>
      <c r="AV19" t="e">
        <f>+INDEX('NGP Chairs CoChairs'!$A$2:$M$99,MATCH('Old Recap SS &amp; Precinct #s'!$AT19,'NGP Chairs CoChairs'!$A$2:$A$99,0),7)</f>
        <v>#N/A</v>
      </c>
      <c r="AW19" t="e">
        <f>+INDEX('NGP Chairs CoChairs'!$A$2:$M$99,MATCH('Old Recap SS &amp; Precinct #s'!$AT19,'NGP Chairs CoChairs'!$A$2:$A$99,0),8)</f>
        <v>#N/A</v>
      </c>
      <c r="AY19" t="e">
        <f>+INDEX('NGP Chairs CoChairs'!$A$2:$M$99,MATCH('Old Recap SS &amp; Precinct #s'!$AX19,'NGP Chairs CoChairs'!$A$2:$A$99,0),12)</f>
        <v>#N/A</v>
      </c>
      <c r="AZ19" t="e">
        <f>+INDEX('NGP Chairs CoChairs'!$A$2:$M$99,MATCH('Old Recap SS &amp; Precinct #s'!$AX19,'NGP Chairs CoChairs'!$A$2:$A$99,0),7)</f>
        <v>#N/A</v>
      </c>
      <c r="BA19" t="e">
        <f>+INDEX('NGP Chairs CoChairs'!$A$2:$M$99,MATCH('Old Recap SS &amp; Precinct #s'!$AX19,'NGP Chairs CoChairs'!$A$2:$A$99,0),8)</f>
        <v>#N/A</v>
      </c>
      <c r="BB19" t="e">
        <f t="shared" si="9"/>
        <v>#N/A</v>
      </c>
      <c r="BC19">
        <f t="shared" si="10"/>
        <v>1</v>
      </c>
      <c r="BD19" t="str">
        <f t="shared" si="11"/>
        <v/>
      </c>
      <c r="BE19" t="str">
        <f t="shared" si="12"/>
        <v/>
      </c>
      <c r="BF19" t="str">
        <f t="shared" si="13"/>
        <v/>
      </c>
    </row>
    <row r="20" spans="1:58" ht="17" x14ac:dyDescent="0.2">
      <c r="A20" t="s">
        <v>40</v>
      </c>
      <c r="B20" t="s">
        <v>146</v>
      </c>
      <c r="C20" t="str">
        <f>+INDEX('Supersite Working-AW'!$O$4:$R$196,MATCH('Old Recap SS &amp; Precinct #s'!$A20,'Supersite Working-AW'!$R$4:$R$196,0),1)</f>
        <v>Mountains</v>
      </c>
      <c r="D20" s="59">
        <f>SUMIF('Supersite Working-AW'!$R$4:$R$196,$A20,'Supersite Working-AW'!$L$4:$L$198)</f>
        <v>2198</v>
      </c>
      <c r="E20" s="59">
        <f>SUMIF('Supersite Working-AW'!$R$4:$R$196,$A20,'Supersite Working-AW'!$M$4:$M$198)</f>
        <v>54.95</v>
      </c>
      <c r="F20" s="1">
        <f t="shared" si="14"/>
        <v>6</v>
      </c>
      <c r="G20" s="51" t="str">
        <f t="shared" si="15"/>
        <v>901,902,903,904,905,907,,,,,,,,,,,,,,</v>
      </c>
      <c r="H20" s="1">
        <v>901</v>
      </c>
      <c r="I20" s="1">
        <v>902</v>
      </c>
      <c r="J20" s="1">
        <v>903</v>
      </c>
      <c r="K20" s="1">
        <v>904</v>
      </c>
      <c r="L20" s="1">
        <v>905</v>
      </c>
      <c r="M20" s="1">
        <v>907</v>
      </c>
      <c r="AG20" s="1">
        <f t="shared" si="3"/>
        <v>2</v>
      </c>
      <c r="AH20">
        <f>+INDEX('Supersite Working-AW'!$R$4:$AB$196,MATCH('Old Recap SS &amp; Precinct #s'!$A20,'Supersite Working-AW'!$R$4:$R$196,0),7)</f>
        <v>118591255</v>
      </c>
      <c r="AI20" t="str">
        <f>+INDEX('NGP Chairs CoChairs'!$A$2:$L$99,MATCH('Old Recap SS &amp; Precinct #s'!$AH20,'NGP Chairs CoChairs'!$A$2:$A$99,0),12)</f>
        <v>Lisa Lesniak</v>
      </c>
      <c r="AJ20" t="str">
        <f>+INDEX('NGP Chairs CoChairs'!$A$2:$L$99,MATCH('Old Recap SS &amp; Precinct #s'!$AH20,'NGP Chairs CoChairs'!$A$2:$A$99,0),7)</f>
        <v>2144977899</v>
      </c>
      <c r="AK20" t="str">
        <f>+INDEX('NGP Chairs CoChairs'!$A$2:$L$99,MATCH('Old Recap SS &amp; Precinct #s'!$AH20,'NGP Chairs CoChairs'!$A$2:$A$99,0),8)</f>
        <v>lisalesniak214@gmail.com</v>
      </c>
      <c r="AL20">
        <f>+INDEX('Supersite Working-AW'!$R$4:$AB$196,MATCH('Old Recap SS &amp; Precinct #s'!A20,'Supersite Working-AW'!$R$4:$R$196,0),8)</f>
        <v>114937498</v>
      </c>
      <c r="AM20" t="str">
        <f>+INDEX('NGP Chairs CoChairs'!$A$2:$M$99,MATCH('Old Recap SS &amp; Precinct #s'!$AL20,'NGP Chairs CoChairs'!$A$2:$A$99,0),12)</f>
        <v>Allen Nelson</v>
      </c>
      <c r="AN20" t="str">
        <f>+INDEX('NGP Chairs CoChairs'!$A$2:$M$99,MATCH('Old Recap SS &amp; Precinct #s'!$AL20,'NGP Chairs CoChairs'!$A$2:$A$99,0),7)</f>
        <v>3032583745</v>
      </c>
      <c r="AO20" t="str">
        <f>+INDEX('NGP Chairs CoChairs'!$A$2:$M$99,MATCH('Old Recap SS &amp; Precinct #s'!$AL20,'NGP Chairs CoChairs'!$A$2:$A$99,0),8)</f>
        <v>alhnelson@aol.com</v>
      </c>
      <c r="AQ20" t="e">
        <f>+INDEX('NGP Chairs CoChairs'!$A$2:$M$99,MATCH('Old Recap SS &amp; Precinct #s'!$AP20,'NGP Chairs CoChairs'!$A$2:$A$99,0),12)</f>
        <v>#N/A</v>
      </c>
      <c r="AR20" t="e">
        <f>+INDEX('NGP Chairs CoChairs'!$A$2:$M$99,MATCH('Old Recap SS &amp; Precinct #s'!$AP20,'NGP Chairs CoChairs'!$A$2:$A$99,0),7)</f>
        <v>#N/A</v>
      </c>
      <c r="AS20" t="e">
        <f>+INDEX('NGP Chairs CoChairs'!$A$2:$M$99,MATCH('Old Recap SS &amp; Precinct #s'!$AP20,'NGP Chairs CoChairs'!$A$2:$A$99,0),8)</f>
        <v>#N/A</v>
      </c>
      <c r="AU20" t="e">
        <f>+INDEX('NGP Chairs CoChairs'!$A$2:$M$99,MATCH('Old Recap SS &amp; Precinct #s'!$AT20,'NGP Chairs CoChairs'!$A$2:$A$99,0),12)</f>
        <v>#N/A</v>
      </c>
      <c r="AV20" t="e">
        <f>+INDEX('NGP Chairs CoChairs'!$A$2:$M$99,MATCH('Old Recap SS &amp; Precinct #s'!$AT20,'NGP Chairs CoChairs'!$A$2:$A$99,0),7)</f>
        <v>#N/A</v>
      </c>
      <c r="AW20" t="e">
        <f>+INDEX('NGP Chairs CoChairs'!$A$2:$M$99,MATCH('Old Recap SS &amp; Precinct #s'!$AT20,'NGP Chairs CoChairs'!$A$2:$A$99,0),8)</f>
        <v>#N/A</v>
      </c>
      <c r="AY20" t="e">
        <f>+INDEX('NGP Chairs CoChairs'!$A$2:$M$99,MATCH('Old Recap SS &amp; Precinct #s'!$AX20,'NGP Chairs CoChairs'!$A$2:$A$99,0),12)</f>
        <v>#N/A</v>
      </c>
      <c r="AZ20" t="e">
        <f>+INDEX('NGP Chairs CoChairs'!$A$2:$M$99,MATCH('Old Recap SS &amp; Precinct #s'!$AX20,'NGP Chairs CoChairs'!$A$2:$A$99,0),7)</f>
        <v>#N/A</v>
      </c>
      <c r="BA20" t="e">
        <f>+INDEX('NGP Chairs CoChairs'!$A$2:$M$99,MATCH('Old Recap SS &amp; Precinct #s'!$AX20,'NGP Chairs CoChairs'!$A$2:$A$99,0),8)</f>
        <v>#N/A</v>
      </c>
      <c r="BB20">
        <f t="shared" si="9"/>
        <v>1</v>
      </c>
      <c r="BC20">
        <f t="shared" si="10"/>
        <v>1</v>
      </c>
      <c r="BD20" t="str">
        <f t="shared" si="11"/>
        <v/>
      </c>
      <c r="BE20" t="str">
        <f t="shared" si="12"/>
        <v/>
      </c>
      <c r="BF20" t="str">
        <f t="shared" si="13"/>
        <v/>
      </c>
    </row>
    <row r="21" spans="1:58" ht="34" x14ac:dyDescent="0.2">
      <c r="A21" t="s">
        <v>94</v>
      </c>
      <c r="B21" t="s">
        <v>147</v>
      </c>
      <c r="C21" t="str">
        <f>+INDEX('Supersite Working-AW'!$O$4:$R$196,MATCH('Old Recap SS &amp; Precinct #s'!$A21,'Supersite Working-AW'!$R$4:$R$196,0),1)</f>
        <v>Boulder</v>
      </c>
      <c r="D21" s="59">
        <f>SUMIF('Supersite Working-AW'!$R$4:$R$196,$A21,'Supersite Working-AW'!$L$4:$L$198)</f>
        <v>8719</v>
      </c>
      <c r="E21" s="59">
        <f>SUMIF('Supersite Working-AW'!$R$4:$R$196,$A21,'Supersite Working-AW'!$M$4:$M$198)</f>
        <v>217.97500000000002</v>
      </c>
      <c r="F21" s="1">
        <f t="shared" si="14"/>
        <v>14</v>
      </c>
      <c r="G21" s="51" t="str">
        <f t="shared" si="15"/>
        <v>503,504,505,506,507,508,509,510,800,801,802,808,809,819,,,,,,</v>
      </c>
      <c r="H21" s="1">
        <v>503</v>
      </c>
      <c r="I21" s="1">
        <v>504</v>
      </c>
      <c r="J21" s="1">
        <v>505</v>
      </c>
      <c r="K21" s="1">
        <v>506</v>
      </c>
      <c r="L21" s="1">
        <v>507</v>
      </c>
      <c r="M21" s="1">
        <v>508</v>
      </c>
      <c r="N21" s="1">
        <v>509</v>
      </c>
      <c r="O21" s="1">
        <v>510</v>
      </c>
      <c r="P21" s="1">
        <v>800</v>
      </c>
      <c r="Q21" s="1">
        <v>801</v>
      </c>
      <c r="R21" s="1">
        <v>802</v>
      </c>
      <c r="S21" s="1">
        <v>808</v>
      </c>
      <c r="T21" s="1">
        <v>809</v>
      </c>
      <c r="U21" s="1">
        <v>819</v>
      </c>
      <c r="AG21" s="1">
        <f t="shared" si="3"/>
        <v>4</v>
      </c>
      <c r="AH21">
        <f>+INDEX('Supersite Working-AW'!$R$4:$AB$196,MATCH('Old Recap SS &amp; Precinct #s'!$A21,'Supersite Working-AW'!$R$4:$R$196,0),7)</f>
        <v>107152131</v>
      </c>
      <c r="AI21" t="str">
        <f>+INDEX('NGP Chairs CoChairs'!$A$2:$L$99,MATCH('Old Recap SS &amp; Precinct #s'!$AH21,'NGP Chairs CoChairs'!$A$2:$A$99,0),12)</f>
        <v>Michael Altenbern</v>
      </c>
      <c r="AJ21" t="str">
        <f>+INDEX('NGP Chairs CoChairs'!$A$2:$L$99,MATCH('Old Recap SS &amp; Precinct #s'!$AH21,'NGP Chairs CoChairs'!$A$2:$A$99,0),7)</f>
        <v>3039097201</v>
      </c>
      <c r="AK21" t="str">
        <f>+INDEX('NGP Chairs CoChairs'!$A$2:$L$99,MATCH('Old Recap SS &amp; Precinct #s'!$AH21,'NGP Chairs CoChairs'!$A$2:$A$99,0),8)</f>
        <v>mike@bocodems.org</v>
      </c>
      <c r="AL21">
        <f>+INDEX('Supersite Working-AW'!$R$4:$AB$196,MATCH('Old Recap SS &amp; Precinct #s'!A21,'Supersite Working-AW'!$R$4:$R$196,0),8)</f>
        <v>122989657</v>
      </c>
      <c r="AM21" t="str">
        <f>+INDEX('NGP Chairs CoChairs'!$A$2:$M$99,MATCH('Old Recap SS &amp; Precinct #s'!$AL21,'NGP Chairs CoChairs'!$A$2:$A$99,0),12)</f>
        <v>Mark Flett</v>
      </c>
      <c r="AN21" t="str">
        <f>+INDEX('NGP Chairs CoChairs'!$A$2:$M$99,MATCH('Old Recap SS &amp; Precinct #s'!$AL21,'NGP Chairs CoChairs'!$A$2:$A$99,0),7)</f>
        <v>3032291024</v>
      </c>
      <c r="AO21" t="str">
        <f>+INDEX('NGP Chairs CoChairs'!$A$2:$M$99,MATCH('Old Recap SS &amp; Precinct #s'!$AL21,'NGP Chairs CoChairs'!$A$2:$A$99,0),8)</f>
        <v>markflett4u@gmail.com</v>
      </c>
      <c r="AP21">
        <v>122989657</v>
      </c>
      <c r="AQ21" t="str">
        <f>+INDEX('NGP Chairs CoChairs'!$A$2:$M$99,MATCH('Old Recap SS &amp; Precinct #s'!$AP21,'NGP Chairs CoChairs'!$A$2:$A$99,0),12)</f>
        <v>Mark Flett</v>
      </c>
      <c r="AR21" t="str">
        <f>+INDEX('NGP Chairs CoChairs'!$A$2:$M$99,MATCH('Old Recap SS &amp; Precinct #s'!$AP21,'NGP Chairs CoChairs'!$A$2:$A$99,0),7)</f>
        <v>3032291024</v>
      </c>
      <c r="AS21" t="str">
        <f>+INDEX('NGP Chairs CoChairs'!$A$2:$M$99,MATCH('Old Recap SS &amp; Precinct #s'!$AP21,'NGP Chairs CoChairs'!$A$2:$A$99,0),8)</f>
        <v>markflett4u@gmail.com</v>
      </c>
      <c r="AT21">
        <v>107152262</v>
      </c>
      <c r="AU21" t="str">
        <f>+INDEX('NGP Chairs CoChairs'!$A$2:$M$99,MATCH('Old Recap SS &amp; Precinct #s'!$AT21,'NGP Chairs CoChairs'!$A$2:$A$99,0),12)</f>
        <v>Timm Bryson</v>
      </c>
      <c r="AV21" t="str">
        <f>+INDEX('NGP Chairs CoChairs'!$A$2:$M$99,MATCH('Old Recap SS &amp; Precinct #s'!$AT21,'NGP Chairs CoChairs'!$A$2:$A$99,0),7)</f>
        <v>7192515246</v>
      </c>
      <c r="AW21" t="str">
        <f>+INDEX('NGP Chairs CoChairs'!$A$2:$M$99,MATCH('Old Recap SS &amp; Precinct #s'!$AP21,'NGP Chairs CoChairs'!$A$2:$A$99,0),8)</f>
        <v>markflett4u@gmail.com</v>
      </c>
      <c r="BB21">
        <f t="shared" si="9"/>
        <v>1</v>
      </c>
      <c r="BC21">
        <f t="shared" si="10"/>
        <v>1</v>
      </c>
      <c r="BD21">
        <f t="shared" si="11"/>
        <v>1</v>
      </c>
      <c r="BE21">
        <f t="shared" si="12"/>
        <v>1</v>
      </c>
      <c r="BF21" t="str">
        <f t="shared" si="13"/>
        <v/>
      </c>
    </row>
    <row r="22" spans="1:58" ht="34" x14ac:dyDescent="0.2">
      <c r="A22" t="s">
        <v>48</v>
      </c>
      <c r="B22" t="s">
        <v>148</v>
      </c>
      <c r="C22" t="e">
        <f>+INDEX('Supersite Working-AW'!$O$4:$R$196,MATCH('Old Recap SS &amp; Precinct #s'!$A22,'Supersite Working-AW'!$R$4:$R$196,0),1)</f>
        <v>#N/A</v>
      </c>
      <c r="D22" s="59">
        <f>SUMIF('Supersite Working-AW'!$R$4:$R$196,$A22,'Supersite Working-AW'!$L$4:$L$198)</f>
        <v>0</v>
      </c>
      <c r="E22" s="59">
        <f>SUMIF('Supersite Working-AW'!$R$4:$R$196,$A22,'Supersite Working-AW'!$M$4:$M$198)</f>
        <v>0</v>
      </c>
      <c r="F22" s="1">
        <f t="shared" si="14"/>
        <v>16</v>
      </c>
      <c r="G22" s="51" t="str">
        <f t="shared" si="15"/>
        <v>830,843,844,845,846,847,850,851,852,853,854,855,856,857,900,906,,,,</v>
      </c>
      <c r="H22" s="1">
        <v>830</v>
      </c>
      <c r="I22" s="1">
        <v>843</v>
      </c>
      <c r="J22" s="1">
        <v>844</v>
      </c>
      <c r="K22" s="1">
        <v>845</v>
      </c>
      <c r="L22" s="1">
        <v>846</v>
      </c>
      <c r="M22" s="1">
        <v>847</v>
      </c>
      <c r="N22" s="1">
        <v>850</v>
      </c>
      <c r="O22" s="1">
        <v>851</v>
      </c>
      <c r="P22" s="1">
        <v>852</v>
      </c>
      <c r="Q22" s="1">
        <v>853</v>
      </c>
      <c r="R22" s="1">
        <v>854</v>
      </c>
      <c r="S22" s="1">
        <v>855</v>
      </c>
      <c r="T22" s="1">
        <v>856</v>
      </c>
      <c r="U22" s="1">
        <v>857</v>
      </c>
      <c r="V22" s="1">
        <v>900</v>
      </c>
      <c r="W22" s="1">
        <v>906</v>
      </c>
      <c r="AG22" s="1" t="e">
        <f t="shared" si="3"/>
        <v>#N/A</v>
      </c>
      <c r="AH22" t="e">
        <f>+INDEX('Supersite Working-AW'!$R$4:$AB$196,MATCH('Old Recap SS &amp; Precinct #s'!$A22,'Supersite Working-AW'!$R$4:$R$196,0),7)</f>
        <v>#N/A</v>
      </c>
      <c r="AI22" t="e">
        <f>+INDEX('NGP Chairs CoChairs'!$A$2:$L$99,MATCH('Old Recap SS &amp; Precinct #s'!$AH22,'NGP Chairs CoChairs'!$A$2:$A$99,0),12)</f>
        <v>#N/A</v>
      </c>
      <c r="AJ22" t="e">
        <f>+INDEX('NGP Chairs CoChairs'!$A$2:$L$99,MATCH('Old Recap SS &amp; Precinct #s'!$AH22,'NGP Chairs CoChairs'!$A$2:$A$99,0),7)</f>
        <v>#N/A</v>
      </c>
      <c r="AK22" t="e">
        <f>+INDEX('NGP Chairs CoChairs'!$A$2:$L$99,MATCH('Old Recap SS &amp; Precinct #s'!$AH22,'NGP Chairs CoChairs'!$A$2:$A$99,0),8)</f>
        <v>#N/A</v>
      </c>
      <c r="AL22" t="e">
        <f>+INDEX('Supersite Working-AW'!$R$4:$AB$196,MATCH('Old Recap SS &amp; Precinct #s'!A22,'Supersite Working-AW'!$R$4:$R$196,0),8)</f>
        <v>#N/A</v>
      </c>
      <c r="AM22" t="e">
        <f>+INDEX('NGP Chairs CoChairs'!$A$2:$M$99,MATCH('Old Recap SS &amp; Precinct #s'!$AL22,'NGP Chairs CoChairs'!$A$2:$A$99,0),12)</f>
        <v>#N/A</v>
      </c>
      <c r="AN22" t="e">
        <f>+INDEX('NGP Chairs CoChairs'!$A$2:$M$99,MATCH('Old Recap SS &amp; Precinct #s'!$AL22,'NGP Chairs CoChairs'!$A$2:$A$99,0),7)</f>
        <v>#N/A</v>
      </c>
      <c r="AO22" t="e">
        <f>+INDEX('NGP Chairs CoChairs'!$A$2:$M$99,MATCH('Old Recap SS &amp; Precinct #s'!$AL22,'NGP Chairs CoChairs'!$A$2:$A$99,0),8)</f>
        <v>#N/A</v>
      </c>
      <c r="AP22">
        <v>107152460</v>
      </c>
      <c r="AQ22" t="str">
        <f>+INDEX('NGP Chairs CoChairs'!$A$2:$M$99,MATCH('Old Recap SS &amp; Precinct #s'!$AP22,'NGP Chairs CoChairs'!$A$2:$A$99,0),12)</f>
        <v>Neil Fishman</v>
      </c>
      <c r="AR22" t="str">
        <f>+INDEX('NGP Chairs CoChairs'!$A$2:$M$99,MATCH('Old Recap SS &amp; Precinct #s'!$AP22,'NGP Chairs CoChairs'!$A$2:$A$99,0),7)</f>
        <v>7209385326</v>
      </c>
      <c r="AS22" t="str">
        <f>+INDEX('NGP Chairs CoChairs'!$A$2:$M$99,MATCH('Old Recap SS &amp; Precinct #s'!$AP22,'NGP Chairs CoChairs'!$A$2:$A$99,0),8)</f>
        <v>NSFTJB@COMCAST.NET</v>
      </c>
      <c r="AT22">
        <v>111658833</v>
      </c>
      <c r="AU22" t="str">
        <f>+INDEX('NGP Chairs CoChairs'!$A$2:$M$99,MATCH('Old Recap SS &amp; Precinct #s'!$AT22,'NGP Chairs CoChairs'!$A$2:$A$99,0),12)</f>
        <v>Heather Baer</v>
      </c>
      <c r="AV22" t="str">
        <f>+INDEX('NGP Chairs CoChairs'!$A$2:$M$99,MATCH('Old Recap SS &amp; Precinct #s'!$AT22,'NGP Chairs CoChairs'!$A$2:$A$99,0),7)</f>
        <v>3039997682</v>
      </c>
      <c r="AW22" t="str">
        <f>+INDEX('NGP Chairs CoChairs'!$A$2:$M$99,MATCH('Old Recap SS &amp; Precinct #s'!$AT22,'NGP Chairs CoChairs'!$A$2:$A$99,0),8)</f>
        <v>heatherbaer331@gmail.com</v>
      </c>
      <c r="AY22" t="e">
        <f>+INDEX('NGP Chairs CoChairs'!$A$2:$M$99,MATCH('Old Recap SS &amp; Precinct #s'!$AX22,'NGP Chairs CoChairs'!$A$2:$A$99,0),12)</f>
        <v>#N/A</v>
      </c>
      <c r="AZ22" t="e">
        <f>+INDEX('NGP Chairs CoChairs'!$A$2:$M$99,MATCH('Old Recap SS &amp; Precinct #s'!$AX22,'NGP Chairs CoChairs'!$A$2:$A$99,0),7)</f>
        <v>#N/A</v>
      </c>
      <c r="BA22" t="e">
        <f>+INDEX('NGP Chairs CoChairs'!$A$2:$M$99,MATCH('Old Recap SS &amp; Precinct #s'!$AX22,'NGP Chairs CoChairs'!$A$2:$A$99,0),8)</f>
        <v>#N/A</v>
      </c>
      <c r="BB22" t="e">
        <f t="shared" si="9"/>
        <v>#N/A</v>
      </c>
      <c r="BC22" t="e">
        <f t="shared" si="10"/>
        <v>#N/A</v>
      </c>
      <c r="BD22">
        <f t="shared" si="11"/>
        <v>1</v>
      </c>
      <c r="BE22">
        <f t="shared" si="12"/>
        <v>1</v>
      </c>
      <c r="BF22" t="str">
        <f t="shared" si="13"/>
        <v/>
      </c>
    </row>
    <row r="23" spans="1:58" ht="34" x14ac:dyDescent="0.2">
      <c r="A23" t="s">
        <v>78</v>
      </c>
      <c r="B23" t="s">
        <v>149</v>
      </c>
      <c r="C23" t="e">
        <f>+INDEX('Supersite Working-AW'!$O$4:$R$196,MATCH('Old Recap SS &amp; Precinct #s'!$A23,'Supersite Working-AW'!$R$4:$R$196,0),1)</f>
        <v>#N/A</v>
      </c>
      <c r="D23" s="59">
        <f>SUMIF('Supersite Working-AW'!$R$4:$R$196,$A23,'Supersite Working-AW'!$L$4:$L$198)</f>
        <v>0</v>
      </c>
      <c r="E23" s="59">
        <f>SUMIF('Supersite Working-AW'!$R$4:$R$196,$A23,'Supersite Working-AW'!$M$4:$M$198)</f>
        <v>0</v>
      </c>
      <c r="F23" s="1">
        <f t="shared" si="14"/>
        <v>17</v>
      </c>
      <c r="G23" s="51" t="str">
        <f t="shared" si="15"/>
        <v>2,618,619,620,621,622,623,633,634,635,636,637,638,639,640,650,651,,,</v>
      </c>
      <c r="H23" s="59">
        <v>2</v>
      </c>
      <c r="I23" s="59">
        <v>618</v>
      </c>
      <c r="J23" s="59">
        <v>619</v>
      </c>
      <c r="K23" s="59">
        <v>620</v>
      </c>
      <c r="L23" s="59">
        <v>621</v>
      </c>
      <c r="M23" s="59">
        <v>622</v>
      </c>
      <c r="N23" s="59">
        <v>623</v>
      </c>
      <c r="O23" s="59">
        <v>633</v>
      </c>
      <c r="P23" s="59">
        <v>634</v>
      </c>
      <c r="Q23" s="59">
        <v>635</v>
      </c>
      <c r="R23" s="59">
        <v>636</v>
      </c>
      <c r="S23" s="59">
        <v>637</v>
      </c>
      <c r="T23" s="59">
        <v>638</v>
      </c>
      <c r="U23" s="59">
        <v>639</v>
      </c>
      <c r="V23" s="59">
        <v>640</v>
      </c>
      <c r="W23" s="59">
        <v>650</v>
      </c>
      <c r="X23" s="59">
        <v>651</v>
      </c>
      <c r="Y23" s="31"/>
      <c r="Z23" s="31"/>
      <c r="AA23" s="31"/>
      <c r="AB23" s="31"/>
      <c r="AC23" s="31"/>
      <c r="AD23" s="31"/>
      <c r="AE23" s="31"/>
      <c r="AF23" s="31"/>
      <c r="AG23" s="1">
        <f t="shared" si="3"/>
        <v>3</v>
      </c>
      <c r="AH23">
        <v>107152803</v>
      </c>
      <c r="AI23" t="str">
        <f>+INDEX('NGP Chairs CoChairs'!$A$2:$L$99,MATCH('Old Recap SS &amp; Precinct #s'!$AH23,'NGP Chairs CoChairs'!$A$2:$A$99,0),12)</f>
        <v>Lynne McNamara</v>
      </c>
      <c r="AJ23" t="str">
        <f>+INDEX('NGP Chairs CoChairs'!$A$2:$L$99,MATCH('Old Recap SS &amp; Precinct #s'!$AH23,'NGP Chairs CoChairs'!$A$2:$A$99,0),7)</f>
        <v>4108187383</v>
      </c>
      <c r="AK23" t="str">
        <f>+INDEX('NGP Chairs CoChairs'!$A$2:$L$99,MATCH('Old Recap SS &amp; Precinct #s'!$AH23,'NGP Chairs CoChairs'!$A$2:$A$99,0),8)</f>
        <v>mcnamaralynnea@gmail.com</v>
      </c>
      <c r="AL23">
        <v>107152783</v>
      </c>
      <c r="AM23" t="str">
        <f>+INDEX('NGP Chairs CoChairs'!$A$2:$M$99,MATCH('Old Recap SS &amp; Precinct #s'!$AL23,'NGP Chairs CoChairs'!$A$2:$A$99,0),12)</f>
        <v>Lynette McClain</v>
      </c>
      <c r="AN23" t="str">
        <f>+INDEX('NGP Chairs CoChairs'!$A$2:$M$99,MATCH('Old Recap SS &amp; Precinct #s'!$AL23,'NGP Chairs CoChairs'!$A$2:$A$99,0),7)</f>
        <v>3036817722</v>
      </c>
      <c r="AO23" t="str">
        <f>+INDEX('NGP Chairs CoChairs'!$A$2:$M$99,MATCH('Old Recap SS &amp; Precinct #s'!$AL23,'NGP Chairs CoChairs'!$A$2:$A$99,0),8)</f>
        <v>lynette.mcclain@gmail.com</v>
      </c>
      <c r="AP23">
        <v>107152290</v>
      </c>
      <c r="AQ23" t="str">
        <f>+INDEX('NGP Chairs CoChairs'!$A$2:$M$99,MATCH('Old Recap SS &amp; Precinct #s'!$AP23,'NGP Chairs CoChairs'!$A$2:$A$99,0),12)</f>
        <v>Virginia Carlson</v>
      </c>
      <c r="AR23" t="str">
        <f>+INDEX('NGP Chairs CoChairs'!$A$2:$M$99,MATCH('Old Recap SS &amp; Precinct #s'!$AP23,'NGP Chairs CoChairs'!$A$2:$A$99,0),7)</f>
        <v>7203082474</v>
      </c>
      <c r="AS23" t="str">
        <f>+INDEX('NGP Chairs CoChairs'!$A$2:$M$99,MATCH('Old Recap SS &amp; Precinct #s'!$AP23,'NGP Chairs CoChairs'!$A$2:$A$99,0),8)</f>
        <v>v.carlson@comcast.net</v>
      </c>
      <c r="AU23" t="e">
        <f>+INDEX('NGP Chairs CoChairs'!$A$2:$M$99,MATCH('Old Recap SS &amp; Precinct #s'!$AT23,'NGP Chairs CoChairs'!$A$2:$A$99,0),12)</f>
        <v>#N/A</v>
      </c>
      <c r="AV23" t="e">
        <f>+INDEX('NGP Chairs CoChairs'!$A$2:$M$99,MATCH('Old Recap SS &amp; Precinct #s'!$AT23,'NGP Chairs CoChairs'!$A$2:$A$99,0),7)</f>
        <v>#N/A</v>
      </c>
      <c r="AW23" t="e">
        <f>+INDEX('NGP Chairs CoChairs'!$A$2:$M$99,MATCH('Old Recap SS &amp; Precinct #s'!$AT23,'NGP Chairs CoChairs'!$A$2:$A$99,0),8)</f>
        <v>#N/A</v>
      </c>
      <c r="AY23" t="e">
        <f>+INDEX('NGP Chairs CoChairs'!$A$2:$M$99,MATCH('Old Recap SS &amp; Precinct #s'!$AX23,'NGP Chairs CoChairs'!$A$2:$A$99,0),12)</f>
        <v>#N/A</v>
      </c>
      <c r="AZ23" t="e">
        <f>+INDEX('NGP Chairs CoChairs'!$A$2:$M$99,MATCH('Old Recap SS &amp; Precinct #s'!$AX23,'NGP Chairs CoChairs'!$A$2:$A$99,0),7)</f>
        <v>#N/A</v>
      </c>
      <c r="BA23" t="e">
        <f>+INDEX('NGP Chairs CoChairs'!$A$2:$M$99,MATCH('Old Recap SS &amp; Precinct #s'!$AX23,'NGP Chairs CoChairs'!$A$2:$A$99,0),8)</f>
        <v>#N/A</v>
      </c>
      <c r="BB23">
        <f t="shared" si="9"/>
        <v>1</v>
      </c>
      <c r="BC23">
        <f t="shared" si="10"/>
        <v>1</v>
      </c>
      <c r="BD23">
        <f t="shared" si="11"/>
        <v>1</v>
      </c>
      <c r="BE23" t="str">
        <f t="shared" si="12"/>
        <v/>
      </c>
      <c r="BF23" t="str">
        <f t="shared" si="13"/>
        <v/>
      </c>
    </row>
    <row r="24" spans="1:58" ht="17" x14ac:dyDescent="0.2">
      <c r="A24" s="3" t="s">
        <v>150</v>
      </c>
      <c r="B24" s="3" t="s">
        <v>138</v>
      </c>
      <c r="C24" t="e">
        <f>+INDEX('Supersite Working-AW'!$O$4:$R$196,MATCH('Old Recap SS &amp; Precinct #s'!$A24,'Supersite Working-AW'!$R$4:$R$196,0),1)</f>
        <v>#N/A</v>
      </c>
      <c r="D24" s="59">
        <f>SUMIF('Supersite Working-AW'!$R$4:$R$196,$A24,'Supersite Working-AW'!$L$4:$L$198)</f>
        <v>0</v>
      </c>
      <c r="E24" s="59">
        <f>SUMIF('Supersite Working-AW'!$R$4:$R$196,$A24,'Supersite Working-AW'!$M$4:$M$198)</f>
        <v>0</v>
      </c>
      <c r="F24" s="1">
        <f t="shared" si="14"/>
        <v>1</v>
      </c>
      <c r="G24" s="51" t="str">
        <f t="shared" si="15"/>
        <v>908,,,,,,,,,,,,,,,,,,,</v>
      </c>
      <c r="H24" s="59">
        <v>908</v>
      </c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31"/>
      <c r="Z24" s="31"/>
      <c r="AA24" s="31"/>
      <c r="AB24" s="31"/>
      <c r="AC24" s="31"/>
      <c r="AD24" s="31"/>
      <c r="AE24" s="31"/>
      <c r="AF24" s="31"/>
      <c r="AG24" s="1" t="e">
        <f t="shared" si="3"/>
        <v>#N/A</v>
      </c>
      <c r="AH24" t="e">
        <f>+INDEX('Supersite Working-AW'!$R$4:$AB$196,MATCH('Old Recap SS &amp; Precinct #s'!$A24,'Supersite Working-AW'!$R$4:$R$196,0),7)</f>
        <v>#N/A</v>
      </c>
      <c r="AI24" t="e">
        <f>+INDEX('NGP Chairs CoChairs'!$A$2:$L$99,MATCH('Old Recap SS &amp; Precinct #s'!$AH24,'NGP Chairs CoChairs'!$A$2:$A$99,0),12)</f>
        <v>#N/A</v>
      </c>
      <c r="AJ24" t="e">
        <f>+INDEX('NGP Chairs CoChairs'!$A$2:$L$99,MATCH('Old Recap SS &amp; Precinct #s'!$AH24,'NGP Chairs CoChairs'!$A$2:$A$99,0),7)</f>
        <v>#N/A</v>
      </c>
      <c r="AK24" t="e">
        <f>+INDEX('NGP Chairs CoChairs'!$A$2:$L$99,MATCH('Old Recap SS &amp; Precinct #s'!$AH24,'NGP Chairs CoChairs'!$A$2:$A$99,0),8)</f>
        <v>#N/A</v>
      </c>
      <c r="AL24">
        <v>107152772</v>
      </c>
      <c r="AM24" t="str">
        <f>+INDEX('NGP Chairs CoChairs'!$A$2:$M$99,MATCH('Old Recap SS &amp; Precinct #s'!$AL24,'NGP Chairs CoChairs'!$A$2:$A$99,0),12)</f>
        <v>Becky Martinek</v>
      </c>
      <c r="AN24" t="str">
        <f>+INDEX('NGP Chairs CoChairs'!$A$2:$M$99,MATCH('Old Recap SS &amp; Precinct #s'!$AL24,'NGP Chairs CoChairs'!$A$2:$A$99,0),7)</f>
        <v>3033191169</v>
      </c>
      <c r="AO24" t="str">
        <f>+INDEX('NGP Chairs CoChairs'!$A$2:$M$99,MATCH('Old Recap SS &amp; Precinct #s'!$AL24,'NGP Chairs CoChairs'!$A$2:$A$99,0),8)</f>
        <v>Becky.martinek15674@gmail.com</v>
      </c>
      <c r="AQ24" t="e">
        <f>+INDEX('NGP Chairs CoChairs'!$A$2:$M$99,MATCH('Old Recap SS &amp; Precinct #s'!$AP24,'NGP Chairs CoChairs'!$A$2:$A$99,0),12)</f>
        <v>#N/A</v>
      </c>
      <c r="AR24" t="e">
        <f>+INDEX('NGP Chairs CoChairs'!$A$2:$M$99,MATCH('Old Recap SS &amp; Precinct #s'!$AP24,'NGP Chairs CoChairs'!$A$2:$A$99,0),7)</f>
        <v>#N/A</v>
      </c>
      <c r="AS24" t="e">
        <f>+INDEX('NGP Chairs CoChairs'!$A$2:$M$99,MATCH('Old Recap SS &amp; Precinct #s'!$AP24,'NGP Chairs CoChairs'!$A$2:$A$99,0),8)</f>
        <v>#N/A</v>
      </c>
      <c r="AU24" t="e">
        <f>+INDEX('NGP Chairs CoChairs'!$A$2:$M$99,MATCH('Old Recap SS &amp; Precinct #s'!$AT24,'NGP Chairs CoChairs'!$A$2:$A$99,0),12)</f>
        <v>#N/A</v>
      </c>
      <c r="AV24" t="e">
        <f>+INDEX('NGP Chairs CoChairs'!$A$2:$M$99,MATCH('Old Recap SS &amp; Precinct #s'!$AT24,'NGP Chairs CoChairs'!$A$2:$A$99,0),7)</f>
        <v>#N/A</v>
      </c>
      <c r="AW24" t="e">
        <f>+INDEX('NGP Chairs CoChairs'!$A$2:$M$99,MATCH('Old Recap SS &amp; Precinct #s'!$AT24,'NGP Chairs CoChairs'!$A$2:$A$99,0),8)</f>
        <v>#N/A</v>
      </c>
      <c r="AY24" t="e">
        <f>+INDEX('NGP Chairs CoChairs'!$A$2:$M$99,MATCH('Old Recap SS &amp; Precinct #s'!$AX24,'NGP Chairs CoChairs'!$A$2:$A$99,0),12)</f>
        <v>#N/A</v>
      </c>
      <c r="AZ24" t="e">
        <f>+INDEX('NGP Chairs CoChairs'!$A$2:$M$99,MATCH('Old Recap SS &amp; Precinct #s'!$AX24,'NGP Chairs CoChairs'!$A$2:$A$99,0),7)</f>
        <v>#N/A</v>
      </c>
      <c r="BA24" t="e">
        <f>+INDEX('NGP Chairs CoChairs'!$A$2:$M$99,MATCH('Old Recap SS &amp; Precinct #s'!$AX24,'NGP Chairs CoChairs'!$A$2:$A$99,0),8)</f>
        <v>#N/A</v>
      </c>
      <c r="BB24" t="e">
        <f t="shared" si="9"/>
        <v>#N/A</v>
      </c>
      <c r="BC24">
        <f t="shared" si="10"/>
        <v>1</v>
      </c>
      <c r="BD24" t="str">
        <f t="shared" si="11"/>
        <v/>
      </c>
      <c r="BE24" t="str">
        <f t="shared" si="12"/>
        <v/>
      </c>
      <c r="BF24" t="str">
        <f t="shared" si="13"/>
        <v/>
      </c>
    </row>
    <row r="26" spans="1:58" x14ac:dyDescent="0.2">
      <c r="E26" s="31"/>
    </row>
    <row r="27" spans="1:58" x14ac:dyDescent="0.2">
      <c r="E27" s="31"/>
    </row>
    <row r="28" spans="1:58" x14ac:dyDescent="0.2">
      <c r="E28" s="31"/>
    </row>
  </sheetData>
  <sheetProtection sheet="1" autoFilter="0"/>
  <autoFilter ref="A4:HJ24" xr:uid="{79A5CEB4-36AF-4899-9A3E-058794C16674}"/>
  <sortState xmlns:xlrd2="http://schemas.microsoft.com/office/spreadsheetml/2017/richdata2" ref="D30:D46">
    <sortCondition ref="D30:D46"/>
  </sortState>
  <phoneticPr fontId="9" type="noConversion"/>
  <conditionalFormatting sqref="AI1:AI1048576">
    <cfRule type="duplicateValues" dxfId="10" priority="5"/>
  </conditionalFormatting>
  <conditionalFormatting sqref="AL2">
    <cfRule type="duplicateValues" dxfId="9" priority="4"/>
  </conditionalFormatting>
  <conditionalFormatting sqref="AP2">
    <cfRule type="duplicateValues" dxfId="8" priority="3"/>
  </conditionalFormatting>
  <conditionalFormatting sqref="AT2">
    <cfRule type="duplicateValues" dxfId="7" priority="2"/>
  </conditionalFormatting>
  <conditionalFormatting sqref="AX2">
    <cfRule type="duplicateValues" dxfId="6" priority="1"/>
  </conditionalFormatting>
  <pageMargins left="0.25" right="0.25" top="0.75" bottom="0.75" header="0.3" footer="0.3"/>
  <pageSetup scale="23" orientation="landscape" verticalDpi="0" r:id="rId1"/>
  <colBreaks count="2" manualBreakCount="2">
    <brk id="14" max="22" man="1"/>
    <brk id="3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25A5D-CDD0-48B8-9E2A-7456531671C0}">
  <dimension ref="A1:P145"/>
  <sheetViews>
    <sheetView workbookViewId="0">
      <pane ySplit="1" topLeftCell="A2" activePane="bottomLeft" state="frozen"/>
      <selection pane="bottomLeft" activeCell="R18" sqref="R18"/>
    </sheetView>
  </sheetViews>
  <sheetFormatPr baseColWidth="10" defaultColWidth="8.83203125" defaultRowHeight="16" x14ac:dyDescent="0.2"/>
  <cols>
    <col min="1" max="1" width="12.83203125" bestFit="1" customWidth="1"/>
    <col min="2" max="4" width="12.83203125" customWidth="1"/>
    <col min="5" max="5" width="11.33203125" customWidth="1"/>
    <col min="6" max="6" width="11.33203125" bestFit="1" customWidth="1"/>
    <col min="7" max="7" width="8.33203125" customWidth="1"/>
    <col min="8" max="8" width="14.6640625" bestFit="1" customWidth="1"/>
    <col min="9" max="9" width="9.33203125" bestFit="1" customWidth="1"/>
    <col min="10" max="10" width="14.5" bestFit="1" customWidth="1"/>
    <col min="11" max="11" width="3.33203125" bestFit="1" customWidth="1"/>
    <col min="12" max="12" width="13.1640625" customWidth="1"/>
    <col min="13" max="13" width="31" bestFit="1" customWidth="1"/>
    <col min="14" max="14" width="29.33203125" bestFit="1" customWidth="1"/>
    <col min="15" max="15" width="11.83203125" bestFit="1" customWidth="1"/>
    <col min="16" max="16" width="15.33203125" bestFit="1" customWidth="1"/>
  </cols>
  <sheetData>
    <row r="1" spans="1:16" s="2" customFormat="1" x14ac:dyDescent="0.2">
      <c r="A1" s="68" t="s">
        <v>109</v>
      </c>
      <c r="B1" s="68" t="s">
        <v>1553</v>
      </c>
      <c r="C1" s="68" t="s">
        <v>1554</v>
      </c>
      <c r="D1" s="68" t="s">
        <v>1555</v>
      </c>
      <c r="E1" s="2" t="s">
        <v>424</v>
      </c>
      <c r="F1" s="2" t="s">
        <v>425</v>
      </c>
      <c r="G1" s="2" t="s">
        <v>426</v>
      </c>
      <c r="H1" s="2" t="s">
        <v>427</v>
      </c>
      <c r="I1" s="2" t="s">
        <v>428</v>
      </c>
      <c r="J1" s="2" t="s">
        <v>429</v>
      </c>
      <c r="K1" s="2" t="s">
        <v>430</v>
      </c>
      <c r="L1" s="2" t="s">
        <v>431</v>
      </c>
      <c r="M1" s="2" t="s">
        <v>432</v>
      </c>
      <c r="N1" s="2" t="s">
        <v>433</v>
      </c>
      <c r="O1" s="2" t="s">
        <v>434</v>
      </c>
      <c r="P1" s="2" t="s">
        <v>435</v>
      </c>
    </row>
    <row r="2" spans="1:16" x14ac:dyDescent="0.2">
      <c r="A2" s="69" t="str">
        <f>IF($O2="yes",($I2&amp;" "&amp;$H2),"")</f>
        <v/>
      </c>
      <c r="B2" s="69" t="str">
        <f>IF($O2="yes",($L2),"")</f>
        <v/>
      </c>
      <c r="C2" s="69" t="str">
        <f>IF($P2="yes",($I2&amp;" "&amp;$H2),"")</f>
        <v>Michael Abreu</v>
      </c>
      <c r="D2" s="69" t="str">
        <f>IF($P2="yes",($L2),"")</f>
        <v>7327639330</v>
      </c>
      <c r="E2">
        <v>122990431</v>
      </c>
      <c r="F2">
        <v>601666688</v>
      </c>
      <c r="G2">
        <v>823</v>
      </c>
      <c r="H2" t="s">
        <v>436</v>
      </c>
      <c r="I2" t="s">
        <v>24</v>
      </c>
      <c r="L2" t="str">
        <f>"7327639330"</f>
        <v>7327639330</v>
      </c>
      <c r="M2" t="s">
        <v>437</v>
      </c>
      <c r="N2" t="s">
        <v>437</v>
      </c>
      <c r="O2" t="s">
        <v>438</v>
      </c>
      <c r="P2" t="s">
        <v>442</v>
      </c>
    </row>
    <row r="3" spans="1:16" x14ac:dyDescent="0.2">
      <c r="A3" s="69" t="str">
        <f t="shared" ref="A3:A66" si="0">IF($O3="yes",($I3&amp;" "&amp;$H3),"")</f>
        <v>Lois Adamson</v>
      </c>
      <c r="B3" s="69" t="str">
        <f t="shared" ref="B3:B66" si="1">IF($O3="yes",($L3),"")</f>
        <v>3034786612</v>
      </c>
      <c r="C3" s="69" t="str">
        <f t="shared" ref="C3:C66" si="2">IF($P3="yes",($I3&amp;" "&amp;$H3),"")</f>
        <v/>
      </c>
      <c r="D3" s="69" t="str">
        <f t="shared" ref="D3:D66" si="3">IF($P3="yes",($L3),"")</f>
        <v/>
      </c>
      <c r="E3">
        <v>107152104</v>
      </c>
      <c r="F3">
        <v>7882057</v>
      </c>
      <c r="G3">
        <v>509</v>
      </c>
      <c r="H3" t="s">
        <v>439</v>
      </c>
      <c r="I3" t="s">
        <v>440</v>
      </c>
      <c r="L3" t="str">
        <f>"3034786612"</f>
        <v>3034786612</v>
      </c>
      <c r="M3" t="s">
        <v>441</v>
      </c>
      <c r="N3" t="s">
        <v>441</v>
      </c>
      <c r="O3" t="s">
        <v>442</v>
      </c>
      <c r="P3" t="s">
        <v>438</v>
      </c>
    </row>
    <row r="4" spans="1:16" x14ac:dyDescent="0.2">
      <c r="A4" s="69" t="str">
        <f t="shared" si="0"/>
        <v>David Anderson</v>
      </c>
      <c r="B4" s="69" t="str">
        <f t="shared" si="1"/>
        <v>3034492511</v>
      </c>
      <c r="C4" s="69" t="str">
        <f t="shared" si="2"/>
        <v/>
      </c>
      <c r="D4" s="69" t="str">
        <f t="shared" si="3"/>
        <v/>
      </c>
      <c r="E4">
        <v>114937485</v>
      </c>
      <c r="F4">
        <v>7887380</v>
      </c>
      <c r="G4">
        <v>834</v>
      </c>
      <c r="H4" t="s">
        <v>443</v>
      </c>
      <c r="I4" t="s">
        <v>54</v>
      </c>
      <c r="L4" t="str">
        <f>"3034492511"</f>
        <v>3034492511</v>
      </c>
      <c r="M4" t="s">
        <v>444</v>
      </c>
      <c r="N4" t="s">
        <v>444</v>
      </c>
      <c r="O4" t="s">
        <v>442</v>
      </c>
      <c r="P4" t="s">
        <v>438</v>
      </c>
    </row>
    <row r="5" spans="1:16" x14ac:dyDescent="0.2">
      <c r="A5" s="69" t="str">
        <f t="shared" si="0"/>
        <v>Mary Apple</v>
      </c>
      <c r="B5" s="69" t="str">
        <f t="shared" si="1"/>
        <v>3035883476</v>
      </c>
      <c r="C5" s="69" t="str">
        <f t="shared" si="2"/>
        <v/>
      </c>
      <c r="D5" s="69" t="str">
        <f t="shared" si="3"/>
        <v/>
      </c>
      <c r="E5">
        <v>130759021</v>
      </c>
      <c r="F5">
        <v>7891644</v>
      </c>
      <c r="G5">
        <v>637</v>
      </c>
      <c r="H5" t="s">
        <v>1430</v>
      </c>
      <c r="I5" t="s">
        <v>571</v>
      </c>
      <c r="L5" t="str">
        <f>"3035883476"</f>
        <v>3035883476</v>
      </c>
      <c r="M5" t="s">
        <v>1431</v>
      </c>
      <c r="N5" t="s">
        <v>1431</v>
      </c>
      <c r="O5" t="s">
        <v>442</v>
      </c>
      <c r="P5" t="s">
        <v>438</v>
      </c>
    </row>
    <row r="6" spans="1:16" x14ac:dyDescent="0.2">
      <c r="A6" s="69" t="str">
        <f t="shared" si="0"/>
        <v>David Baskett</v>
      </c>
      <c r="B6" s="69" t="str">
        <f t="shared" si="1"/>
        <v>3034757387</v>
      </c>
      <c r="C6" s="69" t="str">
        <f t="shared" si="2"/>
        <v>David Baskett</v>
      </c>
      <c r="D6" s="69" t="str">
        <f t="shared" si="3"/>
        <v>3034757387</v>
      </c>
      <c r="E6">
        <v>107152173</v>
      </c>
      <c r="F6">
        <v>7905498</v>
      </c>
      <c r="G6">
        <v>102</v>
      </c>
      <c r="H6" t="s">
        <v>1386</v>
      </c>
      <c r="I6" t="s">
        <v>54</v>
      </c>
      <c r="L6" t="str">
        <f>"3034757387"</f>
        <v>3034757387</v>
      </c>
      <c r="M6" t="s">
        <v>1387</v>
      </c>
      <c r="N6" t="s">
        <v>1387</v>
      </c>
      <c r="O6" t="s">
        <v>442</v>
      </c>
      <c r="P6" t="s">
        <v>442</v>
      </c>
    </row>
    <row r="7" spans="1:16" x14ac:dyDescent="0.2">
      <c r="A7" s="69" t="str">
        <f t="shared" si="0"/>
        <v>Susan Bellas</v>
      </c>
      <c r="B7" s="69" t="str">
        <f t="shared" si="1"/>
        <v>9704308759</v>
      </c>
      <c r="C7" s="69" t="str">
        <f t="shared" si="2"/>
        <v/>
      </c>
      <c r="D7" s="69" t="str">
        <f t="shared" si="3"/>
        <v/>
      </c>
      <c r="E7">
        <v>139246755</v>
      </c>
      <c r="F7">
        <v>200095725</v>
      </c>
      <c r="G7">
        <v>403</v>
      </c>
      <c r="H7" t="s">
        <v>445</v>
      </c>
      <c r="I7" t="s">
        <v>446</v>
      </c>
      <c r="J7" t="s">
        <v>447</v>
      </c>
      <c r="L7" t="str">
        <f>"9704308759"</f>
        <v>9704308759</v>
      </c>
      <c r="M7" t="s">
        <v>448</v>
      </c>
      <c r="N7" t="s">
        <v>448</v>
      </c>
      <c r="O7" t="s">
        <v>442</v>
      </c>
      <c r="P7" t="s">
        <v>438</v>
      </c>
    </row>
    <row r="8" spans="1:16" x14ac:dyDescent="0.2">
      <c r="A8" s="69" t="str">
        <f t="shared" si="0"/>
        <v/>
      </c>
      <c r="B8" s="69" t="str">
        <f t="shared" si="1"/>
        <v/>
      </c>
      <c r="C8" s="69" t="str">
        <f t="shared" si="2"/>
        <v>Erikia Blum</v>
      </c>
      <c r="D8" s="69" t="str">
        <f t="shared" si="3"/>
        <v>5037534985</v>
      </c>
      <c r="E8">
        <v>111502456</v>
      </c>
      <c r="F8">
        <v>7922265</v>
      </c>
      <c r="G8">
        <v>844</v>
      </c>
      <c r="H8" t="s">
        <v>449</v>
      </c>
      <c r="I8" t="s">
        <v>450</v>
      </c>
      <c r="L8" t="str">
        <f>"5037534985"</f>
        <v>5037534985</v>
      </c>
      <c r="M8" t="s">
        <v>451</v>
      </c>
      <c r="N8" t="s">
        <v>451</v>
      </c>
      <c r="O8" t="s">
        <v>438</v>
      </c>
      <c r="P8" t="s">
        <v>442</v>
      </c>
    </row>
    <row r="9" spans="1:16" x14ac:dyDescent="0.2">
      <c r="A9" s="69" t="str">
        <f t="shared" si="0"/>
        <v>Debra Borstein</v>
      </c>
      <c r="B9" s="69" t="str">
        <f t="shared" si="1"/>
        <v>3039608982</v>
      </c>
      <c r="C9" s="69" t="str">
        <f t="shared" si="2"/>
        <v/>
      </c>
      <c r="D9" s="69" t="str">
        <f t="shared" si="3"/>
        <v/>
      </c>
      <c r="E9">
        <v>121441390</v>
      </c>
      <c r="F9">
        <v>7927918</v>
      </c>
      <c r="G9">
        <v>505</v>
      </c>
      <c r="H9" t="s">
        <v>452</v>
      </c>
      <c r="I9" t="s">
        <v>453</v>
      </c>
      <c r="J9" t="s">
        <v>454</v>
      </c>
      <c r="L9" t="str">
        <f>"3039608982"</f>
        <v>3039608982</v>
      </c>
      <c r="M9" t="s">
        <v>455</v>
      </c>
      <c r="N9" t="s">
        <v>455</v>
      </c>
      <c r="O9" t="s">
        <v>442</v>
      </c>
      <c r="P9" t="s">
        <v>438</v>
      </c>
    </row>
    <row r="10" spans="1:16" x14ac:dyDescent="0.2">
      <c r="A10" s="69" t="str">
        <f t="shared" si="0"/>
        <v>Cynthia Braddock</v>
      </c>
      <c r="B10" s="69" t="str">
        <f t="shared" si="1"/>
        <v>7209368210</v>
      </c>
      <c r="C10" s="69" t="str">
        <f t="shared" si="2"/>
        <v>Cynthia Braddock</v>
      </c>
      <c r="D10" s="69" t="str">
        <f t="shared" si="3"/>
        <v>7209368210</v>
      </c>
      <c r="E10">
        <v>107152231</v>
      </c>
      <c r="F10">
        <v>7931648</v>
      </c>
      <c r="G10">
        <v>204</v>
      </c>
      <c r="H10" t="s">
        <v>456</v>
      </c>
      <c r="I10" t="s">
        <v>457</v>
      </c>
      <c r="L10" t="str">
        <f>"7209368210"</f>
        <v>7209368210</v>
      </c>
      <c r="M10" t="s">
        <v>458</v>
      </c>
      <c r="N10" t="s">
        <v>458</v>
      </c>
      <c r="O10" t="s">
        <v>442</v>
      </c>
      <c r="P10" t="s">
        <v>442</v>
      </c>
    </row>
    <row r="11" spans="1:16" x14ac:dyDescent="0.2">
      <c r="A11" s="69" t="str">
        <f t="shared" si="0"/>
        <v/>
      </c>
      <c r="B11" s="69" t="str">
        <f t="shared" si="1"/>
        <v/>
      </c>
      <c r="C11" s="69" t="str">
        <f t="shared" si="2"/>
        <v>Rachael Bray</v>
      </c>
      <c r="D11" s="69" t="str">
        <f t="shared" si="3"/>
        <v>3038592767</v>
      </c>
      <c r="E11">
        <v>118592070</v>
      </c>
      <c r="F11">
        <v>7933668</v>
      </c>
      <c r="G11">
        <v>104</v>
      </c>
      <c r="H11" t="s">
        <v>459</v>
      </c>
      <c r="I11" t="s">
        <v>460</v>
      </c>
      <c r="L11" t="str">
        <f>"3038592767"</f>
        <v>3038592767</v>
      </c>
      <c r="M11" t="s">
        <v>461</v>
      </c>
      <c r="N11" t="s">
        <v>461</v>
      </c>
      <c r="O11" t="s">
        <v>438</v>
      </c>
      <c r="P11" t="s">
        <v>442</v>
      </c>
    </row>
    <row r="12" spans="1:16" x14ac:dyDescent="0.2">
      <c r="A12" s="69" t="str">
        <f t="shared" si="0"/>
        <v>Joanne Brothers</v>
      </c>
      <c r="B12" s="69" t="str">
        <f t="shared" si="1"/>
        <v>3037265934</v>
      </c>
      <c r="C12" s="69" t="str">
        <f t="shared" si="2"/>
        <v>Joanne Brothers</v>
      </c>
      <c r="D12" s="69" t="str">
        <f t="shared" si="3"/>
        <v>3037265934</v>
      </c>
      <c r="E12">
        <v>109594241</v>
      </c>
      <c r="F12">
        <v>7935838</v>
      </c>
      <c r="G12">
        <v>906</v>
      </c>
      <c r="H12" t="s">
        <v>462</v>
      </c>
      <c r="I12" t="s">
        <v>463</v>
      </c>
      <c r="J12" t="s">
        <v>464</v>
      </c>
      <c r="L12" t="str">
        <f>"3037265934"</f>
        <v>3037265934</v>
      </c>
      <c r="M12" t="s">
        <v>465</v>
      </c>
      <c r="N12" t="s">
        <v>465</v>
      </c>
      <c r="O12" t="s">
        <v>442</v>
      </c>
      <c r="P12" t="s">
        <v>442</v>
      </c>
    </row>
    <row r="13" spans="1:16" x14ac:dyDescent="0.2">
      <c r="A13" s="69" t="str">
        <f t="shared" si="0"/>
        <v/>
      </c>
      <c r="B13" s="69" t="str">
        <f t="shared" si="1"/>
        <v/>
      </c>
      <c r="C13" s="69" t="str">
        <f t="shared" si="2"/>
        <v>Leslie Brown</v>
      </c>
      <c r="D13" s="69" t="str">
        <f t="shared" si="3"/>
        <v>3035508913</v>
      </c>
      <c r="E13">
        <v>122990104</v>
      </c>
      <c r="F13">
        <v>7939571</v>
      </c>
      <c r="G13">
        <v>308</v>
      </c>
      <c r="H13" t="s">
        <v>37</v>
      </c>
      <c r="I13" t="s">
        <v>466</v>
      </c>
      <c r="J13" t="s">
        <v>467</v>
      </c>
      <c r="L13" t="str">
        <f>"3035508913"</f>
        <v>3035508913</v>
      </c>
      <c r="M13" t="s">
        <v>468</v>
      </c>
      <c r="N13" t="s">
        <v>468</v>
      </c>
      <c r="O13" t="s">
        <v>438</v>
      </c>
      <c r="P13" t="s">
        <v>442</v>
      </c>
    </row>
    <row r="14" spans="1:16" x14ac:dyDescent="0.2">
      <c r="A14" s="69" t="str">
        <f t="shared" si="0"/>
        <v>Richard Brown</v>
      </c>
      <c r="B14" s="69" t="str">
        <f t="shared" si="1"/>
        <v>3035508982</v>
      </c>
      <c r="C14" s="69" t="str">
        <f t="shared" si="2"/>
        <v/>
      </c>
      <c r="D14" s="69" t="str">
        <f t="shared" si="3"/>
        <v/>
      </c>
      <c r="E14">
        <v>139214019</v>
      </c>
      <c r="F14">
        <v>7938833</v>
      </c>
      <c r="G14">
        <v>308</v>
      </c>
      <c r="H14" t="s">
        <v>37</v>
      </c>
      <c r="I14" t="s">
        <v>469</v>
      </c>
      <c r="J14" t="s">
        <v>470</v>
      </c>
      <c r="L14" t="str">
        <f>"3035508982"</f>
        <v>3035508982</v>
      </c>
      <c r="M14" t="s">
        <v>471</v>
      </c>
      <c r="N14" t="s">
        <v>471</v>
      </c>
      <c r="O14" t="s">
        <v>442</v>
      </c>
      <c r="P14" t="s">
        <v>438</v>
      </c>
    </row>
    <row r="15" spans="1:16" x14ac:dyDescent="0.2">
      <c r="A15" s="69" t="str">
        <f t="shared" si="0"/>
        <v>Timm Bryson</v>
      </c>
      <c r="B15" s="69" t="str">
        <f t="shared" si="1"/>
        <v>7192515246</v>
      </c>
      <c r="C15" s="69" t="str">
        <f t="shared" si="2"/>
        <v>Timm Bryson</v>
      </c>
      <c r="D15" s="69" t="str">
        <f t="shared" si="3"/>
        <v>7192515246</v>
      </c>
      <c r="E15">
        <v>107152262</v>
      </c>
      <c r="F15">
        <v>7941084</v>
      </c>
      <c r="G15">
        <v>509</v>
      </c>
      <c r="H15" t="s">
        <v>472</v>
      </c>
      <c r="I15" t="s">
        <v>473</v>
      </c>
      <c r="L15" t="str">
        <f>"7192515246"</f>
        <v>7192515246</v>
      </c>
      <c r="M15" t="s">
        <v>474</v>
      </c>
      <c r="N15" t="s">
        <v>475</v>
      </c>
      <c r="O15" t="s">
        <v>442</v>
      </c>
      <c r="P15" t="s">
        <v>442</v>
      </c>
    </row>
    <row r="16" spans="1:16" x14ac:dyDescent="0.2">
      <c r="A16" s="69" t="str">
        <f t="shared" si="0"/>
        <v>Alison Burchell</v>
      </c>
      <c r="B16" s="69" t="str">
        <f t="shared" si="1"/>
        <v>3034992717</v>
      </c>
      <c r="C16" s="69" t="str">
        <f t="shared" si="2"/>
        <v>Alison Burchell</v>
      </c>
      <c r="D16" s="69" t="str">
        <f t="shared" si="3"/>
        <v>3034992717</v>
      </c>
      <c r="E16">
        <v>107152264</v>
      </c>
      <c r="F16">
        <v>7943099</v>
      </c>
      <c r="G16">
        <v>850</v>
      </c>
      <c r="H16" t="s">
        <v>476</v>
      </c>
      <c r="I16" t="s">
        <v>477</v>
      </c>
      <c r="L16" t="str">
        <f>"3034992717"</f>
        <v>3034992717</v>
      </c>
      <c r="M16" t="s">
        <v>478</v>
      </c>
      <c r="N16" t="s">
        <v>478</v>
      </c>
      <c r="O16" t="s">
        <v>442</v>
      </c>
      <c r="P16" t="s">
        <v>442</v>
      </c>
    </row>
    <row r="17" spans="1:16" x14ac:dyDescent="0.2">
      <c r="A17" s="69" t="str">
        <f t="shared" si="0"/>
        <v>Ann Campbell</v>
      </c>
      <c r="B17" s="69" t="str">
        <f t="shared" si="1"/>
        <v>3035701794</v>
      </c>
      <c r="C17" s="69" t="str">
        <f t="shared" si="2"/>
        <v/>
      </c>
      <c r="D17" s="69" t="str">
        <f t="shared" si="3"/>
        <v/>
      </c>
      <c r="E17">
        <v>107152285</v>
      </c>
      <c r="F17">
        <v>7950160</v>
      </c>
      <c r="G17">
        <v>815</v>
      </c>
      <c r="H17" t="s">
        <v>479</v>
      </c>
      <c r="I17" t="s">
        <v>480</v>
      </c>
      <c r="J17" t="s">
        <v>481</v>
      </c>
      <c r="L17" t="str">
        <f>"3035701794"</f>
        <v>3035701794</v>
      </c>
      <c r="M17" t="s">
        <v>482</v>
      </c>
      <c r="N17" t="s">
        <v>482</v>
      </c>
      <c r="O17" t="s">
        <v>442</v>
      </c>
      <c r="P17" t="s">
        <v>438</v>
      </c>
    </row>
    <row r="18" spans="1:16" x14ac:dyDescent="0.2">
      <c r="A18" s="69" t="str">
        <f t="shared" si="0"/>
        <v/>
      </c>
      <c r="B18" s="69" t="str">
        <f t="shared" si="1"/>
        <v/>
      </c>
      <c r="C18" s="69" t="str">
        <f t="shared" si="2"/>
        <v>Susan Caragol</v>
      </c>
      <c r="D18" s="69" t="str">
        <f t="shared" si="3"/>
        <v>3038349213</v>
      </c>
      <c r="E18">
        <v>142283657</v>
      </c>
      <c r="F18">
        <v>200310725</v>
      </c>
      <c r="G18">
        <v>615</v>
      </c>
      <c r="H18" t="s">
        <v>483</v>
      </c>
      <c r="I18" t="s">
        <v>446</v>
      </c>
      <c r="J18" t="s">
        <v>484</v>
      </c>
      <c r="L18" t="str">
        <f>"3038349213"</f>
        <v>3038349213</v>
      </c>
      <c r="M18" t="s">
        <v>485</v>
      </c>
      <c r="N18" t="s">
        <v>485</v>
      </c>
      <c r="O18" t="s">
        <v>438</v>
      </c>
      <c r="P18" t="s">
        <v>442</v>
      </c>
    </row>
    <row r="19" spans="1:16" x14ac:dyDescent="0.2">
      <c r="A19" s="69" t="str">
        <f t="shared" si="0"/>
        <v/>
      </c>
      <c r="B19" s="69" t="str">
        <f t="shared" si="1"/>
        <v/>
      </c>
      <c r="C19" s="69" t="str">
        <f t="shared" si="2"/>
        <v>Catherine Carlson</v>
      </c>
      <c r="D19" s="69" t="str">
        <f t="shared" si="3"/>
        <v>7208397289</v>
      </c>
      <c r="E19">
        <v>118592146</v>
      </c>
      <c r="F19">
        <v>7953819</v>
      </c>
      <c r="G19">
        <v>814</v>
      </c>
      <c r="H19" t="s">
        <v>486</v>
      </c>
      <c r="I19" t="s">
        <v>487</v>
      </c>
      <c r="L19" t="str">
        <f>"7208397289"</f>
        <v>7208397289</v>
      </c>
      <c r="M19" t="s">
        <v>488</v>
      </c>
      <c r="N19" t="s">
        <v>488</v>
      </c>
      <c r="O19" t="s">
        <v>438</v>
      </c>
      <c r="P19" t="s">
        <v>442</v>
      </c>
    </row>
    <row r="20" spans="1:16" x14ac:dyDescent="0.2">
      <c r="A20" s="69" t="str">
        <f t="shared" si="0"/>
        <v/>
      </c>
      <c r="B20" s="69" t="str">
        <f t="shared" si="1"/>
        <v/>
      </c>
      <c r="C20" s="69" t="str">
        <f t="shared" si="2"/>
        <v>Eben Carsey</v>
      </c>
      <c r="D20" s="69" t="str">
        <f t="shared" si="3"/>
        <v>3034427284</v>
      </c>
      <c r="E20">
        <v>112051666</v>
      </c>
      <c r="F20">
        <v>7955456</v>
      </c>
      <c r="G20">
        <v>822</v>
      </c>
      <c r="H20" t="s">
        <v>489</v>
      </c>
      <c r="I20" t="s">
        <v>490</v>
      </c>
      <c r="L20" t="str">
        <f>"3034427284"</f>
        <v>3034427284</v>
      </c>
      <c r="M20" t="s">
        <v>491</v>
      </c>
      <c r="N20" t="s">
        <v>491</v>
      </c>
      <c r="O20" t="s">
        <v>438</v>
      </c>
      <c r="P20" t="s">
        <v>442</v>
      </c>
    </row>
    <row r="21" spans="1:16" x14ac:dyDescent="0.2">
      <c r="A21" s="69" t="str">
        <f t="shared" si="0"/>
        <v>Michael Chapman</v>
      </c>
      <c r="B21" s="69" t="str">
        <f t="shared" si="1"/>
        <v>7202728329</v>
      </c>
      <c r="C21" s="69" t="str">
        <f t="shared" si="2"/>
        <v>Michael Chapman</v>
      </c>
      <c r="D21" s="69" t="str">
        <f t="shared" si="3"/>
        <v>7202728329</v>
      </c>
      <c r="E21">
        <v>107152303</v>
      </c>
      <c r="F21">
        <v>7961199</v>
      </c>
      <c r="G21">
        <v>816</v>
      </c>
      <c r="H21" t="s">
        <v>492</v>
      </c>
      <c r="I21" t="s">
        <v>24</v>
      </c>
      <c r="L21" t="str">
        <f>"7202728329"</f>
        <v>7202728329</v>
      </c>
      <c r="M21" t="s">
        <v>493</v>
      </c>
      <c r="N21" t="s">
        <v>493</v>
      </c>
      <c r="O21" t="s">
        <v>442</v>
      </c>
      <c r="P21" t="s">
        <v>442</v>
      </c>
    </row>
    <row r="22" spans="1:16" x14ac:dyDescent="0.2">
      <c r="A22" s="69" t="str">
        <f t="shared" si="0"/>
        <v>Joanna Clark</v>
      </c>
      <c r="B22" s="69" t="str">
        <f t="shared" si="1"/>
        <v>3037753512</v>
      </c>
      <c r="C22" s="69" t="str">
        <f t="shared" si="2"/>
        <v>Joanna Clark</v>
      </c>
      <c r="D22" s="69" t="str">
        <f t="shared" si="3"/>
        <v>3037753512</v>
      </c>
      <c r="E22">
        <v>121441380</v>
      </c>
      <c r="F22">
        <v>7967303</v>
      </c>
      <c r="G22">
        <v>807</v>
      </c>
      <c r="H22" t="s">
        <v>494</v>
      </c>
      <c r="I22" t="s">
        <v>498</v>
      </c>
      <c r="L22" t="str">
        <f>"3037753512"</f>
        <v>3037753512</v>
      </c>
      <c r="M22" t="s">
        <v>499</v>
      </c>
      <c r="N22" t="s">
        <v>499</v>
      </c>
      <c r="O22" t="s">
        <v>442</v>
      </c>
      <c r="P22" t="s">
        <v>442</v>
      </c>
    </row>
    <row r="23" spans="1:16" x14ac:dyDescent="0.2">
      <c r="A23" s="69" t="str">
        <f t="shared" si="0"/>
        <v>Kathleen Clark</v>
      </c>
      <c r="B23" s="69" t="str">
        <f t="shared" si="1"/>
        <v>3036780640</v>
      </c>
      <c r="C23" s="69" t="str">
        <f t="shared" si="2"/>
        <v/>
      </c>
      <c r="D23" s="69" t="str">
        <f t="shared" si="3"/>
        <v/>
      </c>
      <c r="E23">
        <v>107152309</v>
      </c>
      <c r="F23">
        <v>7967470</v>
      </c>
      <c r="G23">
        <v>642</v>
      </c>
      <c r="H23" t="s">
        <v>494</v>
      </c>
      <c r="I23" t="s">
        <v>495</v>
      </c>
      <c r="J23" t="s">
        <v>496</v>
      </c>
      <c r="L23" t="str">
        <f>"3036780640"</f>
        <v>3036780640</v>
      </c>
      <c r="M23" t="s">
        <v>497</v>
      </c>
      <c r="N23" t="s">
        <v>497</v>
      </c>
      <c r="O23" t="s">
        <v>442</v>
      </c>
      <c r="P23" t="s">
        <v>438</v>
      </c>
    </row>
    <row r="24" spans="1:16" x14ac:dyDescent="0.2">
      <c r="A24" s="69" t="str">
        <f t="shared" si="0"/>
        <v>Laura Clark</v>
      </c>
      <c r="B24" s="69" t="str">
        <f t="shared" si="1"/>
        <v>3033322096</v>
      </c>
      <c r="C24" s="69" t="str">
        <f t="shared" si="2"/>
        <v/>
      </c>
      <c r="D24" s="69" t="str">
        <f t="shared" si="3"/>
        <v/>
      </c>
      <c r="E24">
        <v>118592184</v>
      </c>
      <c r="F24">
        <v>8032454</v>
      </c>
      <c r="G24">
        <v>405</v>
      </c>
      <c r="H24" t="s">
        <v>494</v>
      </c>
      <c r="I24" t="s">
        <v>500</v>
      </c>
      <c r="J24" t="s">
        <v>501</v>
      </c>
      <c r="L24" t="str">
        <f>"3033322096"</f>
        <v>3033322096</v>
      </c>
      <c r="M24" t="s">
        <v>502</v>
      </c>
      <c r="N24" t="s">
        <v>502</v>
      </c>
      <c r="O24" t="s">
        <v>442</v>
      </c>
      <c r="P24" t="s">
        <v>438</v>
      </c>
    </row>
    <row r="25" spans="1:16" x14ac:dyDescent="0.2">
      <c r="A25" s="69" t="str">
        <f t="shared" si="0"/>
        <v/>
      </c>
      <c r="B25" s="69" t="str">
        <f t="shared" si="1"/>
        <v/>
      </c>
      <c r="C25" s="69" t="str">
        <f t="shared" si="2"/>
        <v>Barbralu Cohen</v>
      </c>
      <c r="D25" s="69" t="str">
        <f t="shared" si="3"/>
        <v>3035642796</v>
      </c>
      <c r="E25">
        <v>122990501</v>
      </c>
      <c r="F25">
        <v>7970678</v>
      </c>
      <c r="G25">
        <v>807</v>
      </c>
      <c r="H25" t="s">
        <v>503</v>
      </c>
      <c r="I25" t="s">
        <v>504</v>
      </c>
      <c r="L25" t="str">
        <f>"3035642796"</f>
        <v>3035642796</v>
      </c>
      <c r="M25" t="s">
        <v>505</v>
      </c>
      <c r="N25" t="s">
        <v>505</v>
      </c>
      <c r="O25" t="s">
        <v>438</v>
      </c>
      <c r="P25" t="s">
        <v>442</v>
      </c>
    </row>
    <row r="26" spans="1:16" x14ac:dyDescent="0.2">
      <c r="A26" s="69" t="str">
        <f t="shared" si="0"/>
        <v>Sue Collard</v>
      </c>
      <c r="B26" s="69" t="str">
        <f t="shared" si="1"/>
        <v>3038186125</v>
      </c>
      <c r="C26" s="69" t="str">
        <f t="shared" si="2"/>
        <v/>
      </c>
      <c r="D26" s="69" t="str">
        <f t="shared" si="3"/>
        <v/>
      </c>
      <c r="E26">
        <v>107152316</v>
      </c>
      <c r="F26">
        <v>7972034</v>
      </c>
      <c r="G26">
        <v>635</v>
      </c>
      <c r="H26" t="s">
        <v>506</v>
      </c>
      <c r="I26" t="s">
        <v>507</v>
      </c>
      <c r="J26" t="s">
        <v>480</v>
      </c>
      <c r="L26" t="str">
        <f>"3038186125"</f>
        <v>3038186125</v>
      </c>
      <c r="M26" t="s">
        <v>508</v>
      </c>
      <c r="N26" t="s">
        <v>508</v>
      </c>
      <c r="O26" t="s">
        <v>442</v>
      </c>
      <c r="P26" t="s">
        <v>438</v>
      </c>
    </row>
    <row r="27" spans="1:16" x14ac:dyDescent="0.2">
      <c r="A27" s="69" t="str">
        <f t="shared" si="0"/>
        <v>Annie Colvin</v>
      </c>
      <c r="B27" s="69" t="str">
        <f t="shared" si="1"/>
        <v>3037251823</v>
      </c>
      <c r="C27" s="69" t="str">
        <f t="shared" si="2"/>
        <v>Annie Colvin</v>
      </c>
      <c r="D27" s="69" t="str">
        <f t="shared" si="3"/>
        <v>3037251823</v>
      </c>
      <c r="E27">
        <v>120682199</v>
      </c>
      <c r="F27">
        <v>7971544</v>
      </c>
      <c r="G27">
        <v>644</v>
      </c>
      <c r="H27" t="s">
        <v>1532</v>
      </c>
      <c r="I27" t="s">
        <v>1533</v>
      </c>
      <c r="L27" t="str">
        <f>"3037251823"</f>
        <v>3037251823</v>
      </c>
      <c r="M27" t="s">
        <v>1534</v>
      </c>
      <c r="N27" t="s">
        <v>1534</v>
      </c>
      <c r="O27" t="s">
        <v>442</v>
      </c>
      <c r="P27" t="s">
        <v>442</v>
      </c>
    </row>
    <row r="28" spans="1:16" x14ac:dyDescent="0.2">
      <c r="A28" s="69" t="str">
        <f t="shared" si="0"/>
        <v/>
      </c>
      <c r="B28" s="69" t="str">
        <f t="shared" si="1"/>
        <v/>
      </c>
      <c r="C28" s="69" t="str">
        <f t="shared" si="2"/>
        <v/>
      </c>
      <c r="D28" s="69" t="str">
        <f t="shared" si="3"/>
        <v/>
      </c>
      <c r="E28">
        <v>122990360</v>
      </c>
      <c r="F28">
        <v>7974950</v>
      </c>
      <c r="G28">
        <v>208</v>
      </c>
      <c r="H28" t="s">
        <v>509</v>
      </c>
      <c r="I28" t="s">
        <v>58</v>
      </c>
      <c r="L28" t="str">
        <f>"7202898329"</f>
        <v>7202898329</v>
      </c>
      <c r="M28" t="s">
        <v>510</v>
      </c>
      <c r="N28" t="s">
        <v>510</v>
      </c>
      <c r="O28" t="s">
        <v>438</v>
      </c>
      <c r="P28" t="s">
        <v>438</v>
      </c>
    </row>
    <row r="29" spans="1:16" x14ac:dyDescent="0.2">
      <c r="A29" s="69" t="str">
        <f t="shared" si="0"/>
        <v/>
      </c>
      <c r="B29" s="69" t="str">
        <f t="shared" si="1"/>
        <v/>
      </c>
      <c r="C29" s="69" t="str">
        <f t="shared" si="2"/>
        <v>Katharine Cooley</v>
      </c>
      <c r="D29" s="69" t="str">
        <f t="shared" si="3"/>
        <v>5055148700</v>
      </c>
      <c r="E29">
        <v>148556681</v>
      </c>
      <c r="F29">
        <v>601680446</v>
      </c>
      <c r="G29">
        <v>634</v>
      </c>
      <c r="H29" t="s">
        <v>511</v>
      </c>
      <c r="I29" t="s">
        <v>512</v>
      </c>
      <c r="J29" t="s">
        <v>513</v>
      </c>
      <c r="L29" t="str">
        <f>"5055148700"</f>
        <v>5055148700</v>
      </c>
      <c r="M29" t="s">
        <v>514</v>
      </c>
      <c r="N29" t="s">
        <v>514</v>
      </c>
      <c r="O29" t="s">
        <v>438</v>
      </c>
      <c r="P29" t="s">
        <v>442</v>
      </c>
    </row>
    <row r="30" spans="1:16" x14ac:dyDescent="0.2">
      <c r="A30" s="69" t="str">
        <f t="shared" si="0"/>
        <v>Benjamin Cowan</v>
      </c>
      <c r="B30" s="69" t="str">
        <f t="shared" si="1"/>
        <v>6509068422</v>
      </c>
      <c r="C30" s="69" t="str">
        <f t="shared" si="2"/>
        <v>Benjamin Cowan</v>
      </c>
      <c r="D30" s="69" t="str">
        <f t="shared" si="3"/>
        <v>6509068422</v>
      </c>
      <c r="E30">
        <v>122099529</v>
      </c>
      <c r="F30">
        <v>7978445</v>
      </c>
      <c r="G30">
        <v>911</v>
      </c>
      <c r="H30" t="s">
        <v>515</v>
      </c>
      <c r="I30" t="s">
        <v>516</v>
      </c>
      <c r="L30" t="str">
        <f>"6509068422"</f>
        <v>6509068422</v>
      </c>
      <c r="M30" t="s">
        <v>517</v>
      </c>
      <c r="N30" t="s">
        <v>517</v>
      </c>
      <c r="O30" t="s">
        <v>442</v>
      </c>
      <c r="P30" t="s">
        <v>442</v>
      </c>
    </row>
    <row r="31" spans="1:16" x14ac:dyDescent="0.2">
      <c r="A31" s="69" t="str">
        <f t="shared" si="0"/>
        <v>Kim Crites Carloto</v>
      </c>
      <c r="B31" s="69" t="str">
        <f t="shared" si="1"/>
        <v>9083474839</v>
      </c>
      <c r="C31" s="69" t="str">
        <f t="shared" si="2"/>
        <v/>
      </c>
      <c r="D31" s="69" t="str">
        <f t="shared" si="3"/>
        <v/>
      </c>
      <c r="E31">
        <v>122990451</v>
      </c>
      <c r="F31">
        <v>601224625</v>
      </c>
      <c r="G31">
        <v>842</v>
      </c>
      <c r="H31" t="s">
        <v>518</v>
      </c>
      <c r="I31" t="s">
        <v>519</v>
      </c>
      <c r="L31" t="str">
        <f>"9083474839"</f>
        <v>9083474839</v>
      </c>
      <c r="M31" t="s">
        <v>520</v>
      </c>
      <c r="N31" t="s">
        <v>520</v>
      </c>
      <c r="O31" t="s">
        <v>442</v>
      </c>
      <c r="P31" t="s">
        <v>438</v>
      </c>
    </row>
    <row r="32" spans="1:16" x14ac:dyDescent="0.2">
      <c r="A32" s="69" t="str">
        <f t="shared" si="0"/>
        <v>Stuart Cummings</v>
      </c>
      <c r="B32" s="69" t="str">
        <f t="shared" si="1"/>
        <v>3038471674</v>
      </c>
      <c r="C32" s="69" t="str">
        <f t="shared" si="2"/>
        <v>Stuart Cummings</v>
      </c>
      <c r="D32" s="69" t="str">
        <f t="shared" si="3"/>
        <v>3038471674</v>
      </c>
      <c r="E32">
        <v>107152351</v>
      </c>
      <c r="F32">
        <v>7986384</v>
      </c>
      <c r="G32">
        <v>855</v>
      </c>
      <c r="H32" t="s">
        <v>521</v>
      </c>
      <c r="I32" t="s">
        <v>522</v>
      </c>
      <c r="J32" t="s">
        <v>523</v>
      </c>
      <c r="L32" t="str">
        <f>"3038471674"</f>
        <v>3038471674</v>
      </c>
      <c r="M32" t="s">
        <v>524</v>
      </c>
      <c r="N32" t="s">
        <v>524</v>
      </c>
      <c r="O32" t="s">
        <v>442</v>
      </c>
      <c r="P32" t="s">
        <v>442</v>
      </c>
    </row>
    <row r="33" spans="1:16" x14ac:dyDescent="0.2">
      <c r="A33" s="69" t="str">
        <f t="shared" si="0"/>
        <v>Robert Davidson</v>
      </c>
      <c r="B33" s="69" t="str">
        <f t="shared" si="1"/>
        <v>2147254438</v>
      </c>
      <c r="C33" s="69" t="str">
        <f t="shared" si="2"/>
        <v>Robert Davidson</v>
      </c>
      <c r="D33" s="69" t="str">
        <f t="shared" si="3"/>
        <v>2147254438</v>
      </c>
      <c r="E33">
        <v>121491182</v>
      </c>
      <c r="F33">
        <v>602224632</v>
      </c>
      <c r="G33">
        <v>627</v>
      </c>
      <c r="H33" t="s">
        <v>527</v>
      </c>
      <c r="I33" t="s">
        <v>26</v>
      </c>
      <c r="J33" t="s">
        <v>528</v>
      </c>
      <c r="L33" t="str">
        <f>"2147254438"</f>
        <v>2147254438</v>
      </c>
      <c r="M33" t="s">
        <v>529</v>
      </c>
      <c r="N33" t="s">
        <v>529</v>
      </c>
      <c r="O33" t="s">
        <v>442</v>
      </c>
      <c r="P33" t="s">
        <v>442</v>
      </c>
    </row>
    <row r="34" spans="1:16" x14ac:dyDescent="0.2">
      <c r="A34" s="69" t="str">
        <f t="shared" si="0"/>
        <v>Megan Dawson</v>
      </c>
      <c r="B34" s="69" t="str">
        <f t="shared" si="1"/>
        <v>3038170306</v>
      </c>
      <c r="C34" s="69" t="str">
        <f t="shared" si="2"/>
        <v/>
      </c>
      <c r="D34" s="69" t="str">
        <f t="shared" si="3"/>
        <v/>
      </c>
      <c r="E34">
        <v>107152369</v>
      </c>
      <c r="F34">
        <v>7993179</v>
      </c>
      <c r="G34">
        <v>804</v>
      </c>
      <c r="H34" t="s">
        <v>86</v>
      </c>
      <c r="I34" t="s">
        <v>530</v>
      </c>
      <c r="J34" t="s">
        <v>531</v>
      </c>
      <c r="L34" t="str">
        <f>"3038170306"</f>
        <v>3038170306</v>
      </c>
      <c r="M34" t="s">
        <v>532</v>
      </c>
      <c r="N34" t="s">
        <v>532</v>
      </c>
      <c r="O34" t="s">
        <v>442</v>
      </c>
      <c r="P34" t="s">
        <v>438</v>
      </c>
    </row>
    <row r="35" spans="1:16" x14ac:dyDescent="0.2">
      <c r="A35" s="69" t="str">
        <f t="shared" si="0"/>
        <v>Peter Dawson</v>
      </c>
      <c r="B35" s="69" t="str">
        <f t="shared" si="1"/>
        <v>3038172531</v>
      </c>
      <c r="C35" s="69" t="str">
        <f t="shared" si="2"/>
        <v/>
      </c>
      <c r="D35" s="69" t="str">
        <f t="shared" si="3"/>
        <v/>
      </c>
      <c r="E35">
        <v>107152370</v>
      </c>
      <c r="F35">
        <v>7993198</v>
      </c>
      <c r="G35">
        <v>840</v>
      </c>
      <c r="H35" t="s">
        <v>86</v>
      </c>
      <c r="I35" t="s">
        <v>87</v>
      </c>
      <c r="L35" t="str">
        <f>"3038172531"</f>
        <v>3038172531</v>
      </c>
      <c r="M35" t="s">
        <v>845</v>
      </c>
      <c r="N35" t="s">
        <v>845</v>
      </c>
      <c r="O35" t="s">
        <v>442</v>
      </c>
      <c r="P35" t="s">
        <v>438</v>
      </c>
    </row>
    <row r="36" spans="1:16" x14ac:dyDescent="0.2">
      <c r="A36" s="69" t="str">
        <f t="shared" si="0"/>
        <v/>
      </c>
      <c r="B36" s="69" t="str">
        <f t="shared" si="1"/>
        <v/>
      </c>
      <c r="C36" s="69" t="str">
        <f t="shared" si="2"/>
        <v/>
      </c>
      <c r="D36" s="69" t="str">
        <f t="shared" si="3"/>
        <v/>
      </c>
      <c r="E36">
        <v>107152372</v>
      </c>
      <c r="F36">
        <v>7992768</v>
      </c>
      <c r="G36">
        <v>205</v>
      </c>
      <c r="H36" t="s">
        <v>533</v>
      </c>
      <c r="I36" t="s">
        <v>534</v>
      </c>
      <c r="L36" t="str">
        <f>"3035899823"</f>
        <v>3035899823</v>
      </c>
      <c r="M36" t="s">
        <v>535</v>
      </c>
      <c r="N36" t="s">
        <v>535</v>
      </c>
      <c r="O36" t="s">
        <v>438</v>
      </c>
      <c r="P36" t="s">
        <v>438</v>
      </c>
    </row>
    <row r="37" spans="1:16" x14ac:dyDescent="0.2">
      <c r="A37" s="69" t="str">
        <f t="shared" si="0"/>
        <v/>
      </c>
      <c r="B37" s="69" t="str">
        <f t="shared" si="1"/>
        <v/>
      </c>
      <c r="C37" s="69" t="str">
        <f t="shared" si="2"/>
        <v>Genevieve Devaud</v>
      </c>
      <c r="D37" s="69" t="str">
        <f t="shared" si="3"/>
        <v>3038680530</v>
      </c>
      <c r="E37">
        <v>130758506</v>
      </c>
      <c r="F37">
        <v>8000450</v>
      </c>
      <c r="G37">
        <v>824</v>
      </c>
      <c r="H37" t="s">
        <v>536</v>
      </c>
      <c r="I37" t="s">
        <v>537</v>
      </c>
      <c r="L37" t="str">
        <f>"3038680530"</f>
        <v>3038680530</v>
      </c>
      <c r="M37" t="s">
        <v>538</v>
      </c>
      <c r="N37" t="s">
        <v>538</v>
      </c>
      <c r="O37" t="s">
        <v>438</v>
      </c>
      <c r="P37" t="s">
        <v>442</v>
      </c>
    </row>
    <row r="38" spans="1:16" x14ac:dyDescent="0.2">
      <c r="A38" s="69" t="str">
        <f t="shared" si="0"/>
        <v>Rebecca Dickson</v>
      </c>
      <c r="B38" s="69" t="str">
        <f t="shared" si="1"/>
        <v>7204927576</v>
      </c>
      <c r="C38" s="69" t="str">
        <f t="shared" si="2"/>
        <v/>
      </c>
      <c r="D38" s="69" t="str">
        <f t="shared" si="3"/>
        <v/>
      </c>
      <c r="E38">
        <v>107152389</v>
      </c>
      <c r="F38">
        <v>8002763</v>
      </c>
      <c r="G38">
        <v>839</v>
      </c>
      <c r="H38" t="s">
        <v>539</v>
      </c>
      <c r="I38" t="s">
        <v>540</v>
      </c>
      <c r="L38" t="str">
        <f>"7204927576"</f>
        <v>7204927576</v>
      </c>
      <c r="M38" t="s">
        <v>541</v>
      </c>
      <c r="N38" t="s">
        <v>541</v>
      </c>
      <c r="O38" t="s">
        <v>442</v>
      </c>
      <c r="P38" t="s">
        <v>438</v>
      </c>
    </row>
    <row r="39" spans="1:16" x14ac:dyDescent="0.2">
      <c r="A39" s="69" t="str">
        <f t="shared" si="0"/>
        <v>Jim Dimmick</v>
      </c>
      <c r="B39" s="69" t="str">
        <f t="shared" si="1"/>
        <v>3032501072</v>
      </c>
      <c r="C39" s="69" t="str">
        <f t="shared" si="2"/>
        <v/>
      </c>
      <c r="D39" s="69" t="str">
        <f t="shared" si="3"/>
        <v/>
      </c>
      <c r="E39">
        <v>118416000</v>
      </c>
      <c r="F39">
        <v>8001556</v>
      </c>
      <c r="G39">
        <v>819</v>
      </c>
      <c r="H39" t="s">
        <v>542</v>
      </c>
      <c r="I39" t="s">
        <v>85</v>
      </c>
      <c r="L39" t="str">
        <f>"3032501072"</f>
        <v>3032501072</v>
      </c>
      <c r="M39" t="s">
        <v>543</v>
      </c>
      <c r="N39" t="s">
        <v>543</v>
      </c>
      <c r="O39" t="s">
        <v>442</v>
      </c>
      <c r="P39" t="s">
        <v>438</v>
      </c>
    </row>
    <row r="40" spans="1:16" x14ac:dyDescent="0.2">
      <c r="A40" s="69" t="str">
        <f t="shared" si="0"/>
        <v>Michael Duffy</v>
      </c>
      <c r="B40" s="69" t="str">
        <f t="shared" si="1"/>
        <v>3038599851</v>
      </c>
      <c r="C40" s="69" t="str">
        <f t="shared" si="2"/>
        <v>Michael Duffy</v>
      </c>
      <c r="D40" s="69" t="str">
        <f t="shared" si="3"/>
        <v>3038599851</v>
      </c>
      <c r="E40">
        <v>121490971</v>
      </c>
      <c r="F40">
        <v>8009028</v>
      </c>
      <c r="G40">
        <v>847</v>
      </c>
      <c r="H40" t="s">
        <v>544</v>
      </c>
      <c r="I40" t="s">
        <v>24</v>
      </c>
      <c r="L40" t="str">
        <f>"3038599851"</f>
        <v>3038599851</v>
      </c>
      <c r="M40" t="s">
        <v>545</v>
      </c>
      <c r="N40" t="s">
        <v>546</v>
      </c>
      <c r="O40" t="s">
        <v>442</v>
      </c>
      <c r="P40" t="s">
        <v>442</v>
      </c>
    </row>
    <row r="41" spans="1:16" x14ac:dyDescent="0.2">
      <c r="A41" s="69" t="str">
        <f t="shared" si="0"/>
        <v>Harrison Earl</v>
      </c>
      <c r="B41" s="69" t="str">
        <f t="shared" si="1"/>
        <v>9253815400</v>
      </c>
      <c r="C41" s="69" t="str">
        <f t="shared" si="2"/>
        <v/>
      </c>
      <c r="D41" s="69" t="str">
        <f t="shared" si="3"/>
        <v/>
      </c>
      <c r="E41">
        <v>147071824</v>
      </c>
      <c r="F41">
        <v>600922576</v>
      </c>
      <c r="G41">
        <v>621</v>
      </c>
      <c r="H41" t="s">
        <v>547</v>
      </c>
      <c r="I41" t="s">
        <v>548</v>
      </c>
      <c r="J41" t="s">
        <v>549</v>
      </c>
      <c r="L41" t="str">
        <f>"9253815400"</f>
        <v>9253815400</v>
      </c>
      <c r="M41" t="s">
        <v>550</v>
      </c>
      <c r="N41" t="s">
        <v>551</v>
      </c>
      <c r="O41" t="s">
        <v>442</v>
      </c>
      <c r="P41" t="s">
        <v>438</v>
      </c>
    </row>
    <row r="42" spans="1:16" x14ac:dyDescent="0.2">
      <c r="A42" s="69" t="str">
        <f t="shared" si="0"/>
        <v>Erin Eastvedt</v>
      </c>
      <c r="B42" s="69" t="str">
        <f t="shared" si="1"/>
        <v>6783573242</v>
      </c>
      <c r="C42" s="69" t="str">
        <f t="shared" si="2"/>
        <v>Erin Eastvedt</v>
      </c>
      <c r="D42" s="69" t="str">
        <f t="shared" si="3"/>
        <v>6783573242</v>
      </c>
      <c r="E42">
        <v>111502459</v>
      </c>
      <c r="F42">
        <v>8014988</v>
      </c>
      <c r="G42">
        <v>604</v>
      </c>
      <c r="H42" t="s">
        <v>552</v>
      </c>
      <c r="I42" t="s">
        <v>556</v>
      </c>
      <c r="L42" t="str">
        <f>"6783573242"</f>
        <v>6783573242</v>
      </c>
      <c r="M42" t="s">
        <v>557</v>
      </c>
      <c r="N42" t="s">
        <v>557</v>
      </c>
      <c r="O42" t="s">
        <v>442</v>
      </c>
      <c r="P42" t="s">
        <v>442</v>
      </c>
    </row>
    <row r="43" spans="1:16" x14ac:dyDescent="0.2">
      <c r="A43" s="69" t="str">
        <f t="shared" si="0"/>
        <v>Gregory Eastvedt</v>
      </c>
      <c r="B43" s="69" t="str">
        <f t="shared" si="1"/>
        <v>4048226732</v>
      </c>
      <c r="C43" s="69" t="str">
        <f t="shared" si="2"/>
        <v>Gregory Eastvedt</v>
      </c>
      <c r="D43" s="69" t="str">
        <f t="shared" si="3"/>
        <v>4048226732</v>
      </c>
      <c r="E43">
        <v>111502455</v>
      </c>
      <c r="F43">
        <v>8014989</v>
      </c>
      <c r="G43">
        <v>604</v>
      </c>
      <c r="H43" t="s">
        <v>552</v>
      </c>
      <c r="I43" t="s">
        <v>553</v>
      </c>
      <c r="J43" t="s">
        <v>554</v>
      </c>
      <c r="L43" t="str">
        <f>"4048226732"</f>
        <v>4048226732</v>
      </c>
      <c r="M43" t="s">
        <v>555</v>
      </c>
      <c r="N43" t="s">
        <v>555</v>
      </c>
      <c r="O43" t="s">
        <v>442</v>
      </c>
      <c r="P43" t="s">
        <v>442</v>
      </c>
    </row>
    <row r="44" spans="1:16" x14ac:dyDescent="0.2">
      <c r="A44" s="69" t="str">
        <f t="shared" si="0"/>
        <v/>
      </c>
      <c r="B44" s="69" t="str">
        <f t="shared" si="1"/>
        <v/>
      </c>
      <c r="C44" s="69" t="str">
        <f t="shared" si="2"/>
        <v>Susan Edelman</v>
      </c>
      <c r="D44" s="69" t="str">
        <f t="shared" si="3"/>
        <v>9014810271</v>
      </c>
      <c r="E44">
        <v>109594274</v>
      </c>
      <c r="F44">
        <v>601150233</v>
      </c>
      <c r="G44">
        <v>314</v>
      </c>
      <c r="H44" t="s">
        <v>558</v>
      </c>
      <c r="I44" t="s">
        <v>446</v>
      </c>
      <c r="L44" t="str">
        <f>"9014810271"</f>
        <v>9014810271</v>
      </c>
      <c r="M44" t="s">
        <v>559</v>
      </c>
      <c r="N44" t="s">
        <v>559</v>
      </c>
      <c r="O44" t="s">
        <v>438</v>
      </c>
      <c r="P44" t="s">
        <v>442</v>
      </c>
    </row>
    <row r="45" spans="1:16" x14ac:dyDescent="0.2">
      <c r="A45" s="69" t="str">
        <f t="shared" si="0"/>
        <v/>
      </c>
      <c r="B45" s="69" t="str">
        <f t="shared" si="1"/>
        <v/>
      </c>
      <c r="C45" s="69" t="str">
        <f t="shared" si="2"/>
        <v/>
      </c>
      <c r="D45" s="69" t="str">
        <f t="shared" si="3"/>
        <v/>
      </c>
      <c r="E45">
        <v>127506141</v>
      </c>
      <c r="F45">
        <v>8019654</v>
      </c>
      <c r="G45">
        <v>312</v>
      </c>
      <c r="H45" t="s">
        <v>560</v>
      </c>
      <c r="I45" t="s">
        <v>561</v>
      </c>
      <c r="L45" t="str">
        <f>"3032532385"</f>
        <v>3032532385</v>
      </c>
      <c r="M45" t="s">
        <v>562</v>
      </c>
      <c r="N45" t="s">
        <v>562</v>
      </c>
    </row>
    <row r="46" spans="1:16" x14ac:dyDescent="0.2">
      <c r="A46" s="69" t="str">
        <f t="shared" si="0"/>
        <v/>
      </c>
      <c r="B46" s="69" t="str">
        <f t="shared" si="1"/>
        <v/>
      </c>
      <c r="C46" s="69" t="str">
        <f t="shared" si="2"/>
        <v>David Ensign</v>
      </c>
      <c r="D46" s="69" t="str">
        <f t="shared" si="3"/>
        <v>3035430778</v>
      </c>
      <c r="E46">
        <v>148546443</v>
      </c>
      <c r="F46">
        <v>8021936</v>
      </c>
      <c r="G46">
        <v>840</v>
      </c>
      <c r="H46" t="s">
        <v>563</v>
      </c>
      <c r="I46" t="s">
        <v>54</v>
      </c>
      <c r="J46" t="s">
        <v>564</v>
      </c>
      <c r="L46" t="str">
        <f>"3035430778"</f>
        <v>3035430778</v>
      </c>
      <c r="M46" t="s">
        <v>565</v>
      </c>
      <c r="N46" t="s">
        <v>565</v>
      </c>
      <c r="O46" t="s">
        <v>438</v>
      </c>
      <c r="P46" t="s">
        <v>442</v>
      </c>
    </row>
    <row r="47" spans="1:16" x14ac:dyDescent="0.2">
      <c r="A47" s="69" t="str">
        <f t="shared" si="0"/>
        <v>Sean Espy</v>
      </c>
      <c r="B47" s="69" t="str">
        <f t="shared" si="1"/>
        <v>3038620789</v>
      </c>
      <c r="C47" s="69" t="str">
        <f t="shared" si="2"/>
        <v>Sean Espy</v>
      </c>
      <c r="D47" s="69" t="str">
        <f t="shared" si="3"/>
        <v>3038620789</v>
      </c>
      <c r="E47">
        <v>139246773</v>
      </c>
      <c r="F47">
        <v>693350</v>
      </c>
      <c r="G47">
        <v>302</v>
      </c>
      <c r="H47" t="s">
        <v>566</v>
      </c>
      <c r="I47" t="s">
        <v>567</v>
      </c>
      <c r="J47" t="s">
        <v>568</v>
      </c>
      <c r="L47" t="str">
        <f>"3038620789"</f>
        <v>3038620789</v>
      </c>
      <c r="M47" t="s">
        <v>569</v>
      </c>
      <c r="N47" t="s">
        <v>569</v>
      </c>
      <c r="O47" t="s">
        <v>442</v>
      </c>
      <c r="P47" t="s">
        <v>442</v>
      </c>
    </row>
    <row r="48" spans="1:16" x14ac:dyDescent="0.2">
      <c r="A48" s="69" t="str">
        <f t="shared" si="0"/>
        <v>Nathan Fair</v>
      </c>
      <c r="B48" s="69" t="str">
        <f t="shared" si="1"/>
        <v>9195892262</v>
      </c>
      <c r="C48" s="69" t="str">
        <f t="shared" si="2"/>
        <v/>
      </c>
      <c r="D48" s="69" t="str">
        <f t="shared" si="3"/>
        <v/>
      </c>
      <c r="E48">
        <v>142323557</v>
      </c>
      <c r="F48">
        <v>602051387</v>
      </c>
      <c r="G48">
        <v>101</v>
      </c>
      <c r="H48" t="s">
        <v>1432</v>
      </c>
      <c r="I48" t="s">
        <v>1433</v>
      </c>
      <c r="J48" t="s">
        <v>586</v>
      </c>
      <c r="L48" t="str">
        <f>"9195892262"</f>
        <v>9195892262</v>
      </c>
      <c r="M48" t="s">
        <v>1434</v>
      </c>
      <c r="N48" t="s">
        <v>1434</v>
      </c>
      <c r="O48" t="s">
        <v>442</v>
      </c>
      <c r="P48" t="s">
        <v>438</v>
      </c>
    </row>
    <row r="49" spans="1:16" x14ac:dyDescent="0.2">
      <c r="A49" s="69" t="str">
        <f t="shared" si="0"/>
        <v>Mary Faltynski</v>
      </c>
      <c r="B49" s="69" t="str">
        <f t="shared" si="1"/>
        <v>7202332142</v>
      </c>
      <c r="C49" s="69" t="str">
        <f t="shared" si="2"/>
        <v/>
      </c>
      <c r="D49" s="69" t="str">
        <f t="shared" si="3"/>
        <v/>
      </c>
      <c r="E49">
        <v>118592013</v>
      </c>
      <c r="F49">
        <v>8025320</v>
      </c>
      <c r="G49">
        <v>806</v>
      </c>
      <c r="H49" t="s">
        <v>570</v>
      </c>
      <c r="I49" t="s">
        <v>571</v>
      </c>
      <c r="L49" t="str">
        <f>"7202332142"</f>
        <v>7202332142</v>
      </c>
      <c r="M49" t="s">
        <v>572</v>
      </c>
      <c r="N49" t="s">
        <v>572</v>
      </c>
      <c r="O49" t="s">
        <v>442</v>
      </c>
      <c r="P49" t="s">
        <v>438</v>
      </c>
    </row>
    <row r="50" spans="1:16" x14ac:dyDescent="0.2">
      <c r="A50" s="69" t="str">
        <f t="shared" si="0"/>
        <v>Charles Fellenbaum</v>
      </c>
      <c r="B50" s="69" t="str">
        <f t="shared" si="1"/>
        <v>7203533612</v>
      </c>
      <c r="C50" s="69" t="str">
        <f t="shared" si="2"/>
        <v/>
      </c>
      <c r="D50" s="69" t="str">
        <f t="shared" si="3"/>
        <v/>
      </c>
      <c r="E50">
        <v>109594281</v>
      </c>
      <c r="F50">
        <v>8028837</v>
      </c>
      <c r="G50">
        <v>622</v>
      </c>
      <c r="H50" t="s">
        <v>573</v>
      </c>
      <c r="I50" t="s">
        <v>574</v>
      </c>
      <c r="L50" t="str">
        <f>"7203533612"</f>
        <v>7203533612</v>
      </c>
      <c r="M50" t="s">
        <v>575</v>
      </c>
      <c r="N50" t="s">
        <v>575</v>
      </c>
      <c r="O50" t="s">
        <v>442</v>
      </c>
      <c r="P50" t="s">
        <v>438</v>
      </c>
    </row>
    <row r="51" spans="1:16" x14ac:dyDescent="0.2">
      <c r="A51" s="69" t="str">
        <f t="shared" si="0"/>
        <v>Diana Fields</v>
      </c>
      <c r="B51" s="69" t="str">
        <f t="shared" si="1"/>
        <v>3035481814</v>
      </c>
      <c r="C51" s="69" t="str">
        <f t="shared" si="2"/>
        <v>Diana Fields</v>
      </c>
      <c r="D51" s="69" t="str">
        <f t="shared" si="3"/>
        <v>3035481814</v>
      </c>
      <c r="E51">
        <v>121490967</v>
      </c>
      <c r="F51">
        <v>8030765</v>
      </c>
      <c r="G51">
        <v>854</v>
      </c>
      <c r="H51" t="s">
        <v>576</v>
      </c>
      <c r="I51" t="s">
        <v>577</v>
      </c>
      <c r="J51" t="s">
        <v>578</v>
      </c>
      <c r="L51" t="str">
        <f>"3035481814"</f>
        <v>3035481814</v>
      </c>
      <c r="M51" t="s">
        <v>579</v>
      </c>
      <c r="N51" t="s">
        <v>579</v>
      </c>
      <c r="O51" t="s">
        <v>442</v>
      </c>
      <c r="P51" t="s">
        <v>442</v>
      </c>
    </row>
    <row r="52" spans="1:16" x14ac:dyDescent="0.2">
      <c r="A52" s="69" t="str">
        <f t="shared" si="0"/>
        <v>Neil Fishman</v>
      </c>
      <c r="B52" s="69" t="str">
        <f t="shared" si="1"/>
        <v>7209385326</v>
      </c>
      <c r="C52" s="69" t="str">
        <f t="shared" si="2"/>
        <v/>
      </c>
      <c r="D52" s="69" t="str">
        <f t="shared" si="3"/>
        <v/>
      </c>
      <c r="E52">
        <v>107152460</v>
      </c>
      <c r="F52">
        <v>8033360</v>
      </c>
      <c r="G52">
        <v>844</v>
      </c>
      <c r="H52" t="s">
        <v>45</v>
      </c>
      <c r="I52" t="s">
        <v>46</v>
      </c>
      <c r="J52" t="s">
        <v>580</v>
      </c>
      <c r="L52" t="str">
        <f>"7209385326"</f>
        <v>7209385326</v>
      </c>
      <c r="M52" t="s">
        <v>581</v>
      </c>
      <c r="N52" t="s">
        <v>581</v>
      </c>
      <c r="O52" t="s">
        <v>442</v>
      </c>
      <c r="P52" t="s">
        <v>438</v>
      </c>
    </row>
    <row r="53" spans="1:16" x14ac:dyDescent="0.2">
      <c r="A53" s="69" t="str">
        <f t="shared" si="0"/>
        <v>Kenneth Fricklas</v>
      </c>
      <c r="B53" s="69" t="str">
        <f t="shared" si="1"/>
        <v>3037172419</v>
      </c>
      <c r="C53" s="69" t="str">
        <f t="shared" si="2"/>
        <v/>
      </c>
      <c r="D53" s="69" t="str">
        <f t="shared" si="3"/>
        <v/>
      </c>
      <c r="E53">
        <v>122989660</v>
      </c>
      <c r="F53">
        <v>8042831</v>
      </c>
      <c r="G53">
        <v>907</v>
      </c>
      <c r="H53" t="s">
        <v>582</v>
      </c>
      <c r="I53" t="s">
        <v>52</v>
      </c>
      <c r="J53" t="s">
        <v>46</v>
      </c>
      <c r="L53" t="str">
        <f>"3037172419"</f>
        <v>3037172419</v>
      </c>
      <c r="M53" t="s">
        <v>583</v>
      </c>
      <c r="N53" t="s">
        <v>583</v>
      </c>
      <c r="O53" t="s">
        <v>442</v>
      </c>
      <c r="P53" t="s">
        <v>438</v>
      </c>
    </row>
    <row r="54" spans="1:16" x14ac:dyDescent="0.2">
      <c r="A54" s="69" t="str">
        <f t="shared" si="0"/>
        <v>Illana Gallon</v>
      </c>
      <c r="B54" s="69" t="str">
        <f t="shared" si="1"/>
        <v>3035795685</v>
      </c>
      <c r="C54" s="69" t="str">
        <f t="shared" si="2"/>
        <v/>
      </c>
      <c r="D54" s="69" t="str">
        <f t="shared" si="3"/>
        <v/>
      </c>
      <c r="E54">
        <v>135956036</v>
      </c>
      <c r="F54">
        <v>8047771</v>
      </c>
      <c r="G54">
        <v>851</v>
      </c>
      <c r="H54" t="s">
        <v>584</v>
      </c>
      <c r="I54" t="s">
        <v>585</v>
      </c>
      <c r="J54" t="s">
        <v>586</v>
      </c>
      <c r="L54" t="str">
        <f>"3035795685"</f>
        <v>3035795685</v>
      </c>
      <c r="M54" t="s">
        <v>587</v>
      </c>
      <c r="N54" t="s">
        <v>587</v>
      </c>
      <c r="O54" t="s">
        <v>442</v>
      </c>
      <c r="P54" t="s">
        <v>438</v>
      </c>
    </row>
    <row r="55" spans="1:16" x14ac:dyDescent="0.2">
      <c r="A55" s="69" t="str">
        <f t="shared" si="0"/>
        <v>Virginia Gebhart</v>
      </c>
      <c r="B55" s="69" t="str">
        <f t="shared" si="1"/>
        <v>3038803570</v>
      </c>
      <c r="C55" s="69" t="str">
        <f t="shared" si="2"/>
        <v>Virginia Gebhart</v>
      </c>
      <c r="D55" s="69" t="str">
        <f t="shared" si="3"/>
        <v>3038803570</v>
      </c>
      <c r="E55">
        <v>107152494</v>
      </c>
      <c r="F55">
        <v>8051253</v>
      </c>
      <c r="G55">
        <v>302</v>
      </c>
      <c r="H55" t="s">
        <v>588</v>
      </c>
      <c r="I55" t="s">
        <v>589</v>
      </c>
      <c r="J55" t="s">
        <v>480</v>
      </c>
      <c r="L55" t="str">
        <f>"3038803570"</f>
        <v>3038803570</v>
      </c>
      <c r="M55" t="s">
        <v>590</v>
      </c>
      <c r="N55" t="s">
        <v>590</v>
      </c>
      <c r="O55" t="s">
        <v>442</v>
      </c>
      <c r="P55" t="s">
        <v>442</v>
      </c>
    </row>
    <row r="56" spans="1:16" x14ac:dyDescent="0.2">
      <c r="A56" s="69" t="str">
        <f t="shared" si="0"/>
        <v>Stan Gelb</v>
      </c>
      <c r="B56" s="69" t="str">
        <f t="shared" si="1"/>
        <v>7205341960</v>
      </c>
      <c r="C56" s="69" t="str">
        <f t="shared" si="2"/>
        <v>Stan Gelb</v>
      </c>
      <c r="D56" s="69" t="str">
        <f t="shared" si="3"/>
        <v>7205341960</v>
      </c>
      <c r="E56">
        <v>108682188</v>
      </c>
      <c r="F56">
        <v>8051292</v>
      </c>
      <c r="G56">
        <v>649</v>
      </c>
      <c r="H56" t="s">
        <v>591</v>
      </c>
      <c r="I56" t="s">
        <v>592</v>
      </c>
      <c r="J56" t="s">
        <v>46</v>
      </c>
      <c r="L56" t="str">
        <f>"7205341960"</f>
        <v>7205341960</v>
      </c>
      <c r="M56" t="s">
        <v>593</v>
      </c>
      <c r="N56" t="s">
        <v>594</v>
      </c>
      <c r="O56" t="s">
        <v>442</v>
      </c>
      <c r="P56" t="s">
        <v>442</v>
      </c>
    </row>
    <row r="57" spans="1:16" x14ac:dyDescent="0.2">
      <c r="A57" s="69" t="str">
        <f t="shared" si="0"/>
        <v>Shelly Gerding</v>
      </c>
      <c r="B57" s="69" t="str">
        <f t="shared" si="1"/>
        <v>7203735217</v>
      </c>
      <c r="C57" s="69" t="str">
        <f t="shared" si="2"/>
        <v>Shelly Gerding</v>
      </c>
      <c r="D57" s="69" t="str">
        <f t="shared" si="3"/>
        <v>7203735217</v>
      </c>
      <c r="E57">
        <v>107152502</v>
      </c>
      <c r="F57">
        <v>8054742</v>
      </c>
      <c r="G57">
        <v>501</v>
      </c>
      <c r="H57" t="s">
        <v>595</v>
      </c>
      <c r="I57" t="s">
        <v>596</v>
      </c>
      <c r="J57" t="s">
        <v>597</v>
      </c>
      <c r="L57" t="str">
        <f>"7203735217"</f>
        <v>7203735217</v>
      </c>
      <c r="M57" t="s">
        <v>598</v>
      </c>
      <c r="N57" t="s">
        <v>598</v>
      </c>
      <c r="O57" t="s">
        <v>442</v>
      </c>
      <c r="P57" t="s">
        <v>442</v>
      </c>
    </row>
    <row r="58" spans="1:16" x14ac:dyDescent="0.2">
      <c r="A58" s="69" t="str">
        <f t="shared" si="0"/>
        <v>Joel Gilbert</v>
      </c>
      <c r="B58" s="69" t="str">
        <f t="shared" si="1"/>
        <v>7202443431</v>
      </c>
      <c r="C58" s="69" t="str">
        <f t="shared" si="2"/>
        <v>Joel Gilbert</v>
      </c>
      <c r="D58" s="69" t="str">
        <f t="shared" si="3"/>
        <v>7202443431</v>
      </c>
      <c r="E58">
        <v>122990318</v>
      </c>
      <c r="F58">
        <v>8056626</v>
      </c>
      <c r="G58">
        <v>828</v>
      </c>
      <c r="H58" t="s">
        <v>599</v>
      </c>
      <c r="I58" t="s">
        <v>15</v>
      </c>
      <c r="L58" t="str">
        <f>"7202443431"</f>
        <v>7202443431</v>
      </c>
      <c r="M58" t="s">
        <v>600</v>
      </c>
      <c r="N58" t="s">
        <v>600</v>
      </c>
      <c r="O58" t="s">
        <v>442</v>
      </c>
      <c r="P58" t="s">
        <v>442</v>
      </c>
    </row>
    <row r="59" spans="1:16" x14ac:dyDescent="0.2">
      <c r="A59" s="69" t="str">
        <f t="shared" si="0"/>
        <v>Sally Gilman</v>
      </c>
      <c r="B59" s="69" t="str">
        <f t="shared" si="1"/>
        <v>7202274416</v>
      </c>
      <c r="C59" s="69" t="str">
        <f t="shared" si="2"/>
        <v/>
      </c>
      <c r="D59" s="69" t="str">
        <f t="shared" si="3"/>
        <v/>
      </c>
      <c r="E59">
        <v>122990313</v>
      </c>
      <c r="F59">
        <v>8308131</v>
      </c>
      <c r="G59">
        <v>903</v>
      </c>
      <c r="H59" t="s">
        <v>601</v>
      </c>
      <c r="I59" t="s">
        <v>602</v>
      </c>
      <c r="J59" t="s">
        <v>603</v>
      </c>
      <c r="L59" t="str">
        <f>"7202274416"</f>
        <v>7202274416</v>
      </c>
      <c r="M59" t="s">
        <v>604</v>
      </c>
      <c r="N59" t="s">
        <v>604</v>
      </c>
      <c r="O59" t="s">
        <v>442</v>
      </c>
      <c r="P59" t="s">
        <v>438</v>
      </c>
    </row>
    <row r="60" spans="1:16" x14ac:dyDescent="0.2">
      <c r="A60" s="69" t="str">
        <f t="shared" si="0"/>
        <v>Holly Glessner</v>
      </c>
      <c r="B60" s="69" t="str">
        <f t="shared" si="1"/>
        <v>7205441741</v>
      </c>
      <c r="C60" s="69" t="str">
        <f t="shared" si="2"/>
        <v>Holly Glessner</v>
      </c>
      <c r="D60" s="69" t="str">
        <f t="shared" si="3"/>
        <v>7205441741</v>
      </c>
      <c r="E60">
        <v>122989669</v>
      </c>
      <c r="F60">
        <v>8058171</v>
      </c>
      <c r="G60">
        <v>624</v>
      </c>
      <c r="H60" t="s">
        <v>605</v>
      </c>
      <c r="I60" t="s">
        <v>606</v>
      </c>
      <c r="L60" t="str">
        <f>"7205441741"</f>
        <v>7205441741</v>
      </c>
      <c r="M60" t="s">
        <v>607</v>
      </c>
      <c r="N60" t="s">
        <v>607</v>
      </c>
      <c r="O60" t="s">
        <v>442</v>
      </c>
      <c r="P60" t="s">
        <v>442</v>
      </c>
    </row>
    <row r="61" spans="1:16" x14ac:dyDescent="0.2">
      <c r="A61" s="69" t="str">
        <f t="shared" si="0"/>
        <v>Shannon Golden-Schubert</v>
      </c>
      <c r="B61" s="69" t="str">
        <f t="shared" si="1"/>
        <v>3037319036</v>
      </c>
      <c r="C61" s="69" t="str">
        <f t="shared" si="2"/>
        <v>Shannon Golden-Schubert</v>
      </c>
      <c r="D61" s="69" t="str">
        <f t="shared" si="3"/>
        <v>3037319036</v>
      </c>
      <c r="E61">
        <v>148561004</v>
      </c>
      <c r="F61">
        <v>8058275</v>
      </c>
      <c r="G61">
        <v>809</v>
      </c>
      <c r="H61" t="s">
        <v>1535</v>
      </c>
      <c r="I61" t="s">
        <v>750</v>
      </c>
      <c r="L61" t="str">
        <f>"3037319036"</f>
        <v>3037319036</v>
      </c>
      <c r="M61" t="s">
        <v>1536</v>
      </c>
      <c r="N61" t="s">
        <v>1536</v>
      </c>
      <c r="O61" t="s">
        <v>442</v>
      </c>
      <c r="P61" t="s">
        <v>442</v>
      </c>
    </row>
    <row r="62" spans="1:16" x14ac:dyDescent="0.2">
      <c r="A62" s="69" t="str">
        <f t="shared" si="0"/>
        <v>Crystal Gray</v>
      </c>
      <c r="B62" s="69" t="str">
        <f t="shared" si="1"/>
        <v>3034499680</v>
      </c>
      <c r="C62" s="69" t="str">
        <f t="shared" si="2"/>
        <v>Crystal Gray</v>
      </c>
      <c r="D62" s="69" t="str">
        <f t="shared" si="3"/>
        <v>3034499680</v>
      </c>
      <c r="E62">
        <v>111502410</v>
      </c>
      <c r="F62">
        <v>8066211</v>
      </c>
      <c r="G62">
        <v>822</v>
      </c>
      <c r="H62" t="s">
        <v>608</v>
      </c>
      <c r="I62" t="s">
        <v>609</v>
      </c>
      <c r="L62" t="str">
        <f>"3034499680"</f>
        <v>3034499680</v>
      </c>
      <c r="M62" t="s">
        <v>610</v>
      </c>
      <c r="N62" t="s">
        <v>610</v>
      </c>
      <c r="O62" t="s">
        <v>442</v>
      </c>
      <c r="P62" t="s">
        <v>442</v>
      </c>
    </row>
    <row r="63" spans="1:16" x14ac:dyDescent="0.2">
      <c r="A63" s="69" t="str">
        <f t="shared" si="0"/>
        <v>Barbara halpin</v>
      </c>
      <c r="B63" s="69" t="str">
        <f t="shared" si="1"/>
        <v>3035790773</v>
      </c>
      <c r="C63" s="69" t="str">
        <f t="shared" si="2"/>
        <v/>
      </c>
      <c r="D63" s="69" t="str">
        <f t="shared" si="3"/>
        <v/>
      </c>
      <c r="E63">
        <v>107152530</v>
      </c>
      <c r="F63">
        <v>8076790</v>
      </c>
      <c r="G63">
        <v>607</v>
      </c>
      <c r="H63" t="s">
        <v>1537</v>
      </c>
      <c r="I63" t="s">
        <v>1206</v>
      </c>
      <c r="L63" t="str">
        <f>"3035790773"</f>
        <v>3035790773</v>
      </c>
      <c r="M63" t="s">
        <v>1538</v>
      </c>
      <c r="N63" t="s">
        <v>1538</v>
      </c>
      <c r="O63" t="s">
        <v>442</v>
      </c>
      <c r="P63" t="s">
        <v>438</v>
      </c>
    </row>
    <row r="64" spans="1:16" x14ac:dyDescent="0.2">
      <c r="A64" s="69" t="str">
        <f t="shared" si="0"/>
        <v>Doug Hamilton</v>
      </c>
      <c r="B64" s="69" t="str">
        <f t="shared" si="1"/>
        <v>7205503572</v>
      </c>
      <c r="C64" s="69" t="str">
        <f t="shared" si="2"/>
        <v>Doug Hamilton</v>
      </c>
      <c r="D64" s="69" t="str">
        <f t="shared" si="3"/>
        <v>7205503572</v>
      </c>
      <c r="E64">
        <v>140194567</v>
      </c>
      <c r="F64">
        <v>600844681</v>
      </c>
      <c r="G64">
        <v>802</v>
      </c>
      <c r="H64" t="s">
        <v>12</v>
      </c>
      <c r="I64" t="s">
        <v>611</v>
      </c>
      <c r="L64" t="str">
        <f>"7205503572"</f>
        <v>7205503572</v>
      </c>
      <c r="M64" t="s">
        <v>612</v>
      </c>
      <c r="N64" t="s">
        <v>612</v>
      </c>
      <c r="O64" t="s">
        <v>442</v>
      </c>
      <c r="P64" t="s">
        <v>442</v>
      </c>
    </row>
    <row r="65" spans="1:16" x14ac:dyDescent="0.2">
      <c r="A65" s="69" t="str">
        <f t="shared" si="0"/>
        <v>Katrina Harms</v>
      </c>
      <c r="B65" s="69" t="str">
        <f t="shared" si="1"/>
        <v>3032494141</v>
      </c>
      <c r="C65" s="69" t="str">
        <f t="shared" si="2"/>
        <v>Katrina Harms</v>
      </c>
      <c r="D65" s="69" t="str">
        <f t="shared" si="3"/>
        <v>3032494141</v>
      </c>
      <c r="E65">
        <v>122990667</v>
      </c>
      <c r="F65">
        <v>8081840</v>
      </c>
      <c r="G65">
        <v>904</v>
      </c>
      <c r="H65" t="s">
        <v>613</v>
      </c>
      <c r="I65" t="s">
        <v>614</v>
      </c>
      <c r="J65" t="s">
        <v>507</v>
      </c>
      <c r="L65" t="str">
        <f>"3032494141"</f>
        <v>3032494141</v>
      </c>
      <c r="M65" t="s">
        <v>615</v>
      </c>
      <c r="N65" t="s">
        <v>615</v>
      </c>
      <c r="O65" t="s">
        <v>442</v>
      </c>
      <c r="P65" t="s">
        <v>442</v>
      </c>
    </row>
    <row r="66" spans="1:16" x14ac:dyDescent="0.2">
      <c r="A66" s="69" t="str">
        <f t="shared" si="0"/>
        <v>Lisa Harris</v>
      </c>
      <c r="B66" s="69">
        <f t="shared" si="1"/>
        <v>0</v>
      </c>
      <c r="C66" s="69" t="str">
        <f t="shared" si="2"/>
        <v/>
      </c>
      <c r="D66" s="69" t="str">
        <f t="shared" si="3"/>
        <v/>
      </c>
      <c r="E66">
        <v>107152547</v>
      </c>
      <c r="F66">
        <v>8083901</v>
      </c>
      <c r="G66">
        <v>843</v>
      </c>
      <c r="H66" t="s">
        <v>616</v>
      </c>
      <c r="I66" t="s">
        <v>617</v>
      </c>
      <c r="J66" t="s">
        <v>618</v>
      </c>
      <c r="M66" t="s">
        <v>619</v>
      </c>
      <c r="N66" t="s">
        <v>619</v>
      </c>
      <c r="O66" t="s">
        <v>442</v>
      </c>
      <c r="P66" t="s">
        <v>438</v>
      </c>
    </row>
    <row r="67" spans="1:16" x14ac:dyDescent="0.2">
      <c r="A67" s="69" t="str">
        <f t="shared" ref="A67:A130" si="4">IF($O67="yes",($I67&amp;" "&amp;$H67),"")</f>
        <v>Michael Hart</v>
      </c>
      <c r="B67" s="69" t="str">
        <f t="shared" ref="B67:B130" si="5">IF($O67="yes",($L67),"")</f>
        <v>3039491542</v>
      </c>
      <c r="C67" s="69" t="str">
        <f t="shared" ref="C67:C130" si="6">IF($P67="yes",($I67&amp;" "&amp;$H67),"")</f>
        <v/>
      </c>
      <c r="D67" s="69" t="str">
        <f t="shared" ref="D67:D130" si="7">IF($P67="yes",($L67),"")</f>
        <v/>
      </c>
      <c r="E67">
        <v>107152549</v>
      </c>
      <c r="F67">
        <v>8083240</v>
      </c>
      <c r="G67">
        <v>812</v>
      </c>
      <c r="H67" t="s">
        <v>620</v>
      </c>
      <c r="I67" t="s">
        <v>24</v>
      </c>
      <c r="L67" t="str">
        <f>"3039491542"</f>
        <v>3039491542</v>
      </c>
      <c r="M67" t="s">
        <v>621</v>
      </c>
      <c r="N67" t="s">
        <v>622</v>
      </c>
      <c r="O67" t="s">
        <v>442</v>
      </c>
      <c r="P67" t="s">
        <v>438</v>
      </c>
    </row>
    <row r="68" spans="1:16" x14ac:dyDescent="0.2">
      <c r="A68" s="69" t="str">
        <f t="shared" si="4"/>
        <v>Earl Hauserman</v>
      </c>
      <c r="B68" s="69" t="str">
        <f t="shared" si="5"/>
        <v>7208901212</v>
      </c>
      <c r="C68" s="69" t="str">
        <f t="shared" si="6"/>
        <v/>
      </c>
      <c r="D68" s="69" t="str">
        <f t="shared" si="7"/>
        <v/>
      </c>
      <c r="E68">
        <v>107152552</v>
      </c>
      <c r="F68">
        <v>8086208</v>
      </c>
      <c r="G68">
        <v>200</v>
      </c>
      <c r="H68" t="s">
        <v>623</v>
      </c>
      <c r="I68" t="s">
        <v>547</v>
      </c>
      <c r="L68" t="str">
        <f>"7208901212"</f>
        <v>7208901212</v>
      </c>
      <c r="M68" t="s">
        <v>624</v>
      </c>
      <c r="N68" t="s">
        <v>624</v>
      </c>
      <c r="O68" t="s">
        <v>442</v>
      </c>
      <c r="P68" t="s">
        <v>438</v>
      </c>
    </row>
    <row r="69" spans="1:16" x14ac:dyDescent="0.2">
      <c r="A69" s="69" t="str">
        <f t="shared" si="4"/>
        <v>Anita Hueftle</v>
      </c>
      <c r="B69" s="69" t="str">
        <f t="shared" si="5"/>
        <v>7207893042</v>
      </c>
      <c r="C69" s="69" t="str">
        <f t="shared" si="6"/>
        <v>Anita Hueftle</v>
      </c>
      <c r="D69" s="69" t="str">
        <f t="shared" si="7"/>
        <v>7207893042</v>
      </c>
      <c r="E69">
        <v>109594285</v>
      </c>
      <c r="F69">
        <v>600738018</v>
      </c>
      <c r="G69">
        <v>846</v>
      </c>
      <c r="H69" t="s">
        <v>625</v>
      </c>
      <c r="I69" t="s">
        <v>626</v>
      </c>
      <c r="L69" t="str">
        <f>"7207893042"</f>
        <v>7207893042</v>
      </c>
      <c r="M69" t="s">
        <v>627</v>
      </c>
      <c r="N69" t="s">
        <v>627</v>
      </c>
      <c r="O69" t="s">
        <v>442</v>
      </c>
      <c r="P69" t="s">
        <v>442</v>
      </c>
    </row>
    <row r="70" spans="1:16" x14ac:dyDescent="0.2">
      <c r="A70" s="69" t="str">
        <f t="shared" si="4"/>
        <v>marilyn hughes</v>
      </c>
      <c r="B70" s="69" t="str">
        <f t="shared" si="5"/>
        <v>3038810816</v>
      </c>
      <c r="C70" s="69" t="str">
        <f t="shared" si="6"/>
        <v/>
      </c>
      <c r="D70" s="69" t="str">
        <f t="shared" si="7"/>
        <v/>
      </c>
      <c r="E70">
        <v>107152594</v>
      </c>
      <c r="F70">
        <v>8112611</v>
      </c>
      <c r="G70">
        <v>615</v>
      </c>
      <c r="H70" t="s">
        <v>628</v>
      </c>
      <c r="I70" t="s">
        <v>629</v>
      </c>
      <c r="J70" t="s">
        <v>630</v>
      </c>
      <c r="L70" t="str">
        <f>"3038810816"</f>
        <v>3038810816</v>
      </c>
      <c r="M70" t="s">
        <v>75</v>
      </c>
      <c r="N70" t="s">
        <v>75</v>
      </c>
      <c r="O70" t="s">
        <v>442</v>
      </c>
      <c r="P70" t="s">
        <v>438</v>
      </c>
    </row>
    <row r="71" spans="1:16" x14ac:dyDescent="0.2">
      <c r="A71" s="69" t="str">
        <f t="shared" si="4"/>
        <v>Robert Hullinghorst</v>
      </c>
      <c r="B71" s="69" t="str">
        <f t="shared" si="5"/>
        <v>7203257748</v>
      </c>
      <c r="C71" s="69" t="str">
        <f t="shared" si="6"/>
        <v>Robert Hullinghorst</v>
      </c>
      <c r="D71" s="69" t="str">
        <f t="shared" si="7"/>
        <v>7203257748</v>
      </c>
      <c r="E71">
        <v>107152596</v>
      </c>
      <c r="F71">
        <v>8112316</v>
      </c>
      <c r="G71">
        <v>508</v>
      </c>
      <c r="H71" t="s">
        <v>631</v>
      </c>
      <c r="I71" t="s">
        <v>26</v>
      </c>
      <c r="J71" t="s">
        <v>632</v>
      </c>
      <c r="L71" t="str">
        <f>"7203257748"</f>
        <v>7203257748</v>
      </c>
      <c r="M71" t="s">
        <v>633</v>
      </c>
      <c r="N71" t="s">
        <v>633</v>
      </c>
      <c r="O71" t="s">
        <v>442</v>
      </c>
      <c r="P71" t="s">
        <v>442</v>
      </c>
    </row>
    <row r="72" spans="1:16" x14ac:dyDescent="0.2">
      <c r="A72" s="69" t="str">
        <f t="shared" si="4"/>
        <v/>
      </c>
      <c r="B72" s="69" t="str">
        <f t="shared" si="5"/>
        <v/>
      </c>
      <c r="C72" s="69" t="str">
        <f t="shared" si="6"/>
        <v>Judith Jaehning</v>
      </c>
      <c r="D72" s="69" t="str">
        <f t="shared" si="7"/>
        <v>3038181931</v>
      </c>
      <c r="E72">
        <v>107152606</v>
      </c>
      <c r="F72">
        <v>8119254</v>
      </c>
      <c r="G72">
        <v>827</v>
      </c>
      <c r="H72" t="s">
        <v>634</v>
      </c>
      <c r="I72" t="s">
        <v>635</v>
      </c>
      <c r="L72" t="str">
        <f>"3038181931"</f>
        <v>3038181931</v>
      </c>
      <c r="M72" t="s">
        <v>636</v>
      </c>
      <c r="N72" t="s">
        <v>636</v>
      </c>
      <c r="O72" t="s">
        <v>438</v>
      </c>
      <c r="P72" t="s">
        <v>442</v>
      </c>
    </row>
    <row r="73" spans="1:16" x14ac:dyDescent="0.2">
      <c r="A73" s="69" t="str">
        <f t="shared" si="4"/>
        <v>Elise Jones</v>
      </c>
      <c r="B73" s="69" t="str">
        <f t="shared" si="5"/>
        <v>3035798789</v>
      </c>
      <c r="C73" s="69" t="str">
        <f t="shared" si="6"/>
        <v/>
      </c>
      <c r="D73" s="69" t="str">
        <f t="shared" si="7"/>
        <v/>
      </c>
      <c r="E73">
        <v>107152625</v>
      </c>
      <c r="F73">
        <v>8128322</v>
      </c>
      <c r="G73">
        <v>829</v>
      </c>
      <c r="H73" t="s">
        <v>637</v>
      </c>
      <c r="I73" t="s">
        <v>638</v>
      </c>
      <c r="L73" t="str">
        <f>"3035798789"</f>
        <v>3035798789</v>
      </c>
      <c r="M73" t="s">
        <v>639</v>
      </c>
      <c r="N73" t="s">
        <v>639</v>
      </c>
      <c r="O73" t="s">
        <v>442</v>
      </c>
      <c r="P73" t="s">
        <v>438</v>
      </c>
    </row>
    <row r="74" spans="1:16" x14ac:dyDescent="0.2">
      <c r="A74" s="69" t="str">
        <f t="shared" si="4"/>
        <v>Darcy Juday</v>
      </c>
      <c r="B74" s="69" t="str">
        <f t="shared" si="5"/>
        <v>3037091001</v>
      </c>
      <c r="C74" s="69" t="str">
        <f t="shared" si="6"/>
        <v/>
      </c>
      <c r="D74" s="69" t="str">
        <f t="shared" si="7"/>
        <v/>
      </c>
      <c r="E74">
        <v>118591525</v>
      </c>
      <c r="F74">
        <v>8379516</v>
      </c>
      <c r="G74">
        <v>608</v>
      </c>
      <c r="H74" t="s">
        <v>1539</v>
      </c>
      <c r="I74" t="s">
        <v>1540</v>
      </c>
      <c r="L74" t="str">
        <f>"3037091001"</f>
        <v>3037091001</v>
      </c>
      <c r="M74" t="s">
        <v>1541</v>
      </c>
      <c r="N74" t="s">
        <v>1541</v>
      </c>
      <c r="O74" t="s">
        <v>442</v>
      </c>
      <c r="P74" t="s">
        <v>438</v>
      </c>
    </row>
    <row r="75" spans="1:16" x14ac:dyDescent="0.2">
      <c r="A75" s="69" t="str">
        <f t="shared" si="4"/>
        <v>Lenore Kingston</v>
      </c>
      <c r="B75" s="69" t="str">
        <f t="shared" si="5"/>
        <v>2489331107</v>
      </c>
      <c r="C75" s="69" t="str">
        <f t="shared" si="6"/>
        <v/>
      </c>
      <c r="D75" s="69" t="str">
        <f t="shared" si="7"/>
        <v/>
      </c>
      <c r="E75">
        <v>107152670</v>
      </c>
      <c r="F75">
        <v>8146389</v>
      </c>
      <c r="G75">
        <v>406</v>
      </c>
      <c r="H75" t="s">
        <v>640</v>
      </c>
      <c r="I75" t="s">
        <v>641</v>
      </c>
      <c r="J75" t="s">
        <v>642</v>
      </c>
      <c r="L75" t="str">
        <f>"2489331107"</f>
        <v>2489331107</v>
      </c>
      <c r="M75" t="s">
        <v>643</v>
      </c>
      <c r="N75" t="s">
        <v>643</v>
      </c>
      <c r="O75" t="s">
        <v>442</v>
      </c>
      <c r="P75" t="s">
        <v>438</v>
      </c>
    </row>
    <row r="76" spans="1:16" x14ac:dyDescent="0.2">
      <c r="A76" s="69" t="str">
        <f t="shared" si="4"/>
        <v>David Kline</v>
      </c>
      <c r="B76" s="69" t="str">
        <f t="shared" si="5"/>
        <v>7209383466</v>
      </c>
      <c r="C76" s="69" t="str">
        <f t="shared" si="6"/>
        <v>David Kline</v>
      </c>
      <c r="D76" s="69" t="str">
        <f t="shared" si="7"/>
        <v>7209383466</v>
      </c>
      <c r="E76">
        <v>118591584</v>
      </c>
      <c r="F76">
        <v>8148214</v>
      </c>
      <c r="G76">
        <v>825</v>
      </c>
      <c r="H76" t="s">
        <v>644</v>
      </c>
      <c r="I76" t="s">
        <v>54</v>
      </c>
      <c r="L76" t="str">
        <f>"7209383466"</f>
        <v>7209383466</v>
      </c>
      <c r="M76" t="s">
        <v>645</v>
      </c>
      <c r="N76" t="s">
        <v>645</v>
      </c>
      <c r="O76" t="s">
        <v>442</v>
      </c>
      <c r="P76" t="s">
        <v>442</v>
      </c>
    </row>
    <row r="77" spans="1:16" x14ac:dyDescent="0.2">
      <c r="A77" s="69" t="str">
        <f t="shared" si="4"/>
        <v/>
      </c>
      <c r="B77" s="69" t="str">
        <f t="shared" si="5"/>
        <v/>
      </c>
      <c r="C77" s="69" t="str">
        <f t="shared" si="6"/>
        <v>Marie Knowles</v>
      </c>
      <c r="D77" s="69" t="str">
        <f t="shared" si="7"/>
        <v>2024222589</v>
      </c>
      <c r="E77">
        <v>148556793</v>
      </c>
      <c r="F77">
        <v>601631293</v>
      </c>
      <c r="G77">
        <v>402</v>
      </c>
      <c r="H77" t="s">
        <v>646</v>
      </c>
      <c r="I77" t="s">
        <v>618</v>
      </c>
      <c r="J77" t="s">
        <v>647</v>
      </c>
      <c r="L77" t="str">
        <f>"2024222589"</f>
        <v>2024222589</v>
      </c>
      <c r="M77" t="s">
        <v>648</v>
      </c>
      <c r="N77" t="s">
        <v>648</v>
      </c>
      <c r="O77" t="s">
        <v>438</v>
      </c>
      <c r="P77" t="s">
        <v>442</v>
      </c>
    </row>
    <row r="78" spans="1:16" x14ac:dyDescent="0.2">
      <c r="A78" s="69" t="str">
        <f t="shared" si="4"/>
        <v>Karen Kochanski</v>
      </c>
      <c r="B78" s="69" t="str">
        <f t="shared" si="5"/>
        <v>7208996046</v>
      </c>
      <c r="C78" s="69" t="str">
        <f t="shared" si="6"/>
        <v/>
      </c>
      <c r="D78" s="69" t="str">
        <f t="shared" si="7"/>
        <v/>
      </c>
      <c r="E78">
        <v>118591593</v>
      </c>
      <c r="F78">
        <v>8150780</v>
      </c>
      <c r="G78">
        <v>636</v>
      </c>
      <c r="H78" t="s">
        <v>649</v>
      </c>
      <c r="I78" t="s">
        <v>67</v>
      </c>
      <c r="J78" t="s">
        <v>650</v>
      </c>
      <c r="L78" t="str">
        <f>"7208996046"</f>
        <v>7208996046</v>
      </c>
      <c r="M78" t="s">
        <v>651</v>
      </c>
      <c r="N78" t="s">
        <v>651</v>
      </c>
      <c r="O78" t="s">
        <v>442</v>
      </c>
      <c r="P78" t="s">
        <v>438</v>
      </c>
    </row>
    <row r="79" spans="1:16" x14ac:dyDescent="0.2">
      <c r="A79" s="69" t="str">
        <f t="shared" si="4"/>
        <v>Judith Koslov</v>
      </c>
      <c r="B79" s="69" t="str">
        <f t="shared" si="5"/>
        <v>3036788249</v>
      </c>
      <c r="C79" s="69" t="str">
        <f t="shared" si="6"/>
        <v>Judith Koslov</v>
      </c>
      <c r="D79" s="69" t="str">
        <f t="shared" si="7"/>
        <v>3036788249</v>
      </c>
      <c r="E79">
        <v>122989707</v>
      </c>
      <c r="F79">
        <v>8153158</v>
      </c>
      <c r="G79">
        <v>703</v>
      </c>
      <c r="H79" t="s">
        <v>652</v>
      </c>
      <c r="I79" t="s">
        <v>635</v>
      </c>
      <c r="J79" t="s">
        <v>653</v>
      </c>
      <c r="L79" t="str">
        <f>"3036788249"</f>
        <v>3036788249</v>
      </c>
      <c r="M79" t="s">
        <v>654</v>
      </c>
      <c r="N79" t="s">
        <v>654</v>
      </c>
      <c r="O79" t="s">
        <v>442</v>
      </c>
      <c r="P79" t="s">
        <v>442</v>
      </c>
    </row>
    <row r="80" spans="1:16" x14ac:dyDescent="0.2">
      <c r="A80" s="69" t="str">
        <f t="shared" si="4"/>
        <v>Tamar Krantz</v>
      </c>
      <c r="B80" s="69" t="str">
        <f t="shared" si="5"/>
        <v>7203523679</v>
      </c>
      <c r="C80" s="69" t="str">
        <f t="shared" si="6"/>
        <v>Tamar Krantz</v>
      </c>
      <c r="D80" s="69" t="str">
        <f t="shared" si="7"/>
        <v>7203523679</v>
      </c>
      <c r="E80">
        <v>122990350</v>
      </c>
      <c r="F80">
        <v>8151363</v>
      </c>
      <c r="G80">
        <v>205</v>
      </c>
      <c r="H80" t="s">
        <v>655</v>
      </c>
      <c r="I80" t="s">
        <v>656</v>
      </c>
      <c r="L80" t="str">
        <f>"7203523679"</f>
        <v>7203523679</v>
      </c>
      <c r="M80" t="s">
        <v>657</v>
      </c>
      <c r="N80" t="s">
        <v>657</v>
      </c>
      <c r="O80" t="s">
        <v>442</v>
      </c>
      <c r="P80" t="s">
        <v>442</v>
      </c>
    </row>
    <row r="81" spans="1:16" x14ac:dyDescent="0.2">
      <c r="A81" s="69" t="str">
        <f t="shared" si="4"/>
        <v>Joseph Kulikauskas</v>
      </c>
      <c r="B81" s="69" t="str">
        <f t="shared" si="5"/>
        <v>7203400436</v>
      </c>
      <c r="C81" s="69" t="str">
        <f t="shared" si="6"/>
        <v>Joseph Kulikauskas</v>
      </c>
      <c r="D81" s="69" t="str">
        <f t="shared" si="7"/>
        <v>7203400436</v>
      </c>
      <c r="E81">
        <v>122989709</v>
      </c>
      <c r="F81">
        <v>8158088</v>
      </c>
      <c r="G81">
        <v>644</v>
      </c>
      <c r="H81" t="s">
        <v>658</v>
      </c>
      <c r="I81" t="s">
        <v>659</v>
      </c>
      <c r="J81" t="s">
        <v>660</v>
      </c>
      <c r="L81" t="str">
        <f>"7203400436"</f>
        <v>7203400436</v>
      </c>
      <c r="M81" t="s">
        <v>661</v>
      </c>
      <c r="N81" t="s">
        <v>661</v>
      </c>
      <c r="O81" t="s">
        <v>442</v>
      </c>
      <c r="P81" t="s">
        <v>442</v>
      </c>
    </row>
    <row r="82" spans="1:16" x14ac:dyDescent="0.2">
      <c r="A82" s="69" t="str">
        <f t="shared" si="4"/>
        <v>Jesse Kumin</v>
      </c>
      <c r="B82" s="69" t="str">
        <f t="shared" si="5"/>
        <v>7204437542</v>
      </c>
      <c r="C82" s="69" t="str">
        <f t="shared" si="6"/>
        <v/>
      </c>
      <c r="D82" s="69" t="str">
        <f t="shared" si="7"/>
        <v/>
      </c>
      <c r="E82">
        <v>118591616</v>
      </c>
      <c r="F82">
        <v>8156177</v>
      </c>
      <c r="G82">
        <v>805</v>
      </c>
      <c r="H82" t="s">
        <v>662</v>
      </c>
      <c r="I82" t="s">
        <v>663</v>
      </c>
      <c r="L82" t="str">
        <f>"7204437542"</f>
        <v>7204437542</v>
      </c>
      <c r="M82" t="s">
        <v>664</v>
      </c>
      <c r="N82" t="s">
        <v>664</v>
      </c>
      <c r="O82" t="s">
        <v>442</v>
      </c>
      <c r="P82" t="s">
        <v>438</v>
      </c>
    </row>
    <row r="83" spans="1:16" x14ac:dyDescent="0.2">
      <c r="A83" s="69" t="str">
        <f t="shared" si="4"/>
        <v>Celeste Landry</v>
      </c>
      <c r="B83" s="69" t="str">
        <f t="shared" si="5"/>
        <v>3032345678</v>
      </c>
      <c r="C83" s="69" t="str">
        <f t="shared" si="6"/>
        <v/>
      </c>
      <c r="D83" s="69" t="str">
        <f t="shared" si="7"/>
        <v/>
      </c>
      <c r="E83">
        <v>107152687</v>
      </c>
      <c r="F83">
        <v>8160225</v>
      </c>
      <c r="G83">
        <v>829</v>
      </c>
      <c r="H83" t="s">
        <v>665</v>
      </c>
      <c r="I83" t="s">
        <v>666</v>
      </c>
      <c r="L83" t="str">
        <f>"3032345678"</f>
        <v>3032345678</v>
      </c>
      <c r="M83" t="s">
        <v>667</v>
      </c>
      <c r="N83" t="s">
        <v>667</v>
      </c>
      <c r="O83" t="s">
        <v>442</v>
      </c>
      <c r="P83" t="s">
        <v>438</v>
      </c>
    </row>
    <row r="84" spans="1:16" x14ac:dyDescent="0.2">
      <c r="A84" s="69" t="str">
        <f t="shared" si="4"/>
        <v>Kristopher Larsen</v>
      </c>
      <c r="B84" s="69" t="str">
        <f t="shared" si="5"/>
        <v>3039492843</v>
      </c>
      <c r="C84" s="69" t="str">
        <f t="shared" si="6"/>
        <v>Kristopher Larsen</v>
      </c>
      <c r="D84" s="69" t="str">
        <f t="shared" si="7"/>
        <v>3039492843</v>
      </c>
      <c r="E84">
        <v>122989711</v>
      </c>
      <c r="F84">
        <v>8161695</v>
      </c>
      <c r="G84">
        <v>904</v>
      </c>
      <c r="H84" t="s">
        <v>668</v>
      </c>
      <c r="I84" t="s">
        <v>669</v>
      </c>
      <c r="J84" t="s">
        <v>13</v>
      </c>
      <c r="L84" t="str">
        <f>"3039492843"</f>
        <v>3039492843</v>
      </c>
      <c r="M84" t="s">
        <v>670</v>
      </c>
      <c r="N84" t="s">
        <v>671</v>
      </c>
      <c r="O84" t="s">
        <v>442</v>
      </c>
      <c r="P84" t="s">
        <v>442</v>
      </c>
    </row>
    <row r="85" spans="1:16" x14ac:dyDescent="0.2">
      <c r="A85" s="69" t="str">
        <f t="shared" si="4"/>
        <v/>
      </c>
      <c r="B85" s="69" t="str">
        <f t="shared" si="5"/>
        <v/>
      </c>
      <c r="C85" s="69" t="str">
        <f t="shared" si="6"/>
        <v/>
      </c>
      <c r="D85" s="69" t="str">
        <f t="shared" si="7"/>
        <v/>
      </c>
      <c r="E85">
        <v>107272604</v>
      </c>
      <c r="F85">
        <v>8170309</v>
      </c>
      <c r="G85">
        <v>616</v>
      </c>
      <c r="H85" t="s">
        <v>672</v>
      </c>
      <c r="I85" t="s">
        <v>673</v>
      </c>
      <c r="J85" t="s">
        <v>674</v>
      </c>
      <c r="L85" t="str">
        <f>"3036821251"</f>
        <v>3036821251</v>
      </c>
      <c r="M85" t="s">
        <v>675</v>
      </c>
      <c r="N85" t="s">
        <v>675</v>
      </c>
      <c r="O85" t="s">
        <v>438</v>
      </c>
      <c r="P85" t="s">
        <v>438</v>
      </c>
    </row>
    <row r="86" spans="1:16" x14ac:dyDescent="0.2">
      <c r="A86" s="69" t="str">
        <f t="shared" si="4"/>
        <v>Allison Lotspeich</v>
      </c>
      <c r="B86" s="69" t="str">
        <f t="shared" si="5"/>
        <v>3036688114</v>
      </c>
      <c r="C86" s="69" t="str">
        <f t="shared" si="6"/>
        <v>Allison Lotspeich</v>
      </c>
      <c r="D86" s="69" t="str">
        <f t="shared" si="7"/>
        <v>3036688114</v>
      </c>
      <c r="E86">
        <v>107152724</v>
      </c>
      <c r="F86">
        <v>8183204</v>
      </c>
      <c r="G86">
        <v>407</v>
      </c>
      <c r="H86" t="s">
        <v>676</v>
      </c>
      <c r="I86" t="s">
        <v>677</v>
      </c>
      <c r="J86" t="s">
        <v>480</v>
      </c>
      <c r="L86" t="str">
        <f>"3036688114"</f>
        <v>3036688114</v>
      </c>
      <c r="M86" t="s">
        <v>678</v>
      </c>
      <c r="N86" t="s">
        <v>678</v>
      </c>
      <c r="O86" t="s">
        <v>442</v>
      </c>
      <c r="P86" t="s">
        <v>442</v>
      </c>
    </row>
    <row r="87" spans="1:16" x14ac:dyDescent="0.2">
      <c r="A87" s="69" t="str">
        <f t="shared" si="4"/>
        <v>Lyn Lowry</v>
      </c>
      <c r="B87" s="69" t="str">
        <f t="shared" si="5"/>
        <v>5555555555</v>
      </c>
      <c r="C87" s="69" t="str">
        <f t="shared" si="6"/>
        <v>Lyn Lowry</v>
      </c>
      <c r="D87" s="69" t="str">
        <f t="shared" si="7"/>
        <v>5555555555</v>
      </c>
      <c r="E87">
        <v>107152726</v>
      </c>
      <c r="F87">
        <v>601112216</v>
      </c>
      <c r="G87">
        <v>633</v>
      </c>
      <c r="H87" t="s">
        <v>679</v>
      </c>
      <c r="I87" t="s">
        <v>680</v>
      </c>
      <c r="L87" t="str">
        <f>"5555555555"</f>
        <v>5555555555</v>
      </c>
      <c r="M87" t="s">
        <v>681</v>
      </c>
      <c r="N87" t="s">
        <v>681</v>
      </c>
      <c r="O87" t="s">
        <v>442</v>
      </c>
      <c r="P87" t="s">
        <v>442</v>
      </c>
    </row>
    <row r="88" spans="1:16" x14ac:dyDescent="0.2">
      <c r="A88" s="69" t="str">
        <f t="shared" si="4"/>
        <v/>
      </c>
      <c r="B88" s="69" t="str">
        <f t="shared" si="5"/>
        <v/>
      </c>
      <c r="C88" s="69" t="str">
        <f t="shared" si="6"/>
        <v>John Mack</v>
      </c>
      <c r="D88" s="69" t="str">
        <f t="shared" si="7"/>
        <v>4178485511</v>
      </c>
      <c r="E88">
        <v>148560422</v>
      </c>
      <c r="F88">
        <v>602186536</v>
      </c>
      <c r="G88">
        <v>837</v>
      </c>
      <c r="H88" t="s">
        <v>1435</v>
      </c>
      <c r="I88" t="s">
        <v>740</v>
      </c>
      <c r="J88" t="s">
        <v>1436</v>
      </c>
      <c r="L88" t="str">
        <f>"4178485511"</f>
        <v>4178485511</v>
      </c>
      <c r="M88" t="s">
        <v>1437</v>
      </c>
      <c r="N88" t="s">
        <v>1437</v>
      </c>
      <c r="O88" t="s">
        <v>438</v>
      </c>
      <c r="P88" t="s">
        <v>442</v>
      </c>
    </row>
    <row r="89" spans="1:16" x14ac:dyDescent="0.2">
      <c r="A89" s="69" t="str">
        <f t="shared" si="4"/>
        <v>Kelli Macomber</v>
      </c>
      <c r="B89" s="69" t="str">
        <f t="shared" si="5"/>
        <v>7204919513</v>
      </c>
      <c r="C89" s="69" t="str">
        <f t="shared" si="6"/>
        <v/>
      </c>
      <c r="D89" s="69" t="str">
        <f t="shared" si="7"/>
        <v/>
      </c>
      <c r="E89">
        <v>135244250</v>
      </c>
      <c r="F89">
        <v>8426237</v>
      </c>
      <c r="G89">
        <v>849</v>
      </c>
      <c r="H89" t="s">
        <v>682</v>
      </c>
      <c r="I89" t="s">
        <v>683</v>
      </c>
      <c r="J89" t="s">
        <v>684</v>
      </c>
      <c r="L89" t="str">
        <f>"7204919513"</f>
        <v>7204919513</v>
      </c>
      <c r="M89" t="s">
        <v>685</v>
      </c>
      <c r="N89" t="s">
        <v>685</v>
      </c>
      <c r="O89" t="s">
        <v>442</v>
      </c>
      <c r="P89" t="s">
        <v>438</v>
      </c>
    </row>
    <row r="90" spans="1:16" x14ac:dyDescent="0.2">
      <c r="A90" s="69" t="str">
        <f t="shared" si="4"/>
        <v>Becky Martinek</v>
      </c>
      <c r="B90" s="69" t="str">
        <f t="shared" si="5"/>
        <v>3033191169</v>
      </c>
      <c r="C90" s="69" t="str">
        <f t="shared" si="6"/>
        <v>Becky Martinek</v>
      </c>
      <c r="D90" s="69" t="str">
        <f t="shared" si="7"/>
        <v>3033191169</v>
      </c>
      <c r="E90">
        <v>107152772</v>
      </c>
      <c r="F90">
        <v>8193992</v>
      </c>
      <c r="G90">
        <v>908</v>
      </c>
      <c r="H90" t="s">
        <v>686</v>
      </c>
      <c r="I90" t="s">
        <v>687</v>
      </c>
      <c r="J90" t="s">
        <v>688</v>
      </c>
      <c r="L90" t="str">
        <f>"3033191169"</f>
        <v>3033191169</v>
      </c>
      <c r="M90" t="s">
        <v>689</v>
      </c>
      <c r="N90" t="s">
        <v>689</v>
      </c>
      <c r="O90" t="s">
        <v>442</v>
      </c>
      <c r="P90" t="s">
        <v>442</v>
      </c>
    </row>
    <row r="91" spans="1:16" x14ac:dyDescent="0.2">
      <c r="A91" s="69" t="str">
        <f t="shared" si="4"/>
        <v>Gail Matthews</v>
      </c>
      <c r="B91" s="69" t="str">
        <f t="shared" si="5"/>
        <v>3036416688</v>
      </c>
      <c r="C91" s="69" t="str">
        <f t="shared" si="6"/>
        <v>Gail Matthews</v>
      </c>
      <c r="D91" s="69" t="str">
        <f t="shared" si="7"/>
        <v>3036416688</v>
      </c>
      <c r="E91">
        <v>118591352</v>
      </c>
      <c r="F91">
        <v>8198662</v>
      </c>
      <c r="G91">
        <v>314</v>
      </c>
      <c r="H91" t="s">
        <v>690</v>
      </c>
      <c r="I91" t="s">
        <v>691</v>
      </c>
      <c r="J91" t="s">
        <v>692</v>
      </c>
      <c r="L91" t="str">
        <f>"3036416688"</f>
        <v>3036416688</v>
      </c>
      <c r="M91" t="s">
        <v>693</v>
      </c>
      <c r="N91" t="s">
        <v>693</v>
      </c>
      <c r="O91" t="s">
        <v>442</v>
      </c>
      <c r="P91" t="s">
        <v>442</v>
      </c>
    </row>
    <row r="92" spans="1:16" x14ac:dyDescent="0.2">
      <c r="A92" s="69" t="str">
        <f t="shared" si="4"/>
        <v/>
      </c>
      <c r="B92" s="69" t="str">
        <f t="shared" si="5"/>
        <v/>
      </c>
      <c r="C92" s="69" t="str">
        <f t="shared" si="6"/>
        <v>Katharine Matthews</v>
      </c>
      <c r="D92" s="69" t="str">
        <f t="shared" si="7"/>
        <v>2023607600</v>
      </c>
      <c r="E92">
        <v>135259640</v>
      </c>
      <c r="F92">
        <v>602384059</v>
      </c>
      <c r="G92">
        <v>907</v>
      </c>
      <c r="H92" t="s">
        <v>690</v>
      </c>
      <c r="I92" t="s">
        <v>512</v>
      </c>
      <c r="J92" t="s">
        <v>694</v>
      </c>
      <c r="L92" t="str">
        <f>"2023607600"</f>
        <v>2023607600</v>
      </c>
      <c r="M92" t="s">
        <v>695</v>
      </c>
      <c r="N92" t="s">
        <v>695</v>
      </c>
      <c r="O92" t="s">
        <v>438</v>
      </c>
      <c r="P92" t="s">
        <v>442</v>
      </c>
    </row>
    <row r="93" spans="1:16" x14ac:dyDescent="0.2">
      <c r="A93" s="69" t="str">
        <f t="shared" si="4"/>
        <v>Judith McGoogan</v>
      </c>
      <c r="B93" s="69" t="str">
        <f t="shared" si="5"/>
        <v>6303360606</v>
      </c>
      <c r="C93" s="69" t="str">
        <f t="shared" si="6"/>
        <v/>
      </c>
      <c r="D93" s="69" t="str">
        <f t="shared" si="7"/>
        <v/>
      </c>
      <c r="E93">
        <v>107152794</v>
      </c>
      <c r="F93">
        <v>200252323</v>
      </c>
      <c r="G93">
        <v>312</v>
      </c>
      <c r="H93" t="s">
        <v>696</v>
      </c>
      <c r="I93" t="s">
        <v>635</v>
      </c>
      <c r="L93" t="str">
        <f>"6303360606"</f>
        <v>6303360606</v>
      </c>
      <c r="M93" t="s">
        <v>697</v>
      </c>
      <c r="N93" t="s">
        <v>697</v>
      </c>
      <c r="O93" t="s">
        <v>442</v>
      </c>
      <c r="P93" t="s">
        <v>438</v>
      </c>
    </row>
    <row r="94" spans="1:16" x14ac:dyDescent="0.2">
      <c r="A94" s="69" t="str">
        <f t="shared" si="4"/>
        <v>Anita Meriwether</v>
      </c>
      <c r="B94" s="69" t="str">
        <f t="shared" si="5"/>
        <v>3038349392</v>
      </c>
      <c r="C94" s="69" t="str">
        <f t="shared" si="6"/>
        <v/>
      </c>
      <c r="D94" s="69" t="str">
        <f t="shared" si="7"/>
        <v/>
      </c>
      <c r="E94">
        <v>107152812</v>
      </c>
      <c r="F94">
        <v>600818562</v>
      </c>
      <c r="G94">
        <v>606</v>
      </c>
      <c r="H94" t="s">
        <v>1202</v>
      </c>
      <c r="I94" t="s">
        <v>626</v>
      </c>
      <c r="J94" t="s">
        <v>603</v>
      </c>
      <c r="L94" t="str">
        <f>"3038349392"</f>
        <v>3038349392</v>
      </c>
      <c r="M94" t="s">
        <v>1203</v>
      </c>
      <c r="N94" t="s">
        <v>1203</v>
      </c>
      <c r="O94" t="s">
        <v>442</v>
      </c>
      <c r="P94" t="s">
        <v>438</v>
      </c>
    </row>
    <row r="95" spans="1:16" x14ac:dyDescent="0.2">
      <c r="A95" s="69" t="str">
        <f t="shared" si="4"/>
        <v/>
      </c>
      <c r="B95" s="69" t="str">
        <f t="shared" si="5"/>
        <v/>
      </c>
      <c r="C95" s="69" t="str">
        <f t="shared" si="6"/>
        <v/>
      </c>
      <c r="D95" s="69" t="str">
        <f t="shared" si="7"/>
        <v/>
      </c>
      <c r="E95">
        <v>107152814</v>
      </c>
      <c r="F95">
        <v>600532615</v>
      </c>
      <c r="G95">
        <v>616</v>
      </c>
      <c r="H95" t="s">
        <v>24</v>
      </c>
      <c r="I95" t="s">
        <v>698</v>
      </c>
      <c r="J95" t="s">
        <v>699</v>
      </c>
      <c r="L95" t="str">
        <f>"9132718163"</f>
        <v>9132718163</v>
      </c>
      <c r="M95" t="s">
        <v>700</v>
      </c>
      <c r="N95" t="s">
        <v>700</v>
      </c>
      <c r="O95" t="s">
        <v>438</v>
      </c>
      <c r="P95" t="s">
        <v>438</v>
      </c>
    </row>
    <row r="96" spans="1:16" x14ac:dyDescent="0.2">
      <c r="A96" s="69" t="str">
        <f t="shared" si="4"/>
        <v>Adrianne Middleton</v>
      </c>
      <c r="B96" s="69" t="str">
        <f t="shared" si="5"/>
        <v>3035790389</v>
      </c>
      <c r="C96" s="69" t="str">
        <f t="shared" si="6"/>
        <v>Adrianne Middleton</v>
      </c>
      <c r="D96" s="69" t="str">
        <f t="shared" si="7"/>
        <v>3035790389</v>
      </c>
      <c r="E96">
        <v>122990069</v>
      </c>
      <c r="F96">
        <v>8219339</v>
      </c>
      <c r="G96">
        <v>212</v>
      </c>
      <c r="H96" t="s">
        <v>701</v>
      </c>
      <c r="I96" t="s">
        <v>702</v>
      </c>
      <c r="L96" t="str">
        <f>"3035790389"</f>
        <v>3035790389</v>
      </c>
      <c r="M96" t="s">
        <v>703</v>
      </c>
      <c r="N96" t="s">
        <v>703</v>
      </c>
      <c r="O96" t="s">
        <v>442</v>
      </c>
      <c r="P96" t="s">
        <v>442</v>
      </c>
    </row>
    <row r="97" spans="1:16" x14ac:dyDescent="0.2">
      <c r="A97" s="69" t="str">
        <f t="shared" si="4"/>
        <v>Ingrid Moore</v>
      </c>
      <c r="B97" s="69" t="str">
        <f t="shared" si="5"/>
        <v>3037170576</v>
      </c>
      <c r="C97" s="69" t="str">
        <f t="shared" si="6"/>
        <v/>
      </c>
      <c r="D97" s="69" t="str">
        <f t="shared" si="7"/>
        <v/>
      </c>
      <c r="E97">
        <v>112051672</v>
      </c>
      <c r="F97">
        <v>8228536</v>
      </c>
      <c r="G97">
        <v>609</v>
      </c>
      <c r="H97" t="s">
        <v>1081</v>
      </c>
      <c r="I97" t="s">
        <v>1542</v>
      </c>
      <c r="L97" t="str">
        <f>"3037170576"</f>
        <v>3037170576</v>
      </c>
      <c r="M97" t="s">
        <v>1543</v>
      </c>
      <c r="N97" t="s">
        <v>1543</v>
      </c>
      <c r="O97" t="s">
        <v>442</v>
      </c>
      <c r="P97" t="s">
        <v>438</v>
      </c>
    </row>
    <row r="98" spans="1:16" x14ac:dyDescent="0.2">
      <c r="A98" s="69" t="str">
        <f t="shared" si="4"/>
        <v/>
      </c>
      <c r="B98" s="69" t="str">
        <f t="shared" si="5"/>
        <v/>
      </c>
      <c r="C98" s="69" t="str">
        <f t="shared" si="6"/>
        <v>Laurie Mora</v>
      </c>
      <c r="D98" s="69" t="str">
        <f t="shared" si="7"/>
        <v>7206416867</v>
      </c>
      <c r="E98">
        <v>135260242</v>
      </c>
      <c r="F98">
        <v>8231220</v>
      </c>
      <c r="G98">
        <v>622</v>
      </c>
      <c r="H98" t="s">
        <v>1438</v>
      </c>
      <c r="I98" t="s">
        <v>1439</v>
      </c>
      <c r="J98" t="s">
        <v>1440</v>
      </c>
      <c r="L98" t="str">
        <f>"7206416867"</f>
        <v>7206416867</v>
      </c>
      <c r="M98" t="s">
        <v>1428</v>
      </c>
      <c r="N98" t="s">
        <v>1428</v>
      </c>
      <c r="O98" t="s">
        <v>438</v>
      </c>
      <c r="P98" t="s">
        <v>442</v>
      </c>
    </row>
    <row r="99" spans="1:16" x14ac:dyDescent="0.2">
      <c r="A99" s="69" t="str">
        <f t="shared" si="4"/>
        <v>Robert Mortimer</v>
      </c>
      <c r="B99" s="69" t="str">
        <f t="shared" si="5"/>
        <v>6103087217</v>
      </c>
      <c r="C99" s="69" t="str">
        <f t="shared" si="6"/>
        <v/>
      </c>
      <c r="D99" s="69" t="str">
        <f t="shared" si="7"/>
        <v/>
      </c>
      <c r="E99">
        <v>107152840</v>
      </c>
      <c r="F99">
        <v>8233524</v>
      </c>
      <c r="G99">
        <v>811</v>
      </c>
      <c r="H99" t="s">
        <v>704</v>
      </c>
      <c r="I99" t="s">
        <v>26</v>
      </c>
      <c r="L99" t="str">
        <f>"6103087217"</f>
        <v>6103087217</v>
      </c>
      <c r="M99" t="s">
        <v>705</v>
      </c>
      <c r="N99" t="s">
        <v>705</v>
      </c>
      <c r="O99" t="s">
        <v>442</v>
      </c>
      <c r="P99" t="s">
        <v>438</v>
      </c>
    </row>
    <row r="100" spans="1:16" x14ac:dyDescent="0.2">
      <c r="A100" s="69" t="str">
        <f t="shared" si="4"/>
        <v>Clark Myers</v>
      </c>
      <c r="B100" s="69" t="str">
        <f t="shared" si="5"/>
        <v>9703713047</v>
      </c>
      <c r="C100" s="69" t="str">
        <f t="shared" si="6"/>
        <v>Clark Myers</v>
      </c>
      <c r="D100" s="69" t="str">
        <f t="shared" si="7"/>
        <v>9703713047</v>
      </c>
      <c r="E100">
        <v>148560483</v>
      </c>
      <c r="F100">
        <v>8239208</v>
      </c>
      <c r="G100">
        <v>603</v>
      </c>
      <c r="H100" t="s">
        <v>706</v>
      </c>
      <c r="I100" t="s">
        <v>494</v>
      </c>
      <c r="J100" t="s">
        <v>1441</v>
      </c>
      <c r="L100" t="str">
        <f>"9703713047"</f>
        <v>9703713047</v>
      </c>
      <c r="M100" t="s">
        <v>1429</v>
      </c>
      <c r="N100" t="s">
        <v>1429</v>
      </c>
      <c r="O100" t="s">
        <v>442</v>
      </c>
      <c r="P100" t="s">
        <v>442</v>
      </c>
    </row>
    <row r="101" spans="1:16" x14ac:dyDescent="0.2">
      <c r="A101" s="69" t="str">
        <f t="shared" si="4"/>
        <v/>
      </c>
      <c r="B101" s="69" t="str">
        <f t="shared" si="5"/>
        <v/>
      </c>
      <c r="C101" s="69" t="str">
        <f t="shared" si="6"/>
        <v>Kate Myers</v>
      </c>
      <c r="D101" s="69" t="str">
        <f t="shared" si="7"/>
        <v>7209719454</v>
      </c>
      <c r="E101">
        <v>142815034</v>
      </c>
      <c r="F101">
        <v>8236276</v>
      </c>
      <c r="G101">
        <v>501</v>
      </c>
      <c r="H101" t="s">
        <v>706</v>
      </c>
      <c r="I101" t="s">
        <v>707</v>
      </c>
      <c r="L101" t="str">
        <f>"7209719454"</f>
        <v>7209719454</v>
      </c>
      <c r="M101" t="s">
        <v>708</v>
      </c>
      <c r="N101" t="s">
        <v>708</v>
      </c>
      <c r="O101" t="s">
        <v>438</v>
      </c>
      <c r="P101" t="s">
        <v>442</v>
      </c>
    </row>
    <row r="102" spans="1:16" x14ac:dyDescent="0.2">
      <c r="A102" s="69" t="str">
        <f t="shared" si="4"/>
        <v>Jean Nelson</v>
      </c>
      <c r="B102" s="69" t="str">
        <f t="shared" si="5"/>
        <v>7204708791</v>
      </c>
      <c r="C102" s="69" t="str">
        <f t="shared" si="6"/>
        <v/>
      </c>
      <c r="D102" s="69" t="str">
        <f t="shared" si="7"/>
        <v/>
      </c>
      <c r="E102">
        <v>107152860</v>
      </c>
      <c r="F102">
        <v>600239383</v>
      </c>
      <c r="G102">
        <v>837</v>
      </c>
      <c r="H102" t="s">
        <v>41</v>
      </c>
      <c r="I102" t="s">
        <v>709</v>
      </c>
      <c r="J102" t="s">
        <v>650</v>
      </c>
      <c r="L102" t="str">
        <f>"7204708791"</f>
        <v>7204708791</v>
      </c>
      <c r="M102" t="s">
        <v>710</v>
      </c>
      <c r="N102" t="s">
        <v>710</v>
      </c>
      <c r="O102" t="s">
        <v>442</v>
      </c>
      <c r="P102" t="s">
        <v>438</v>
      </c>
    </row>
    <row r="103" spans="1:16" x14ac:dyDescent="0.2">
      <c r="A103" s="69" t="str">
        <f t="shared" si="4"/>
        <v>Nicolas Novello</v>
      </c>
      <c r="B103" s="69" t="str">
        <f t="shared" si="5"/>
        <v>5167240028</v>
      </c>
      <c r="C103" s="69" t="str">
        <f t="shared" si="6"/>
        <v/>
      </c>
      <c r="D103" s="69" t="str">
        <f t="shared" si="7"/>
        <v/>
      </c>
      <c r="E103">
        <v>139113873</v>
      </c>
      <c r="F103">
        <v>601849296</v>
      </c>
      <c r="G103">
        <v>625</v>
      </c>
      <c r="H103" t="s">
        <v>711</v>
      </c>
      <c r="I103" t="s">
        <v>712</v>
      </c>
      <c r="J103" t="s">
        <v>713</v>
      </c>
      <c r="L103" t="str">
        <f>"5167240028"</f>
        <v>5167240028</v>
      </c>
      <c r="M103" t="s">
        <v>714</v>
      </c>
      <c r="N103" t="s">
        <v>714</v>
      </c>
      <c r="O103" t="s">
        <v>442</v>
      </c>
      <c r="P103" t="s">
        <v>438</v>
      </c>
    </row>
    <row r="104" spans="1:16" x14ac:dyDescent="0.2">
      <c r="A104" s="69" t="str">
        <f t="shared" si="4"/>
        <v>Sarah Owens</v>
      </c>
      <c r="B104" s="69" t="str">
        <f t="shared" si="5"/>
        <v>8474772363</v>
      </c>
      <c r="C104" s="69" t="str">
        <f t="shared" si="6"/>
        <v/>
      </c>
      <c r="D104" s="69" t="str">
        <f t="shared" si="7"/>
        <v/>
      </c>
      <c r="E104">
        <v>139626019</v>
      </c>
      <c r="F104">
        <v>8259764</v>
      </c>
      <c r="G104">
        <v>105</v>
      </c>
      <c r="H104" t="s">
        <v>715</v>
      </c>
      <c r="I104" t="s">
        <v>673</v>
      </c>
      <c r="L104" t="str">
        <f>"8474772363"</f>
        <v>8474772363</v>
      </c>
      <c r="M104" t="s">
        <v>716</v>
      </c>
      <c r="N104" t="s">
        <v>716</v>
      </c>
      <c r="O104" t="s">
        <v>442</v>
      </c>
      <c r="P104" t="s">
        <v>438</v>
      </c>
    </row>
    <row r="105" spans="1:16" x14ac:dyDescent="0.2">
      <c r="A105" s="69" t="str">
        <f t="shared" si="4"/>
        <v>Andrew palmer</v>
      </c>
      <c r="B105" s="69" t="str">
        <f t="shared" si="5"/>
        <v>9705890007</v>
      </c>
      <c r="C105" s="69" t="str">
        <f t="shared" si="6"/>
        <v>Andrew palmer</v>
      </c>
      <c r="D105" s="69" t="str">
        <f t="shared" si="7"/>
        <v>9705890007</v>
      </c>
      <c r="E105">
        <v>138232654</v>
      </c>
      <c r="F105">
        <v>600730911</v>
      </c>
      <c r="G105">
        <v>649</v>
      </c>
      <c r="H105" t="s">
        <v>1544</v>
      </c>
      <c r="I105" t="s">
        <v>1545</v>
      </c>
      <c r="J105" t="s">
        <v>1546</v>
      </c>
      <c r="L105" t="str">
        <f>"9705890007"</f>
        <v>9705890007</v>
      </c>
      <c r="M105" t="s">
        <v>1547</v>
      </c>
      <c r="N105" t="s">
        <v>1547</v>
      </c>
      <c r="O105" t="s">
        <v>442</v>
      </c>
      <c r="P105" t="s">
        <v>442</v>
      </c>
    </row>
    <row r="106" spans="1:16" x14ac:dyDescent="0.2">
      <c r="A106" s="69" t="str">
        <f t="shared" si="4"/>
        <v>Don Parcher</v>
      </c>
      <c r="B106" s="69" t="str">
        <f t="shared" si="5"/>
        <v>6199875434</v>
      </c>
      <c r="C106" s="69" t="str">
        <f t="shared" si="6"/>
        <v/>
      </c>
      <c r="D106" s="69" t="str">
        <f t="shared" si="7"/>
        <v/>
      </c>
      <c r="E106">
        <v>118591177</v>
      </c>
      <c r="F106">
        <v>600948964</v>
      </c>
      <c r="G106">
        <v>206</v>
      </c>
      <c r="H106" t="s">
        <v>717</v>
      </c>
      <c r="I106" t="s">
        <v>718</v>
      </c>
      <c r="L106" t="str">
        <f>"6199875434"</f>
        <v>6199875434</v>
      </c>
      <c r="M106" t="s">
        <v>719</v>
      </c>
      <c r="N106" t="s">
        <v>719</v>
      </c>
      <c r="O106" t="s">
        <v>442</v>
      </c>
      <c r="P106" t="s">
        <v>438</v>
      </c>
    </row>
    <row r="107" spans="1:16" x14ac:dyDescent="0.2">
      <c r="A107" s="69" t="str">
        <f t="shared" si="4"/>
        <v>mary pettigrew</v>
      </c>
      <c r="B107" s="69" t="str">
        <f t="shared" si="5"/>
        <v>3036410078</v>
      </c>
      <c r="C107" s="69" t="str">
        <f t="shared" si="6"/>
        <v/>
      </c>
      <c r="D107" s="69" t="str">
        <f t="shared" si="7"/>
        <v/>
      </c>
      <c r="E107">
        <v>118591205</v>
      </c>
      <c r="F107">
        <v>8270146</v>
      </c>
      <c r="G107">
        <v>848</v>
      </c>
      <c r="H107" t="s">
        <v>720</v>
      </c>
      <c r="I107" t="s">
        <v>721</v>
      </c>
      <c r="L107" t="str">
        <f>"3036410078"</f>
        <v>3036410078</v>
      </c>
      <c r="M107" t="s">
        <v>722</v>
      </c>
      <c r="N107" t="s">
        <v>722</v>
      </c>
      <c r="O107" t="s">
        <v>442</v>
      </c>
      <c r="P107" t="s">
        <v>438</v>
      </c>
    </row>
    <row r="108" spans="1:16" x14ac:dyDescent="0.2">
      <c r="A108" s="69" t="str">
        <f t="shared" si="4"/>
        <v>Lawrence Pevec</v>
      </c>
      <c r="B108" s="69" t="str">
        <f t="shared" si="5"/>
        <v>3035191383</v>
      </c>
      <c r="C108" s="69" t="str">
        <f t="shared" si="6"/>
        <v/>
      </c>
      <c r="D108" s="69" t="str">
        <f t="shared" si="7"/>
        <v/>
      </c>
      <c r="E108">
        <v>121490860</v>
      </c>
      <c r="F108">
        <v>8271632</v>
      </c>
      <c r="G108">
        <v>809</v>
      </c>
      <c r="H108" t="s">
        <v>723</v>
      </c>
      <c r="I108" t="s">
        <v>523</v>
      </c>
      <c r="L108" t="str">
        <f>"3035191383"</f>
        <v>3035191383</v>
      </c>
      <c r="M108" t="s">
        <v>724</v>
      </c>
      <c r="N108" t="s">
        <v>724</v>
      </c>
      <c r="O108" t="s">
        <v>442</v>
      </c>
      <c r="P108" t="s">
        <v>438</v>
      </c>
    </row>
    <row r="109" spans="1:16" x14ac:dyDescent="0.2">
      <c r="A109" s="69" t="str">
        <f t="shared" si="4"/>
        <v>Marion Piller</v>
      </c>
      <c r="B109" s="69" t="str">
        <f t="shared" si="5"/>
        <v>3034948822</v>
      </c>
      <c r="C109" s="69" t="str">
        <f t="shared" si="6"/>
        <v>Marion Piller</v>
      </c>
      <c r="D109" s="69" t="str">
        <f t="shared" si="7"/>
        <v>3034948822</v>
      </c>
      <c r="E109">
        <v>118591214</v>
      </c>
      <c r="F109">
        <v>8276239</v>
      </c>
      <c r="G109">
        <v>852</v>
      </c>
      <c r="H109" t="s">
        <v>725</v>
      </c>
      <c r="I109" t="s">
        <v>513</v>
      </c>
      <c r="J109" t="s">
        <v>726</v>
      </c>
      <c r="L109" t="str">
        <f>"3034948822"</f>
        <v>3034948822</v>
      </c>
      <c r="M109" t="s">
        <v>727</v>
      </c>
      <c r="N109" t="s">
        <v>727</v>
      </c>
      <c r="O109" t="s">
        <v>442</v>
      </c>
      <c r="P109" t="s">
        <v>442</v>
      </c>
    </row>
    <row r="110" spans="1:16" x14ac:dyDescent="0.2">
      <c r="A110" s="69" t="str">
        <f t="shared" si="4"/>
        <v/>
      </c>
      <c r="B110" s="69" t="str">
        <f t="shared" si="5"/>
        <v/>
      </c>
      <c r="C110" s="69" t="str">
        <f t="shared" si="6"/>
        <v>steve priem</v>
      </c>
      <c r="D110" s="69" t="str">
        <f t="shared" si="7"/>
        <v>7203266904</v>
      </c>
      <c r="E110">
        <v>118590849</v>
      </c>
      <c r="F110">
        <v>8287375</v>
      </c>
      <c r="G110">
        <v>846</v>
      </c>
      <c r="H110" t="s">
        <v>1548</v>
      </c>
      <c r="I110" t="s">
        <v>1549</v>
      </c>
      <c r="L110" t="str">
        <f>"7203266904"</f>
        <v>7203266904</v>
      </c>
      <c r="M110" t="s">
        <v>1442</v>
      </c>
      <c r="N110" t="s">
        <v>1442</v>
      </c>
      <c r="O110" t="s">
        <v>438</v>
      </c>
      <c r="P110" t="s">
        <v>442</v>
      </c>
    </row>
    <row r="111" spans="1:16" x14ac:dyDescent="0.2">
      <c r="A111" s="69" t="str">
        <f t="shared" si="4"/>
        <v>Anne Reynolds-Smith</v>
      </c>
      <c r="B111" s="69" t="str">
        <f t="shared" si="5"/>
        <v>7602673610</v>
      </c>
      <c r="C111" s="69" t="str">
        <f t="shared" si="6"/>
        <v/>
      </c>
      <c r="D111" s="69" t="str">
        <f t="shared" si="7"/>
        <v/>
      </c>
      <c r="E111">
        <v>138232657</v>
      </c>
      <c r="F111">
        <v>601157530</v>
      </c>
      <c r="G111">
        <v>640</v>
      </c>
      <c r="H111" t="s">
        <v>728</v>
      </c>
      <c r="I111" t="s">
        <v>729</v>
      </c>
      <c r="J111" t="s">
        <v>72</v>
      </c>
      <c r="L111" t="str">
        <f>"7602673610"</f>
        <v>7602673610</v>
      </c>
      <c r="M111" t="s">
        <v>730</v>
      </c>
      <c r="N111" t="s">
        <v>731</v>
      </c>
      <c r="O111" t="s">
        <v>442</v>
      </c>
      <c r="P111" t="s">
        <v>438</v>
      </c>
    </row>
    <row r="112" spans="1:16" x14ac:dyDescent="0.2">
      <c r="A112" s="69" t="str">
        <f t="shared" si="4"/>
        <v>Heather Ridge</v>
      </c>
      <c r="B112" s="69" t="str">
        <f t="shared" si="5"/>
        <v>3039120220</v>
      </c>
      <c r="C112" s="69" t="str">
        <f t="shared" si="6"/>
        <v>Heather Ridge</v>
      </c>
      <c r="D112" s="69" t="str">
        <f t="shared" si="7"/>
        <v>3039120220</v>
      </c>
      <c r="E112">
        <v>148544165</v>
      </c>
      <c r="F112">
        <v>8301166</v>
      </c>
      <c r="G112">
        <v>841</v>
      </c>
      <c r="H112" t="s">
        <v>732</v>
      </c>
      <c r="I112" t="s">
        <v>733</v>
      </c>
      <c r="L112" t="str">
        <f>"3039120220"</f>
        <v>3039120220</v>
      </c>
      <c r="M112" t="s">
        <v>734</v>
      </c>
      <c r="N112" t="s">
        <v>734</v>
      </c>
      <c r="O112" t="s">
        <v>442</v>
      </c>
      <c r="P112" t="s">
        <v>442</v>
      </c>
    </row>
    <row r="113" spans="1:16" x14ac:dyDescent="0.2">
      <c r="A113" s="69" t="str">
        <f t="shared" si="4"/>
        <v/>
      </c>
      <c r="B113" s="69" t="str">
        <f t="shared" si="5"/>
        <v/>
      </c>
      <c r="C113" s="69" t="str">
        <f t="shared" si="6"/>
        <v>Wendy Rochman</v>
      </c>
      <c r="D113" s="69" t="str">
        <f t="shared" si="7"/>
        <v>3034786455</v>
      </c>
      <c r="E113">
        <v>111658835</v>
      </c>
      <c r="F113">
        <v>8304418</v>
      </c>
      <c r="G113">
        <v>847</v>
      </c>
      <c r="H113" t="s">
        <v>735</v>
      </c>
      <c r="I113" t="s">
        <v>736</v>
      </c>
      <c r="L113" t="str">
        <f>"3034786455"</f>
        <v>3034786455</v>
      </c>
      <c r="M113" t="s">
        <v>737</v>
      </c>
      <c r="N113" t="s">
        <v>737</v>
      </c>
      <c r="O113" t="s">
        <v>438</v>
      </c>
      <c r="P113" t="s">
        <v>442</v>
      </c>
    </row>
    <row r="114" spans="1:16" x14ac:dyDescent="0.2">
      <c r="A114" s="69" t="str">
        <f t="shared" si="4"/>
        <v>Ray Rodriguez</v>
      </c>
      <c r="B114" s="69" t="str">
        <f t="shared" si="5"/>
        <v>7202803949</v>
      </c>
      <c r="C114" s="69" t="str">
        <f t="shared" si="6"/>
        <v/>
      </c>
      <c r="D114" s="69" t="str">
        <f t="shared" si="7"/>
        <v/>
      </c>
      <c r="E114">
        <v>126475088</v>
      </c>
      <c r="F114">
        <v>8303032</v>
      </c>
      <c r="G114">
        <v>612</v>
      </c>
      <c r="H114" t="s">
        <v>738</v>
      </c>
      <c r="I114" t="s">
        <v>739</v>
      </c>
      <c r="J114" t="s">
        <v>740</v>
      </c>
      <c r="L114" t="str">
        <f>"7202803949"</f>
        <v>7202803949</v>
      </c>
      <c r="M114" t="s">
        <v>741</v>
      </c>
      <c r="N114" t="s">
        <v>741</v>
      </c>
      <c r="O114" t="s">
        <v>442</v>
      </c>
      <c r="P114" t="s">
        <v>438</v>
      </c>
    </row>
    <row r="115" spans="1:16" x14ac:dyDescent="0.2">
      <c r="A115" s="69" t="str">
        <f t="shared" si="4"/>
        <v>Marsha Ruggeri</v>
      </c>
      <c r="B115" s="69" t="str">
        <f t="shared" si="5"/>
        <v>3038750613</v>
      </c>
      <c r="C115" s="69" t="str">
        <f t="shared" si="6"/>
        <v>Marsha Ruggeri</v>
      </c>
      <c r="D115" s="69" t="str">
        <f t="shared" si="7"/>
        <v>3038750613</v>
      </c>
      <c r="E115">
        <v>130759530</v>
      </c>
      <c r="F115">
        <v>8315601</v>
      </c>
      <c r="G115">
        <v>310</v>
      </c>
      <c r="H115" t="s">
        <v>1550</v>
      </c>
      <c r="I115" t="s">
        <v>1551</v>
      </c>
      <c r="L115" t="str">
        <f>"3038750613"</f>
        <v>3038750613</v>
      </c>
      <c r="M115" t="s">
        <v>1552</v>
      </c>
      <c r="N115" t="s">
        <v>1552</v>
      </c>
      <c r="O115" t="s">
        <v>442</v>
      </c>
      <c r="P115" t="s">
        <v>442</v>
      </c>
    </row>
    <row r="116" spans="1:16" x14ac:dyDescent="0.2">
      <c r="A116" s="69" t="str">
        <f t="shared" si="4"/>
        <v/>
      </c>
      <c r="B116" s="69" t="str">
        <f t="shared" si="5"/>
        <v/>
      </c>
      <c r="C116" s="69" t="str">
        <f t="shared" si="6"/>
        <v/>
      </c>
      <c r="D116" s="69" t="str">
        <f t="shared" si="7"/>
        <v/>
      </c>
      <c r="E116">
        <v>122990310</v>
      </c>
      <c r="F116">
        <v>8323023</v>
      </c>
      <c r="G116">
        <v>913</v>
      </c>
      <c r="H116" t="s">
        <v>742</v>
      </c>
      <c r="I116" t="s">
        <v>26</v>
      </c>
      <c r="J116" t="s">
        <v>743</v>
      </c>
      <c r="K116" t="s">
        <v>744</v>
      </c>
      <c r="M116" t="s">
        <v>745</v>
      </c>
      <c r="N116" t="s">
        <v>745</v>
      </c>
    </row>
    <row r="117" spans="1:16" x14ac:dyDescent="0.2">
      <c r="A117" s="69" t="str">
        <f t="shared" si="4"/>
        <v/>
      </c>
      <c r="B117" s="69" t="str">
        <f t="shared" si="5"/>
        <v/>
      </c>
      <c r="C117" s="69" t="str">
        <f t="shared" si="6"/>
        <v>Nancy Schwiesow</v>
      </c>
      <c r="D117" s="69" t="str">
        <f t="shared" si="7"/>
        <v>3038184600</v>
      </c>
      <c r="E117">
        <v>107152994</v>
      </c>
      <c r="F117">
        <v>8329064</v>
      </c>
      <c r="G117">
        <v>825</v>
      </c>
      <c r="H117" t="s">
        <v>746</v>
      </c>
      <c r="I117" t="s">
        <v>58</v>
      </c>
      <c r="L117" t="str">
        <f>"3038184600"</f>
        <v>3038184600</v>
      </c>
      <c r="M117" t="s">
        <v>747</v>
      </c>
      <c r="N117" t="s">
        <v>747</v>
      </c>
      <c r="O117" t="s">
        <v>438</v>
      </c>
      <c r="P117" t="s">
        <v>442</v>
      </c>
    </row>
    <row r="118" spans="1:16" x14ac:dyDescent="0.2">
      <c r="A118" s="69" t="str">
        <f t="shared" si="4"/>
        <v>Ronald Schwiesow</v>
      </c>
      <c r="B118" s="69" t="str">
        <f t="shared" si="5"/>
        <v>7206653033</v>
      </c>
      <c r="C118" s="69" t="str">
        <f t="shared" si="6"/>
        <v/>
      </c>
      <c r="D118" s="69" t="str">
        <f t="shared" si="7"/>
        <v/>
      </c>
      <c r="E118">
        <v>122989988</v>
      </c>
      <c r="F118">
        <v>8329067</v>
      </c>
      <c r="G118">
        <v>825</v>
      </c>
      <c r="H118" t="s">
        <v>746</v>
      </c>
      <c r="I118" t="s">
        <v>748</v>
      </c>
      <c r="L118" t="str">
        <f>"7206653033"</f>
        <v>7206653033</v>
      </c>
      <c r="M118" t="s">
        <v>749</v>
      </c>
      <c r="N118" t="s">
        <v>749</v>
      </c>
      <c r="O118" t="s">
        <v>442</v>
      </c>
      <c r="P118" t="s">
        <v>438</v>
      </c>
    </row>
    <row r="119" spans="1:16" x14ac:dyDescent="0.2">
      <c r="A119" s="69" t="str">
        <f t="shared" si="4"/>
        <v/>
      </c>
      <c r="B119" s="69" t="str">
        <f t="shared" si="5"/>
        <v/>
      </c>
      <c r="C119" s="69" t="str">
        <f t="shared" si="6"/>
        <v>Bradley Shannon</v>
      </c>
      <c r="D119" s="69" t="str">
        <f t="shared" si="7"/>
        <v>9704208793</v>
      </c>
      <c r="E119">
        <v>139246707</v>
      </c>
      <c r="F119">
        <v>1390925</v>
      </c>
      <c r="G119">
        <v>606</v>
      </c>
      <c r="H119" t="s">
        <v>750</v>
      </c>
      <c r="I119" t="s">
        <v>751</v>
      </c>
      <c r="J119" t="s">
        <v>752</v>
      </c>
      <c r="L119" t="str">
        <f>"9704208793"</f>
        <v>9704208793</v>
      </c>
      <c r="M119" t="s">
        <v>753</v>
      </c>
      <c r="N119" t="s">
        <v>753</v>
      </c>
      <c r="O119" t="s">
        <v>438</v>
      </c>
      <c r="P119" t="s">
        <v>442</v>
      </c>
    </row>
    <row r="120" spans="1:16" x14ac:dyDescent="0.2">
      <c r="A120" s="69" t="str">
        <f t="shared" si="4"/>
        <v>Jena Siedler</v>
      </c>
      <c r="B120" s="69" t="str">
        <f t="shared" si="5"/>
        <v>3034805084</v>
      </c>
      <c r="C120" s="69" t="str">
        <f t="shared" si="6"/>
        <v/>
      </c>
      <c r="D120" s="69" t="str">
        <f t="shared" si="7"/>
        <v/>
      </c>
      <c r="E120">
        <v>130897930</v>
      </c>
      <c r="F120">
        <v>8343081</v>
      </c>
      <c r="G120">
        <v>311</v>
      </c>
      <c r="H120" t="s">
        <v>754</v>
      </c>
      <c r="I120" t="s">
        <v>755</v>
      </c>
      <c r="L120" t="str">
        <f>"3034805084"</f>
        <v>3034805084</v>
      </c>
      <c r="M120" t="s">
        <v>756</v>
      </c>
      <c r="N120" t="s">
        <v>756</v>
      </c>
      <c r="O120" t="s">
        <v>442</v>
      </c>
      <c r="P120" t="s">
        <v>438</v>
      </c>
    </row>
    <row r="121" spans="1:16" x14ac:dyDescent="0.2">
      <c r="A121" s="69" t="str">
        <f t="shared" si="4"/>
        <v>Jonathan Singer</v>
      </c>
      <c r="B121" s="69" t="str">
        <f t="shared" si="5"/>
        <v>3038754727</v>
      </c>
      <c r="C121" s="69" t="str">
        <f t="shared" si="6"/>
        <v/>
      </c>
      <c r="D121" s="69" t="str">
        <f t="shared" si="7"/>
        <v/>
      </c>
      <c r="E121">
        <v>107153021</v>
      </c>
      <c r="F121">
        <v>8341499</v>
      </c>
      <c r="G121">
        <v>629</v>
      </c>
      <c r="H121" t="s">
        <v>757</v>
      </c>
      <c r="I121" t="s">
        <v>758</v>
      </c>
      <c r="J121" t="s">
        <v>522</v>
      </c>
      <c r="L121" t="str">
        <f>"3038754727"</f>
        <v>3038754727</v>
      </c>
      <c r="M121" t="s">
        <v>759</v>
      </c>
      <c r="N121" t="s">
        <v>759</v>
      </c>
      <c r="O121" t="s">
        <v>442</v>
      </c>
      <c r="P121" t="s">
        <v>438</v>
      </c>
    </row>
    <row r="122" spans="1:16" x14ac:dyDescent="0.2">
      <c r="A122" s="69" t="str">
        <f t="shared" si="4"/>
        <v>Jennifer Spillman</v>
      </c>
      <c r="B122" s="69" t="str">
        <f t="shared" si="5"/>
        <v>7204385260</v>
      </c>
      <c r="C122" s="69" t="str">
        <f t="shared" si="6"/>
        <v>Jennifer Spillman</v>
      </c>
      <c r="D122" s="69" t="str">
        <f t="shared" si="7"/>
        <v>7204385260</v>
      </c>
      <c r="E122">
        <v>122989807</v>
      </c>
      <c r="F122">
        <v>8356831</v>
      </c>
      <c r="G122">
        <v>634</v>
      </c>
      <c r="H122" t="s">
        <v>760</v>
      </c>
      <c r="I122" t="s">
        <v>6</v>
      </c>
      <c r="J122" t="s">
        <v>761</v>
      </c>
      <c r="L122" t="str">
        <f>"7204385260"</f>
        <v>7204385260</v>
      </c>
      <c r="M122" t="s">
        <v>762</v>
      </c>
      <c r="N122" t="s">
        <v>762</v>
      </c>
      <c r="O122" t="s">
        <v>442</v>
      </c>
      <c r="P122" t="s">
        <v>442</v>
      </c>
    </row>
    <row r="123" spans="1:16" x14ac:dyDescent="0.2">
      <c r="A123" s="69" t="str">
        <f t="shared" si="4"/>
        <v>Janet Stonington</v>
      </c>
      <c r="B123" s="69" t="str">
        <f t="shared" si="5"/>
        <v>3035485482</v>
      </c>
      <c r="C123" s="69" t="str">
        <f t="shared" si="6"/>
        <v/>
      </c>
      <c r="D123" s="69" t="str">
        <f t="shared" si="7"/>
        <v/>
      </c>
      <c r="E123">
        <v>113569618</v>
      </c>
      <c r="F123">
        <v>8367529</v>
      </c>
      <c r="G123">
        <v>209</v>
      </c>
      <c r="H123" t="s">
        <v>763</v>
      </c>
      <c r="I123" t="s">
        <v>764</v>
      </c>
      <c r="L123" t="str">
        <f>"3035485482"</f>
        <v>3035485482</v>
      </c>
      <c r="M123" t="s">
        <v>765</v>
      </c>
      <c r="N123" t="s">
        <v>765</v>
      </c>
      <c r="O123" t="s">
        <v>442</v>
      </c>
      <c r="P123" t="s">
        <v>438</v>
      </c>
    </row>
    <row r="124" spans="1:16" x14ac:dyDescent="0.2">
      <c r="A124" s="69" t="str">
        <f t="shared" si="4"/>
        <v>Marcela Stras</v>
      </c>
      <c r="B124" s="69" t="str">
        <f t="shared" si="5"/>
        <v>2408990037</v>
      </c>
      <c r="C124" s="69" t="str">
        <f t="shared" si="6"/>
        <v/>
      </c>
      <c r="D124" s="69" t="str">
        <f t="shared" si="7"/>
        <v/>
      </c>
      <c r="E124">
        <v>130838049</v>
      </c>
      <c r="F124">
        <v>601750550</v>
      </c>
      <c r="G124">
        <v>619</v>
      </c>
      <c r="H124" t="s">
        <v>885</v>
      </c>
      <c r="I124" t="s">
        <v>886</v>
      </c>
      <c r="L124" t="str">
        <f>"2408990037"</f>
        <v>2408990037</v>
      </c>
      <c r="M124" t="s">
        <v>887</v>
      </c>
      <c r="N124" t="s">
        <v>887</v>
      </c>
      <c r="O124" t="s">
        <v>442</v>
      </c>
      <c r="P124" t="s">
        <v>438</v>
      </c>
    </row>
    <row r="125" spans="1:16" x14ac:dyDescent="0.2">
      <c r="A125" s="69" t="str">
        <f t="shared" si="4"/>
        <v>Steve Sullivan</v>
      </c>
      <c r="B125" s="69" t="str">
        <f t="shared" si="5"/>
        <v>7205877498</v>
      </c>
      <c r="C125" s="69" t="str">
        <f t="shared" si="6"/>
        <v/>
      </c>
      <c r="D125" s="69" t="str">
        <f t="shared" si="7"/>
        <v/>
      </c>
      <c r="E125">
        <v>141582166</v>
      </c>
      <c r="F125">
        <v>8373375</v>
      </c>
      <c r="G125">
        <v>313</v>
      </c>
      <c r="H125" t="s">
        <v>766</v>
      </c>
      <c r="I125" t="s">
        <v>767</v>
      </c>
      <c r="L125" t="str">
        <f>"7205877498"</f>
        <v>7205877498</v>
      </c>
      <c r="M125" t="s">
        <v>768</v>
      </c>
      <c r="N125" t="s">
        <v>768</v>
      </c>
      <c r="O125" t="s">
        <v>442</v>
      </c>
      <c r="P125" t="s">
        <v>438</v>
      </c>
    </row>
    <row r="126" spans="1:16" x14ac:dyDescent="0.2">
      <c r="A126" s="69" t="str">
        <f t="shared" si="4"/>
        <v>Chris Sydoriak</v>
      </c>
      <c r="B126" s="69" t="str">
        <f t="shared" si="5"/>
        <v>3033288583</v>
      </c>
      <c r="C126" s="69" t="str">
        <f t="shared" si="6"/>
        <v/>
      </c>
      <c r="D126" s="69" t="str">
        <f t="shared" si="7"/>
        <v/>
      </c>
      <c r="E126">
        <v>107153085</v>
      </c>
      <c r="F126">
        <v>8375088</v>
      </c>
      <c r="G126">
        <v>610</v>
      </c>
      <c r="H126" t="s">
        <v>769</v>
      </c>
      <c r="I126" t="s">
        <v>770</v>
      </c>
      <c r="L126" t="str">
        <f>"3033288583"</f>
        <v>3033288583</v>
      </c>
      <c r="M126" t="s">
        <v>771</v>
      </c>
      <c r="N126" t="s">
        <v>771</v>
      </c>
      <c r="O126" t="s">
        <v>442</v>
      </c>
      <c r="P126" t="s">
        <v>438</v>
      </c>
    </row>
    <row r="127" spans="1:16" x14ac:dyDescent="0.2">
      <c r="A127" s="69" t="str">
        <f t="shared" si="4"/>
        <v>Theresa Szczurek</v>
      </c>
      <c r="B127" s="69" t="str">
        <f t="shared" si="5"/>
        <v>3038173307</v>
      </c>
      <c r="C127" s="69" t="str">
        <f t="shared" si="6"/>
        <v/>
      </c>
      <c r="D127" s="69" t="str">
        <f t="shared" si="7"/>
        <v/>
      </c>
      <c r="E127">
        <v>111658135</v>
      </c>
      <c r="F127">
        <v>8377476</v>
      </c>
      <c r="G127">
        <v>814</v>
      </c>
      <c r="H127" t="s">
        <v>1085</v>
      </c>
      <c r="I127" t="s">
        <v>1086</v>
      </c>
      <c r="J127" t="s">
        <v>618</v>
      </c>
      <c r="L127" t="str">
        <f>"3038173307"</f>
        <v>3038173307</v>
      </c>
      <c r="M127" t="s">
        <v>1087</v>
      </c>
      <c r="N127" t="s">
        <v>1087</v>
      </c>
      <c r="O127" t="s">
        <v>442</v>
      </c>
      <c r="P127" t="s">
        <v>438</v>
      </c>
    </row>
    <row r="128" spans="1:16" x14ac:dyDescent="0.2">
      <c r="A128" s="69" t="str">
        <f t="shared" si="4"/>
        <v>Greg Tafel</v>
      </c>
      <c r="B128" s="69" t="str">
        <f t="shared" si="5"/>
        <v>3035708795</v>
      </c>
      <c r="C128" s="69" t="str">
        <f t="shared" si="6"/>
        <v/>
      </c>
      <c r="D128" s="69" t="str">
        <f t="shared" si="7"/>
        <v/>
      </c>
      <c r="E128">
        <v>109594163</v>
      </c>
      <c r="F128">
        <v>8376019</v>
      </c>
      <c r="G128">
        <v>648</v>
      </c>
      <c r="H128" t="s">
        <v>772</v>
      </c>
      <c r="I128" t="s">
        <v>773</v>
      </c>
      <c r="J128" t="s">
        <v>740</v>
      </c>
      <c r="L128" t="str">
        <f>"3035708795"</f>
        <v>3035708795</v>
      </c>
      <c r="M128" t="s">
        <v>774</v>
      </c>
      <c r="N128" t="s">
        <v>774</v>
      </c>
      <c r="O128" t="s">
        <v>442</v>
      </c>
      <c r="P128" t="s">
        <v>438</v>
      </c>
    </row>
    <row r="129" spans="1:16" x14ac:dyDescent="0.2">
      <c r="A129" s="69" t="str">
        <f t="shared" si="4"/>
        <v>Claudia Thiem</v>
      </c>
      <c r="B129" s="69" t="str">
        <f t="shared" si="5"/>
        <v>7207719631</v>
      </c>
      <c r="C129" s="69" t="str">
        <f t="shared" si="6"/>
        <v>Claudia Thiem</v>
      </c>
      <c r="D129" s="69" t="str">
        <f t="shared" si="7"/>
        <v>7207719631</v>
      </c>
      <c r="E129">
        <v>118590800</v>
      </c>
      <c r="F129">
        <v>600100948</v>
      </c>
      <c r="G129">
        <v>803</v>
      </c>
      <c r="H129" t="s">
        <v>775</v>
      </c>
      <c r="I129" t="s">
        <v>776</v>
      </c>
      <c r="L129" t="str">
        <f>"7207719631"</f>
        <v>7207719631</v>
      </c>
      <c r="M129" t="s">
        <v>777</v>
      </c>
      <c r="N129" t="s">
        <v>777</v>
      </c>
      <c r="O129" t="s">
        <v>442</v>
      </c>
      <c r="P129" t="s">
        <v>442</v>
      </c>
    </row>
    <row r="130" spans="1:16" x14ac:dyDescent="0.2">
      <c r="A130" s="69" t="str">
        <f t="shared" si="4"/>
        <v>Amy Thornbury</v>
      </c>
      <c r="B130" s="69" t="str">
        <f t="shared" si="5"/>
        <v>3038174184</v>
      </c>
      <c r="C130" s="69" t="str">
        <f t="shared" si="6"/>
        <v>Amy Thornbury</v>
      </c>
      <c r="D130" s="69" t="str">
        <f t="shared" si="7"/>
        <v>3038174184</v>
      </c>
      <c r="E130">
        <v>139254155</v>
      </c>
      <c r="F130">
        <v>8383956</v>
      </c>
      <c r="G130">
        <v>510</v>
      </c>
      <c r="H130" t="s">
        <v>778</v>
      </c>
      <c r="I130" t="s">
        <v>779</v>
      </c>
      <c r="L130" t="str">
        <f>"3038174184"</f>
        <v>3038174184</v>
      </c>
      <c r="M130" t="s">
        <v>780</v>
      </c>
      <c r="N130" t="s">
        <v>780</v>
      </c>
      <c r="O130" t="s">
        <v>442</v>
      </c>
      <c r="P130" t="s">
        <v>442</v>
      </c>
    </row>
    <row r="131" spans="1:16" x14ac:dyDescent="0.2">
      <c r="A131" s="69" t="str">
        <f t="shared" ref="A131:A145" si="8">IF($O131="yes",($I131&amp;" "&amp;$H131),"")</f>
        <v/>
      </c>
      <c r="B131" s="69" t="str">
        <f t="shared" ref="B131:B145" si="9">IF($O131="yes",($L131),"")</f>
        <v/>
      </c>
      <c r="C131" s="69" t="str">
        <f t="shared" ref="C131:C145" si="10">IF($P131="yes",($I131&amp;" "&amp;$H131),"")</f>
        <v/>
      </c>
      <c r="D131" s="69" t="str">
        <f t="shared" ref="D131:D145" si="11">IF($P131="yes",($L131),"")</f>
        <v/>
      </c>
      <c r="E131">
        <v>137298180</v>
      </c>
      <c r="F131">
        <v>8383427</v>
      </c>
      <c r="G131">
        <v>618</v>
      </c>
      <c r="H131" t="s">
        <v>1241</v>
      </c>
      <c r="I131" t="s">
        <v>528</v>
      </c>
      <c r="J131" t="s">
        <v>42</v>
      </c>
      <c r="L131" t="str">
        <f>"7203230570"</f>
        <v>7203230570</v>
      </c>
      <c r="M131" t="s">
        <v>1443</v>
      </c>
      <c r="N131" t="s">
        <v>1242</v>
      </c>
      <c r="O131" t="s">
        <v>438</v>
      </c>
      <c r="P131" t="s">
        <v>438</v>
      </c>
    </row>
    <row r="132" spans="1:16" x14ac:dyDescent="0.2">
      <c r="A132" s="69" t="str">
        <f t="shared" si="8"/>
        <v>Dalton Valette</v>
      </c>
      <c r="B132" s="69" t="str">
        <f t="shared" si="9"/>
        <v>3033788355</v>
      </c>
      <c r="C132" s="69" t="str">
        <f t="shared" si="10"/>
        <v/>
      </c>
      <c r="D132" s="69" t="str">
        <f t="shared" si="11"/>
        <v/>
      </c>
      <c r="E132">
        <v>107153114</v>
      </c>
      <c r="F132">
        <v>600992763</v>
      </c>
      <c r="G132">
        <v>106</v>
      </c>
      <c r="H132" t="s">
        <v>781</v>
      </c>
      <c r="I132" t="s">
        <v>782</v>
      </c>
      <c r="L132" t="str">
        <f>"3033788355"</f>
        <v>3033788355</v>
      </c>
      <c r="M132" t="s">
        <v>783</v>
      </c>
      <c r="N132" t="s">
        <v>783</v>
      </c>
      <c r="O132" t="s">
        <v>442</v>
      </c>
      <c r="P132" t="s">
        <v>438</v>
      </c>
    </row>
    <row r="133" spans="1:16" x14ac:dyDescent="0.2">
      <c r="A133" s="69" t="str">
        <f t="shared" si="8"/>
        <v>Dorothy Vernon</v>
      </c>
      <c r="B133" s="69" t="str">
        <f t="shared" si="9"/>
        <v>3037253647</v>
      </c>
      <c r="C133" s="69" t="str">
        <f t="shared" si="10"/>
        <v>Dorothy Vernon</v>
      </c>
      <c r="D133" s="69" t="str">
        <f t="shared" si="11"/>
        <v>3037253647</v>
      </c>
      <c r="E133">
        <v>107153122</v>
      </c>
      <c r="F133">
        <v>8401790</v>
      </c>
      <c r="G133">
        <v>705</v>
      </c>
      <c r="H133" t="s">
        <v>784</v>
      </c>
      <c r="I133" t="s">
        <v>785</v>
      </c>
      <c r="J133" t="s">
        <v>786</v>
      </c>
      <c r="L133" t="str">
        <f>"3037253647"</f>
        <v>3037253647</v>
      </c>
      <c r="M133" t="s">
        <v>787</v>
      </c>
      <c r="N133" t="s">
        <v>787</v>
      </c>
      <c r="O133" t="s">
        <v>442</v>
      </c>
      <c r="P133" t="s">
        <v>442</v>
      </c>
    </row>
    <row r="134" spans="1:16" x14ac:dyDescent="0.2">
      <c r="A134" s="69" t="str">
        <f t="shared" si="8"/>
        <v>Debby Vink</v>
      </c>
      <c r="B134" s="69" t="str">
        <f t="shared" si="9"/>
        <v>3034357687</v>
      </c>
      <c r="C134" s="69" t="str">
        <f t="shared" si="10"/>
        <v>Debby Vink</v>
      </c>
      <c r="D134" s="69" t="str">
        <f t="shared" si="11"/>
        <v>3034357687</v>
      </c>
      <c r="E134">
        <v>148553694</v>
      </c>
      <c r="F134">
        <v>8399858</v>
      </c>
      <c r="G134">
        <v>832</v>
      </c>
      <c r="H134" t="s">
        <v>788</v>
      </c>
      <c r="I134" t="s">
        <v>789</v>
      </c>
      <c r="J134" t="s">
        <v>790</v>
      </c>
      <c r="L134" t="str">
        <f>"3034357687"</f>
        <v>3034357687</v>
      </c>
      <c r="M134" t="s">
        <v>791</v>
      </c>
      <c r="N134" t="s">
        <v>791</v>
      </c>
      <c r="O134" t="s">
        <v>442</v>
      </c>
      <c r="P134" t="s">
        <v>442</v>
      </c>
    </row>
    <row r="135" spans="1:16" x14ac:dyDescent="0.2">
      <c r="A135" s="69" t="str">
        <f t="shared" si="8"/>
        <v/>
      </c>
      <c r="B135" s="69" t="str">
        <f t="shared" si="9"/>
        <v/>
      </c>
      <c r="C135" s="69" t="str">
        <f t="shared" si="10"/>
        <v>Ellen Wagner</v>
      </c>
      <c r="D135" s="69" t="str">
        <f t="shared" si="11"/>
        <v>7208792975</v>
      </c>
      <c r="E135">
        <v>119832324</v>
      </c>
      <c r="F135">
        <v>200067269</v>
      </c>
      <c r="G135">
        <v>810</v>
      </c>
      <c r="H135" t="s">
        <v>1444</v>
      </c>
      <c r="I135" t="s">
        <v>1230</v>
      </c>
      <c r="L135" t="str">
        <f>"7208792975"</f>
        <v>7208792975</v>
      </c>
      <c r="M135" t="s">
        <v>1445</v>
      </c>
      <c r="N135" t="s">
        <v>1445</v>
      </c>
      <c r="O135" t="s">
        <v>438</v>
      </c>
      <c r="P135" t="s">
        <v>442</v>
      </c>
    </row>
    <row r="136" spans="1:16" x14ac:dyDescent="0.2">
      <c r="A136" s="69" t="str">
        <f t="shared" si="8"/>
        <v>Amy Weinstein</v>
      </c>
      <c r="B136" s="69" t="str">
        <f t="shared" si="9"/>
        <v>3035891976</v>
      </c>
      <c r="C136" s="69" t="str">
        <f t="shared" si="10"/>
        <v>Amy Weinstein</v>
      </c>
      <c r="D136" s="69" t="str">
        <f t="shared" si="11"/>
        <v>3035891976</v>
      </c>
      <c r="E136">
        <v>122099501</v>
      </c>
      <c r="F136">
        <v>8412476</v>
      </c>
      <c r="G136">
        <v>704</v>
      </c>
      <c r="H136" t="s">
        <v>792</v>
      </c>
      <c r="I136" t="s">
        <v>779</v>
      </c>
      <c r="J136" t="s">
        <v>467</v>
      </c>
      <c r="L136" t="str">
        <f>"3035891976"</f>
        <v>3035891976</v>
      </c>
      <c r="M136" t="s">
        <v>793</v>
      </c>
      <c r="N136" t="s">
        <v>794</v>
      </c>
      <c r="O136" t="s">
        <v>442</v>
      </c>
      <c r="P136" t="s">
        <v>442</v>
      </c>
    </row>
    <row r="137" spans="1:16" x14ac:dyDescent="0.2">
      <c r="A137" s="69" t="str">
        <f t="shared" si="8"/>
        <v>Lorraine Weis</v>
      </c>
      <c r="B137" s="69" t="str">
        <f t="shared" si="9"/>
        <v>6073196781</v>
      </c>
      <c r="C137" s="69" t="str">
        <f t="shared" si="10"/>
        <v/>
      </c>
      <c r="D137" s="69" t="str">
        <f t="shared" si="11"/>
        <v/>
      </c>
      <c r="E137">
        <v>148555853</v>
      </c>
      <c r="F137">
        <v>8413698</v>
      </c>
      <c r="G137">
        <v>608</v>
      </c>
      <c r="H137" t="s">
        <v>68</v>
      </c>
      <c r="I137" t="s">
        <v>795</v>
      </c>
      <c r="L137" t="str">
        <f>"6073196781"</f>
        <v>6073196781</v>
      </c>
      <c r="M137" t="s">
        <v>796</v>
      </c>
      <c r="N137" t="s">
        <v>796</v>
      </c>
      <c r="O137" t="s">
        <v>442</v>
      </c>
      <c r="P137" t="s">
        <v>438</v>
      </c>
    </row>
    <row r="138" spans="1:16" x14ac:dyDescent="0.2">
      <c r="A138" s="69" t="str">
        <f t="shared" si="8"/>
        <v>Gerard Wienholt</v>
      </c>
      <c r="B138" s="69" t="str">
        <f t="shared" si="9"/>
        <v>7204682090</v>
      </c>
      <c r="C138" s="69" t="str">
        <f t="shared" si="10"/>
        <v/>
      </c>
      <c r="D138" s="69" t="str">
        <f t="shared" si="11"/>
        <v/>
      </c>
      <c r="E138">
        <v>135257330</v>
      </c>
      <c r="F138">
        <v>1465312</v>
      </c>
      <c r="G138">
        <v>620</v>
      </c>
      <c r="H138" t="s">
        <v>797</v>
      </c>
      <c r="I138" t="s">
        <v>798</v>
      </c>
      <c r="J138" t="s">
        <v>659</v>
      </c>
      <c r="L138" t="str">
        <f>"7204682090"</f>
        <v>7204682090</v>
      </c>
      <c r="M138" t="s">
        <v>799</v>
      </c>
      <c r="N138" t="s">
        <v>799</v>
      </c>
      <c r="O138" t="s">
        <v>442</v>
      </c>
      <c r="P138" t="s">
        <v>438</v>
      </c>
    </row>
    <row r="139" spans="1:16" x14ac:dyDescent="0.2">
      <c r="A139" s="69" t="str">
        <f t="shared" si="8"/>
        <v>Theodore Wild</v>
      </c>
      <c r="B139" s="69" t="str">
        <f t="shared" si="9"/>
        <v>3039104787</v>
      </c>
      <c r="C139" s="69" t="str">
        <f t="shared" si="10"/>
        <v>Theodore Wild</v>
      </c>
      <c r="D139" s="69" t="str">
        <f t="shared" si="11"/>
        <v>3039104787</v>
      </c>
      <c r="E139">
        <v>122989593</v>
      </c>
      <c r="F139">
        <v>8421882</v>
      </c>
      <c r="G139">
        <v>605</v>
      </c>
      <c r="H139" t="s">
        <v>800</v>
      </c>
      <c r="I139" t="s">
        <v>801</v>
      </c>
      <c r="J139" t="s">
        <v>26</v>
      </c>
      <c r="L139" t="str">
        <f>"3039104787"</f>
        <v>3039104787</v>
      </c>
      <c r="M139" t="s">
        <v>802</v>
      </c>
      <c r="N139" t="s">
        <v>802</v>
      </c>
      <c r="O139" t="s">
        <v>442</v>
      </c>
      <c r="P139" t="s">
        <v>442</v>
      </c>
    </row>
    <row r="140" spans="1:16" x14ac:dyDescent="0.2">
      <c r="A140" s="69" t="str">
        <f t="shared" si="8"/>
        <v>Megan Wilder</v>
      </c>
      <c r="B140" s="69" t="str">
        <f t="shared" si="9"/>
        <v>3033000000</v>
      </c>
      <c r="C140" s="69" t="str">
        <f t="shared" si="10"/>
        <v>Megan Wilder</v>
      </c>
      <c r="D140" s="69" t="str">
        <f t="shared" si="11"/>
        <v>3033000000</v>
      </c>
      <c r="E140">
        <v>111658122</v>
      </c>
      <c r="F140">
        <v>8422482</v>
      </c>
      <c r="G140">
        <v>827</v>
      </c>
      <c r="H140" t="s">
        <v>803</v>
      </c>
      <c r="I140" t="s">
        <v>530</v>
      </c>
      <c r="L140" t="str">
        <f>"3033000000"</f>
        <v>3033000000</v>
      </c>
      <c r="M140" t="s">
        <v>804</v>
      </c>
      <c r="N140" t="s">
        <v>804</v>
      </c>
      <c r="O140" t="s">
        <v>442</v>
      </c>
      <c r="P140" t="s">
        <v>442</v>
      </c>
    </row>
    <row r="141" spans="1:16" x14ac:dyDescent="0.2">
      <c r="A141" s="69" t="str">
        <f t="shared" si="8"/>
        <v>Kenneth Wilson</v>
      </c>
      <c r="B141" s="69" t="str">
        <f t="shared" si="9"/>
        <v>3037253483</v>
      </c>
      <c r="C141" s="69" t="str">
        <f t="shared" si="10"/>
        <v>Kenneth Wilson</v>
      </c>
      <c r="D141" s="69" t="str">
        <f t="shared" si="11"/>
        <v>3037253483</v>
      </c>
      <c r="E141">
        <v>107153181</v>
      </c>
      <c r="F141">
        <v>8426591</v>
      </c>
      <c r="G141">
        <v>208</v>
      </c>
      <c r="H141" t="s">
        <v>805</v>
      </c>
      <c r="I141" t="s">
        <v>52</v>
      </c>
      <c r="J141" t="s">
        <v>650</v>
      </c>
      <c r="L141" t="str">
        <f>"3037253483"</f>
        <v>3037253483</v>
      </c>
      <c r="M141" t="s">
        <v>806</v>
      </c>
      <c r="N141" t="s">
        <v>806</v>
      </c>
      <c r="O141" t="s">
        <v>442</v>
      </c>
      <c r="P141" t="s">
        <v>442</v>
      </c>
    </row>
    <row r="142" spans="1:16" x14ac:dyDescent="0.2">
      <c r="A142" s="69" t="str">
        <f t="shared" si="8"/>
        <v>Susan Winter</v>
      </c>
      <c r="B142" s="69" t="str">
        <f t="shared" si="9"/>
        <v>3035810783</v>
      </c>
      <c r="C142" s="69" t="str">
        <f t="shared" si="10"/>
        <v/>
      </c>
      <c r="D142" s="69" t="str">
        <f t="shared" si="11"/>
        <v/>
      </c>
      <c r="E142">
        <v>114937506</v>
      </c>
      <c r="F142">
        <v>8427277</v>
      </c>
      <c r="G142">
        <v>801</v>
      </c>
      <c r="H142" t="s">
        <v>807</v>
      </c>
      <c r="I142" t="s">
        <v>446</v>
      </c>
      <c r="L142" t="str">
        <f>"3035810783"</f>
        <v>3035810783</v>
      </c>
      <c r="M142" t="s">
        <v>808</v>
      </c>
      <c r="O142" t="s">
        <v>442</v>
      </c>
      <c r="P142" t="s">
        <v>438</v>
      </c>
    </row>
    <row r="143" spans="1:16" x14ac:dyDescent="0.2">
      <c r="A143" s="69" t="str">
        <f t="shared" si="8"/>
        <v>Larry Woods</v>
      </c>
      <c r="B143" s="69" t="str">
        <f t="shared" si="9"/>
        <v>7202335223</v>
      </c>
      <c r="C143" s="69" t="str">
        <f t="shared" si="10"/>
        <v/>
      </c>
      <c r="D143" s="69" t="str">
        <f t="shared" si="11"/>
        <v/>
      </c>
      <c r="E143">
        <v>118590616</v>
      </c>
      <c r="F143">
        <v>8434970</v>
      </c>
      <c r="G143">
        <v>203</v>
      </c>
      <c r="H143" t="s">
        <v>809</v>
      </c>
      <c r="I143" t="s">
        <v>810</v>
      </c>
      <c r="L143" t="str">
        <f>"7202335223"</f>
        <v>7202335223</v>
      </c>
      <c r="M143" t="s">
        <v>811</v>
      </c>
      <c r="N143" t="s">
        <v>811</v>
      </c>
      <c r="O143" t="s">
        <v>442</v>
      </c>
      <c r="P143" t="s">
        <v>438</v>
      </c>
    </row>
    <row r="144" spans="1:16" x14ac:dyDescent="0.2">
      <c r="A144" s="69" t="str">
        <f t="shared" si="8"/>
        <v/>
      </c>
      <c r="B144" s="69" t="str">
        <f t="shared" si="9"/>
        <v/>
      </c>
      <c r="C144" s="69" t="str">
        <f t="shared" si="10"/>
        <v>Sally Yerger</v>
      </c>
      <c r="D144" s="69" t="str">
        <f t="shared" si="11"/>
        <v>3039319956</v>
      </c>
      <c r="E144">
        <v>107153200</v>
      </c>
      <c r="F144">
        <v>8439063</v>
      </c>
      <c r="G144">
        <v>805</v>
      </c>
      <c r="H144" t="s">
        <v>812</v>
      </c>
      <c r="I144" t="s">
        <v>602</v>
      </c>
      <c r="L144" t="str">
        <f>"3039319956"</f>
        <v>3039319956</v>
      </c>
      <c r="M144" t="s">
        <v>813</v>
      </c>
      <c r="N144" t="s">
        <v>813</v>
      </c>
      <c r="O144" t="s">
        <v>438</v>
      </c>
      <c r="P144" t="s">
        <v>442</v>
      </c>
    </row>
    <row r="145" spans="1:16" x14ac:dyDescent="0.2">
      <c r="A145" s="69" t="str">
        <f t="shared" si="8"/>
        <v>Vivian Zezula</v>
      </c>
      <c r="B145" s="69" t="str">
        <f t="shared" si="9"/>
        <v>3033453744</v>
      </c>
      <c r="C145" s="69" t="str">
        <f t="shared" si="10"/>
        <v/>
      </c>
      <c r="D145" s="69" t="str">
        <f t="shared" si="11"/>
        <v/>
      </c>
      <c r="E145">
        <v>122099450</v>
      </c>
      <c r="F145">
        <v>8439816</v>
      </c>
      <c r="G145">
        <v>310</v>
      </c>
      <c r="H145" t="s">
        <v>814</v>
      </c>
      <c r="I145" t="s">
        <v>815</v>
      </c>
      <c r="J145" t="s">
        <v>816</v>
      </c>
      <c r="L145" t="str">
        <f>"3033453744"</f>
        <v>3033453744</v>
      </c>
      <c r="M145" t="s">
        <v>817</v>
      </c>
      <c r="N145" t="s">
        <v>817</v>
      </c>
      <c r="O145" t="s">
        <v>442</v>
      </c>
      <c r="P145" t="s">
        <v>438</v>
      </c>
    </row>
  </sheetData>
  <autoFilter ref="A1:P145" xr:uid="{76D25A5D-CDD0-48B8-9E2A-7456531671C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9391-F988-4A44-A5F4-1427CF2DB0A1}">
  <dimension ref="A1:H30"/>
  <sheetViews>
    <sheetView workbookViewId="0">
      <selection activeCell="G15" sqref="G15"/>
    </sheetView>
  </sheetViews>
  <sheetFormatPr baseColWidth="10" defaultColWidth="8.83203125" defaultRowHeight="15.75" customHeight="1" x14ac:dyDescent="0.2"/>
  <cols>
    <col min="6" max="6" width="14.33203125" style="23" customWidth="1"/>
    <col min="7" max="7" width="24.33203125" customWidth="1"/>
    <col min="8" max="8" width="12.83203125" customWidth="1"/>
  </cols>
  <sheetData>
    <row r="1" spans="1:8" ht="15.75" customHeight="1" x14ac:dyDescent="0.2">
      <c r="A1" s="4" t="s">
        <v>1420</v>
      </c>
      <c r="B1" s="4" t="s">
        <v>221</v>
      </c>
      <c r="C1" s="4" t="s">
        <v>910</v>
      </c>
      <c r="D1" s="4" t="s">
        <v>911</v>
      </c>
      <c r="E1" s="4" t="s">
        <v>1421</v>
      </c>
      <c r="F1" s="23" t="s">
        <v>1422</v>
      </c>
      <c r="G1" t="s">
        <v>1423</v>
      </c>
      <c r="H1" t="s">
        <v>1424</v>
      </c>
    </row>
    <row r="2" spans="1:8" ht="15.75" customHeight="1" x14ac:dyDescent="0.2">
      <c r="A2" s="21">
        <v>7</v>
      </c>
      <c r="B2" s="21" t="s">
        <v>921</v>
      </c>
      <c r="C2" s="21" t="s">
        <v>49</v>
      </c>
      <c r="D2" s="21" t="s">
        <v>50</v>
      </c>
      <c r="E2" s="21" t="s">
        <v>922</v>
      </c>
      <c r="F2" s="24">
        <v>7202728398</v>
      </c>
      <c r="G2" s="22" t="s">
        <v>923</v>
      </c>
      <c r="H2" s="22">
        <v>3034993253</v>
      </c>
    </row>
    <row r="3" spans="1:8" ht="15.75" customHeight="1" x14ac:dyDescent="0.2">
      <c r="A3" s="21">
        <v>5</v>
      </c>
      <c r="B3" s="21" t="s">
        <v>949</v>
      </c>
      <c r="C3" s="21" t="s">
        <v>45</v>
      </c>
      <c r="D3" s="21" t="s">
        <v>46</v>
      </c>
      <c r="E3" s="21" t="s">
        <v>46</v>
      </c>
      <c r="F3" s="24">
        <v>3035455326</v>
      </c>
      <c r="G3" s="22" t="s">
        <v>47</v>
      </c>
      <c r="H3" s="22"/>
    </row>
    <row r="4" spans="1:8" ht="15.75" customHeight="1" x14ac:dyDescent="0.2">
      <c r="A4" s="21">
        <v>6</v>
      </c>
      <c r="B4" s="21" t="s">
        <v>962</v>
      </c>
      <c r="C4" s="21" t="s">
        <v>51</v>
      </c>
      <c r="D4" s="21" t="s">
        <v>52</v>
      </c>
      <c r="E4" s="21" t="s">
        <v>52</v>
      </c>
      <c r="F4" s="24">
        <v>3034786467</v>
      </c>
      <c r="G4" s="22" t="s">
        <v>53</v>
      </c>
      <c r="H4" s="22"/>
    </row>
    <row r="5" spans="1:8" ht="15.75" customHeight="1" x14ac:dyDescent="0.2">
      <c r="A5" s="21">
        <v>10</v>
      </c>
      <c r="B5" s="21" t="s">
        <v>982</v>
      </c>
      <c r="C5" s="21" t="s">
        <v>30</v>
      </c>
      <c r="D5" s="21" t="s">
        <v>33</v>
      </c>
      <c r="E5" s="21" t="s">
        <v>31</v>
      </c>
      <c r="F5" s="24">
        <v>7202334208</v>
      </c>
      <c r="G5" s="22" t="s">
        <v>32</v>
      </c>
      <c r="H5" s="22"/>
    </row>
    <row r="6" spans="1:8" ht="15.75" customHeight="1" x14ac:dyDescent="0.2">
      <c r="A6" s="21">
        <v>5</v>
      </c>
      <c r="B6" s="21" t="s">
        <v>1009</v>
      </c>
      <c r="C6" s="21" t="s">
        <v>659</v>
      </c>
      <c r="D6" s="21" t="s">
        <v>1010</v>
      </c>
      <c r="E6" s="21" t="s">
        <v>1010</v>
      </c>
      <c r="F6" s="24">
        <v>3212745485</v>
      </c>
      <c r="G6" s="22" t="s">
        <v>1011</v>
      </c>
      <c r="H6" s="22"/>
    </row>
    <row r="7" spans="1:8" ht="15.75" customHeight="1" x14ac:dyDescent="0.2">
      <c r="A7" s="21">
        <v>5</v>
      </c>
      <c r="B7" s="21" t="s">
        <v>1009</v>
      </c>
      <c r="C7" s="21" t="s">
        <v>14</v>
      </c>
      <c r="D7" s="21" t="s">
        <v>24</v>
      </c>
      <c r="E7" s="21" t="s">
        <v>24</v>
      </c>
      <c r="F7" s="24">
        <v>3033591630</v>
      </c>
      <c r="G7" s="22"/>
      <c r="H7" s="22"/>
    </row>
    <row r="8" spans="1:8" ht="15.75" customHeight="1" x14ac:dyDescent="0.2">
      <c r="A8" s="21">
        <v>6</v>
      </c>
      <c r="B8" s="21" t="s">
        <v>1027</v>
      </c>
      <c r="C8" s="21" t="s">
        <v>9</v>
      </c>
      <c r="D8" s="21" t="s">
        <v>1028</v>
      </c>
      <c r="E8" s="21" t="s">
        <v>1028</v>
      </c>
      <c r="F8" s="24">
        <v>3036011679</v>
      </c>
      <c r="G8" s="22" t="s">
        <v>11</v>
      </c>
      <c r="H8" s="22"/>
    </row>
    <row r="9" spans="1:8" ht="15.75" customHeight="1" x14ac:dyDescent="0.2">
      <c r="A9" s="21">
        <v>6</v>
      </c>
      <c r="B9" s="21" t="s">
        <v>1027</v>
      </c>
      <c r="C9" s="21" t="s">
        <v>644</v>
      </c>
      <c r="D9" s="21" t="s">
        <v>54</v>
      </c>
      <c r="E9" s="21" t="s">
        <v>54</v>
      </c>
      <c r="F9" s="24">
        <v>3039398015</v>
      </c>
      <c r="G9" s="22" t="s">
        <v>645</v>
      </c>
      <c r="H9" s="22">
        <v>7209383466</v>
      </c>
    </row>
    <row r="10" spans="1:8" ht="15.75" customHeight="1" x14ac:dyDescent="0.2">
      <c r="A10" s="21">
        <v>5</v>
      </c>
      <c r="B10" s="21" t="s">
        <v>1038</v>
      </c>
      <c r="C10" s="21" t="s">
        <v>522</v>
      </c>
      <c r="D10" s="21" t="s">
        <v>888</v>
      </c>
      <c r="E10" s="21" t="s">
        <v>888</v>
      </c>
      <c r="F10" s="24">
        <v>7206008829</v>
      </c>
      <c r="G10" s="22" t="s">
        <v>889</v>
      </c>
      <c r="H10" s="22"/>
    </row>
    <row r="11" spans="1:8" ht="15.75" customHeight="1" x14ac:dyDescent="0.2">
      <c r="A11" s="21">
        <v>5</v>
      </c>
      <c r="B11" s="21" t="s">
        <v>1047</v>
      </c>
      <c r="C11" s="21" t="s">
        <v>17</v>
      </c>
      <c r="D11" s="21" t="s">
        <v>848</v>
      </c>
      <c r="E11" s="21" t="s">
        <v>18</v>
      </c>
      <c r="F11" s="24">
        <v>3033174096</v>
      </c>
      <c r="G11" s="22" t="s">
        <v>1048</v>
      </c>
      <c r="H11" s="22">
        <v>5183307872</v>
      </c>
    </row>
    <row r="12" spans="1:8" ht="15.75" customHeight="1" x14ac:dyDescent="0.2">
      <c r="A12" s="21">
        <v>7</v>
      </c>
      <c r="B12" s="21" t="s">
        <v>1067</v>
      </c>
      <c r="C12" s="21" t="s">
        <v>14</v>
      </c>
      <c r="D12" s="21" t="s">
        <v>15</v>
      </c>
      <c r="E12" s="21" t="s">
        <v>15</v>
      </c>
      <c r="F12" s="24">
        <v>3032492204</v>
      </c>
      <c r="G12" s="22" t="s">
        <v>16</v>
      </c>
      <c r="H12" s="22"/>
    </row>
    <row r="13" spans="1:8" ht="15.75" customHeight="1" x14ac:dyDescent="0.2">
      <c r="A13" s="21">
        <v>6</v>
      </c>
      <c r="B13" s="21" t="s">
        <v>1089</v>
      </c>
      <c r="C13" s="21" t="s">
        <v>850</v>
      </c>
      <c r="D13" s="21" t="s">
        <v>851</v>
      </c>
      <c r="E13" s="21" t="s">
        <v>851</v>
      </c>
      <c r="F13" s="24">
        <v>3032291024</v>
      </c>
      <c r="G13" s="22" t="s">
        <v>1079</v>
      </c>
      <c r="H13" s="22"/>
    </row>
    <row r="14" spans="1:8" ht="15.75" customHeight="1" x14ac:dyDescent="0.2">
      <c r="A14" s="21">
        <v>9</v>
      </c>
      <c r="B14" s="21" t="s">
        <v>1100</v>
      </c>
      <c r="C14" s="21" t="s">
        <v>640</v>
      </c>
      <c r="D14" s="21" t="s">
        <v>641</v>
      </c>
      <c r="E14" s="21" t="s">
        <v>641</v>
      </c>
      <c r="F14" s="24">
        <v>2489331107</v>
      </c>
      <c r="G14" s="22" t="s">
        <v>643</v>
      </c>
      <c r="H14" s="22"/>
    </row>
    <row r="15" spans="1:8" ht="15.75" customHeight="1" x14ac:dyDescent="0.2">
      <c r="A15" s="21">
        <v>7</v>
      </c>
      <c r="B15" s="21" t="s">
        <v>1113</v>
      </c>
      <c r="C15" s="21" t="s">
        <v>23</v>
      </c>
      <c r="D15" s="21" t="s">
        <v>24</v>
      </c>
      <c r="E15" s="21" t="s">
        <v>24</v>
      </c>
      <c r="F15" s="24">
        <v>3039097201</v>
      </c>
      <c r="G15" s="22" t="s">
        <v>25</v>
      </c>
      <c r="H15" s="22"/>
    </row>
    <row r="16" spans="1:8" ht="15.75" customHeight="1" x14ac:dyDescent="0.2">
      <c r="A16" s="21">
        <v>9</v>
      </c>
      <c r="B16" s="21" t="s">
        <v>1137</v>
      </c>
      <c r="C16" s="24" t="s">
        <v>1425</v>
      </c>
      <c r="D16" s="21"/>
      <c r="E16" s="21"/>
      <c r="G16" s="22"/>
      <c r="H16" s="22"/>
    </row>
    <row r="17" spans="1:8" ht="15.75" customHeight="1" x14ac:dyDescent="0.2">
      <c r="A17" s="21">
        <v>11</v>
      </c>
      <c r="B17" s="21" t="s">
        <v>1154</v>
      </c>
      <c r="C17" s="24" t="s">
        <v>1425</v>
      </c>
      <c r="D17" s="21"/>
      <c r="E17" s="21"/>
      <c r="G17" s="22"/>
      <c r="H17" s="22"/>
    </row>
    <row r="18" spans="1:8" ht="15.75" customHeight="1" x14ac:dyDescent="0.2">
      <c r="A18" s="21">
        <v>7</v>
      </c>
      <c r="B18" s="21" t="s">
        <v>1180</v>
      </c>
      <c r="C18" s="21" t="s">
        <v>1181</v>
      </c>
      <c r="D18" s="21" t="s">
        <v>828</v>
      </c>
      <c r="E18" s="21" t="s">
        <v>828</v>
      </c>
      <c r="F18" s="24">
        <v>3038273434</v>
      </c>
      <c r="G18" s="22" t="s">
        <v>830</v>
      </c>
      <c r="H18" s="22">
        <v>4048226731</v>
      </c>
    </row>
    <row r="19" spans="1:8" ht="15.75" customHeight="1" x14ac:dyDescent="0.2">
      <c r="A19" s="21">
        <v>7</v>
      </c>
      <c r="B19" s="21" t="s">
        <v>1200</v>
      </c>
      <c r="C19" s="21" t="s">
        <v>68</v>
      </c>
      <c r="D19" s="21" t="s">
        <v>69</v>
      </c>
      <c r="E19" s="21" t="s">
        <v>69</v>
      </c>
      <c r="F19" s="24">
        <v>3603897915</v>
      </c>
      <c r="G19" s="22" t="s">
        <v>70</v>
      </c>
      <c r="H19" s="22">
        <v>3607151412</v>
      </c>
    </row>
    <row r="20" spans="1:8" ht="15.75" customHeight="1" x14ac:dyDescent="0.2">
      <c r="A20" s="21">
        <v>7</v>
      </c>
      <c r="B20" s="21" t="s">
        <v>1217</v>
      </c>
      <c r="C20" s="21" t="s">
        <v>61</v>
      </c>
      <c r="D20" s="21" t="s">
        <v>62</v>
      </c>
      <c r="E20" s="21" t="s">
        <v>1218</v>
      </c>
      <c r="F20" s="24">
        <v>3035884452</v>
      </c>
      <c r="G20" s="22" t="s">
        <v>864</v>
      </c>
      <c r="H20" s="22"/>
    </row>
    <row r="21" spans="1:8" ht="16" x14ac:dyDescent="0.2">
      <c r="A21" s="21">
        <v>9</v>
      </c>
      <c r="B21" s="21" t="s">
        <v>1239</v>
      </c>
      <c r="C21" s="21" t="s">
        <v>874</v>
      </c>
      <c r="D21" s="21" t="s">
        <v>875</v>
      </c>
      <c r="E21" s="21" t="s">
        <v>875</v>
      </c>
      <c r="F21" s="24">
        <v>4108187383</v>
      </c>
      <c r="G21" s="22" t="s">
        <v>1240</v>
      </c>
      <c r="H21" s="22"/>
    </row>
    <row r="22" spans="1:8" ht="16" x14ac:dyDescent="0.2">
      <c r="A22" s="21">
        <v>8</v>
      </c>
      <c r="B22" s="21" t="s">
        <v>1255</v>
      </c>
      <c r="C22" s="21" t="s">
        <v>81</v>
      </c>
      <c r="D22" s="21" t="s">
        <v>82</v>
      </c>
      <c r="E22" s="21" t="s">
        <v>82</v>
      </c>
      <c r="F22" s="24">
        <v>3036817722</v>
      </c>
      <c r="G22" s="22" t="s">
        <v>83</v>
      </c>
      <c r="H22" s="22"/>
    </row>
    <row r="23" spans="1:8" ht="16" x14ac:dyDescent="0.2">
      <c r="A23" s="21">
        <v>8</v>
      </c>
      <c r="B23" s="21" t="s">
        <v>1271</v>
      </c>
      <c r="C23" s="21" t="s">
        <v>63</v>
      </c>
      <c r="D23" s="21" t="s">
        <v>1272</v>
      </c>
      <c r="E23" s="21" t="s">
        <v>1272</v>
      </c>
      <c r="F23" s="24">
        <v>3035946434</v>
      </c>
      <c r="G23" s="22" t="s">
        <v>64</v>
      </c>
      <c r="H23" s="22"/>
    </row>
    <row r="24" spans="1:8" ht="16" x14ac:dyDescent="0.2">
      <c r="A24" s="21">
        <v>10</v>
      </c>
      <c r="B24" s="21" t="s">
        <v>1295</v>
      </c>
      <c r="C24" s="21" t="s">
        <v>76</v>
      </c>
      <c r="D24" s="21" t="s">
        <v>77</v>
      </c>
      <c r="E24" s="21" t="s">
        <v>77</v>
      </c>
      <c r="F24" s="24">
        <v>3037757400</v>
      </c>
      <c r="G24" s="22" t="s">
        <v>1296</v>
      </c>
      <c r="H24" s="22"/>
    </row>
    <row r="25" spans="1:8" ht="16" x14ac:dyDescent="0.2">
      <c r="A25" s="21">
        <v>7</v>
      </c>
      <c r="B25" s="21" t="s">
        <v>1310</v>
      </c>
      <c r="C25" s="21" t="s">
        <v>37</v>
      </c>
      <c r="D25" s="21" t="s">
        <v>38</v>
      </c>
      <c r="E25" s="21" t="s">
        <v>38</v>
      </c>
      <c r="F25" s="24">
        <v>3033497421</v>
      </c>
      <c r="G25" s="22" t="s">
        <v>39</v>
      </c>
      <c r="H25" s="22">
        <v>3036516523</v>
      </c>
    </row>
    <row r="26" spans="1:8" ht="16" x14ac:dyDescent="0.2">
      <c r="A26" s="21">
        <v>6</v>
      </c>
      <c r="B26" s="21" t="s">
        <v>1327</v>
      </c>
      <c r="C26" s="21" t="s">
        <v>34</v>
      </c>
      <c r="D26" s="21" t="s">
        <v>35</v>
      </c>
      <c r="E26" s="21" t="s">
        <v>1328</v>
      </c>
      <c r="F26" s="24">
        <v>7209349497</v>
      </c>
      <c r="G26" s="22" t="s">
        <v>36</v>
      </c>
      <c r="H26" s="22"/>
    </row>
    <row r="27" spans="1:8" ht="16" x14ac:dyDescent="0.2">
      <c r="A27" s="21">
        <v>6</v>
      </c>
      <c r="B27" s="21" t="s">
        <v>1339</v>
      </c>
      <c r="C27" s="21" t="s">
        <v>41</v>
      </c>
      <c r="D27" s="21" t="s">
        <v>42</v>
      </c>
      <c r="E27" s="21" t="s">
        <v>42</v>
      </c>
      <c r="F27" s="24">
        <v>3032583745</v>
      </c>
      <c r="G27" s="22" t="s">
        <v>43</v>
      </c>
      <c r="H27" s="22"/>
    </row>
    <row r="28" spans="1:8" ht="16" x14ac:dyDescent="0.2">
      <c r="A28" s="21">
        <v>6</v>
      </c>
      <c r="B28" s="21" t="s">
        <v>1346</v>
      </c>
      <c r="C28" s="21" t="s">
        <v>20</v>
      </c>
      <c r="D28" s="21" t="s">
        <v>21</v>
      </c>
      <c r="E28" s="21" t="s">
        <v>21</v>
      </c>
      <c r="F28" s="24">
        <v>3034423847</v>
      </c>
      <c r="G28" s="22" t="s">
        <v>22</v>
      </c>
      <c r="H28" s="22">
        <v>3039479477</v>
      </c>
    </row>
    <row r="29" spans="1:8" ht="16" x14ac:dyDescent="0.2">
      <c r="A29" s="21">
        <v>6</v>
      </c>
      <c r="B29" s="21" t="s">
        <v>1367</v>
      </c>
      <c r="C29" s="21" t="s">
        <v>65</v>
      </c>
      <c r="D29" s="21" t="s">
        <v>899</v>
      </c>
      <c r="E29" s="21" t="s">
        <v>899</v>
      </c>
      <c r="F29" s="24">
        <v>3038232448</v>
      </c>
      <c r="G29" s="22" t="s">
        <v>66</v>
      </c>
      <c r="H29" s="22"/>
    </row>
    <row r="30" spans="1:8" ht="16" x14ac:dyDescent="0.2">
      <c r="A30" s="21">
        <v>8</v>
      </c>
      <c r="B30" s="21" t="s">
        <v>1384</v>
      </c>
      <c r="C30" s="21" t="s">
        <v>880</v>
      </c>
      <c r="D30" s="21" t="s">
        <v>487</v>
      </c>
      <c r="E30" s="21" t="s">
        <v>487</v>
      </c>
      <c r="F30" s="24">
        <v>7203525103</v>
      </c>
      <c r="G30" s="22" t="s">
        <v>882</v>
      </c>
      <c r="H3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616AA-03BC-4BD2-9D69-4C2850FDA1BC}">
  <sheetPr>
    <tabColor rgb="FF00B0F0"/>
  </sheetPr>
  <dimension ref="A1:HF29"/>
  <sheetViews>
    <sheetView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I8" sqref="I8"/>
    </sheetView>
  </sheetViews>
  <sheetFormatPr baseColWidth="10" defaultColWidth="8.83203125" defaultRowHeight="15.75" customHeight="1" x14ac:dyDescent="0.2"/>
  <cols>
    <col min="1" max="1" width="8.5" style="72" hidden="1" customWidth="1"/>
    <col min="2" max="2" width="11" style="72" hidden="1" customWidth="1"/>
    <col min="3" max="3" width="11.83203125" style="75" hidden="1" customWidth="1"/>
    <col min="4" max="4" width="19.33203125" bestFit="1" customWidth="1"/>
    <col min="5" max="5" width="15.5" hidden="1" customWidth="1"/>
    <col min="6" max="6" width="14.6640625" bestFit="1" customWidth="1"/>
    <col min="7" max="7" width="6.83203125" style="1" bestFit="1" customWidth="1"/>
    <col min="8" max="8" width="7.1640625" style="1" bestFit="1" customWidth="1"/>
    <col min="9" max="9" width="9.6640625" style="59" bestFit="1" customWidth="1"/>
    <col min="10" max="10" width="9" style="1" customWidth="1"/>
    <col min="11" max="11" width="8.83203125" style="1" bestFit="1" customWidth="1"/>
    <col min="12" max="12" width="46.5" style="51" bestFit="1" customWidth="1"/>
    <col min="13" max="37" width="7" style="1" bestFit="1" customWidth="1"/>
    <col min="38" max="38" width="9.6640625" style="1" bestFit="1" customWidth="1"/>
    <col min="39" max="39" width="9" bestFit="1" customWidth="1"/>
    <col min="40" max="40" width="21.6640625" bestFit="1" customWidth="1"/>
    <col min="41" max="41" width="10.5" hidden="1" customWidth="1"/>
    <col min="42" max="42" width="25.5" hidden="1" customWidth="1"/>
    <col min="43" max="43" width="9.5" hidden="1" customWidth="1"/>
    <col min="44" max="44" width="14.1640625" bestFit="1" customWidth="1"/>
    <col min="45" max="45" width="10.6640625" hidden="1" customWidth="1"/>
    <col min="46" max="46" width="24.83203125" bestFit="1" customWidth="1"/>
    <col min="47" max="47" width="9" hidden="1" customWidth="1"/>
    <col min="48" max="48" width="13.5" bestFit="1" customWidth="1"/>
    <col min="49" max="49" width="10.6640625" hidden="1" customWidth="1"/>
    <col min="50" max="50" width="24.6640625" hidden="1" customWidth="1"/>
    <col min="51" max="51" width="9" hidden="1" customWidth="1"/>
    <col min="52" max="52" width="12.83203125" bestFit="1" customWidth="1"/>
    <col min="53" max="53" width="10.5" hidden="1" customWidth="1"/>
    <col min="54" max="54" width="24.83203125" hidden="1" customWidth="1"/>
    <col min="55" max="58" width="6" hidden="1" customWidth="1"/>
    <col min="59" max="59" width="19.33203125" hidden="1" customWidth="1"/>
    <col min="60" max="60" width="6" bestFit="1" customWidth="1"/>
    <col min="61" max="65" width="8.5" bestFit="1" customWidth="1"/>
    <col min="66" max="83" width="11.83203125" bestFit="1" customWidth="1"/>
    <col min="84" max="95" width="12.83203125" bestFit="1" customWidth="1"/>
    <col min="96" max="103" width="10.5" bestFit="1" customWidth="1"/>
    <col min="104" max="115" width="6.5" bestFit="1" customWidth="1"/>
    <col min="116" max="131" width="12.83203125" bestFit="1" customWidth="1"/>
    <col min="132" max="136" width="17.5" bestFit="1" customWidth="1"/>
    <col min="137" max="148" width="13" bestFit="1" customWidth="1"/>
    <col min="149" max="161" width="10.83203125" bestFit="1" customWidth="1"/>
    <col min="162" max="167" width="12" bestFit="1" customWidth="1"/>
    <col min="168" max="180" width="8.33203125" bestFit="1" customWidth="1"/>
    <col min="181" max="195" width="15.33203125" bestFit="1" customWidth="1"/>
    <col min="196" max="214" width="12.33203125" bestFit="1" customWidth="1"/>
  </cols>
  <sheetData>
    <row r="1" spans="1:214" ht="17" x14ac:dyDescent="0.2">
      <c r="D1" s="32" t="s">
        <v>1793</v>
      </c>
      <c r="E1" s="32"/>
      <c r="F1" s="32"/>
      <c r="G1" s="41"/>
      <c r="H1" s="41"/>
      <c r="I1" s="42"/>
      <c r="J1" s="62">
        <v>2.5000000000000005E-2</v>
      </c>
      <c r="K1" s="31" t="s">
        <v>97</v>
      </c>
      <c r="L1" s="55" t="s">
        <v>97</v>
      </c>
      <c r="M1" s="31"/>
      <c r="N1" s="31"/>
      <c r="O1" s="31"/>
      <c r="P1" s="31"/>
      <c r="Q1" s="31"/>
      <c r="R1" s="1" t="s">
        <v>97</v>
      </c>
      <c r="S1" s="1" t="s">
        <v>97</v>
      </c>
      <c r="T1" s="37"/>
      <c r="U1" s="37"/>
      <c r="V1" s="37" t="s">
        <v>97</v>
      </c>
      <c r="W1" s="37" t="s">
        <v>97</v>
      </c>
      <c r="X1" s="37" t="s">
        <v>97</v>
      </c>
      <c r="Y1" s="37"/>
      <c r="Z1" s="31"/>
      <c r="AA1" s="31"/>
      <c r="AB1" s="31"/>
      <c r="AC1" s="31"/>
      <c r="AD1" s="31"/>
      <c r="AE1" s="31"/>
      <c r="AF1" s="37"/>
      <c r="AG1" s="31"/>
      <c r="AH1" s="31"/>
      <c r="AI1" s="31"/>
      <c r="AJ1" s="31"/>
      <c r="AK1" s="31"/>
      <c r="AL1" s="41" t="s">
        <v>98</v>
      </c>
      <c r="AM1" s="46"/>
      <c r="AN1" s="46"/>
      <c r="AP1" s="46"/>
      <c r="AQ1" s="46"/>
      <c r="AV1" s="3"/>
      <c r="AW1" s="3"/>
      <c r="AX1" s="3"/>
      <c r="AY1" s="3"/>
      <c r="AZ1" s="3"/>
      <c r="BA1" s="3"/>
      <c r="BB1" s="3"/>
      <c r="BC1" s="38"/>
      <c r="BD1" s="38"/>
      <c r="BE1" s="38"/>
      <c r="BF1" s="38"/>
      <c r="BG1" s="3"/>
      <c r="BH1" s="3" t="s">
        <v>151</v>
      </c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4"/>
      <c r="EC1" s="34"/>
      <c r="ED1" s="34"/>
      <c r="EE1" s="34"/>
      <c r="EF1" s="34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</row>
    <row r="2" spans="1:214" ht="17" x14ac:dyDescent="0.2">
      <c r="D2" s="41">
        <f>COUNTA(D5:D25)</f>
        <v>21</v>
      </c>
      <c r="E2" s="41"/>
      <c r="F2" s="41"/>
      <c r="G2" s="41"/>
      <c r="H2" s="41"/>
      <c r="I2" s="42" t="s">
        <v>97</v>
      </c>
      <c r="J2" s="42" t="s">
        <v>97</v>
      </c>
      <c r="K2" s="31" t="s">
        <v>97</v>
      </c>
      <c r="L2" s="55" t="s">
        <v>97</v>
      </c>
      <c r="M2" s="36" t="s">
        <v>97</v>
      </c>
      <c r="N2" s="36" t="s">
        <v>97</v>
      </c>
      <c r="O2" s="36" t="s">
        <v>97</v>
      </c>
      <c r="P2" s="36" t="s">
        <v>97</v>
      </c>
      <c r="Q2" s="36"/>
      <c r="R2" s="36"/>
      <c r="S2" s="37"/>
      <c r="T2" s="37"/>
      <c r="U2" s="37"/>
      <c r="V2" s="37"/>
      <c r="W2" s="37"/>
      <c r="X2" s="37"/>
      <c r="Y2" s="37"/>
      <c r="Z2" s="31"/>
      <c r="AA2" s="31"/>
      <c r="AB2" s="31"/>
      <c r="AC2" s="31"/>
      <c r="AD2" s="31"/>
      <c r="AE2" s="31"/>
      <c r="AF2" s="37"/>
      <c r="AG2" s="31"/>
      <c r="AH2" s="31"/>
      <c r="AI2" s="31"/>
      <c r="AJ2" s="31"/>
      <c r="AK2" s="31"/>
      <c r="AL2" s="31" t="s">
        <v>97</v>
      </c>
      <c r="AM2" s="3"/>
      <c r="AN2" s="3">
        <f>COUNTIF(AM5:AM25,"&gt;0")</f>
        <v>21</v>
      </c>
      <c r="AO2" s="3"/>
      <c r="AP2" s="3"/>
      <c r="AR2" s="3">
        <f>COUNTIF(AQ5:AQ25,"&gt;0")</f>
        <v>14</v>
      </c>
      <c r="AS2" s="3"/>
      <c r="AT2" s="3"/>
      <c r="AU2" s="3" t="s">
        <v>97</v>
      </c>
      <c r="AV2" s="3">
        <f>COUNTIF(AU5:AU25,"&gt;0")</f>
        <v>9</v>
      </c>
      <c r="AW2" s="3"/>
      <c r="AX2" s="3"/>
      <c r="AZ2" s="3">
        <f>COUNTIF(AY5:AY25,"&gt;0")</f>
        <v>2</v>
      </c>
      <c r="BA2" s="3"/>
      <c r="BB2" s="3"/>
      <c r="BC2" s="38"/>
      <c r="BD2" s="38"/>
      <c r="BE2" s="38"/>
      <c r="BF2" s="38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4"/>
      <c r="EC2" s="34"/>
      <c r="ED2" s="34"/>
      <c r="EE2" s="34"/>
      <c r="EF2" s="34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</row>
    <row r="3" spans="1:214" ht="17" x14ac:dyDescent="0.2">
      <c r="A3" s="72">
        <f>COUNTIF(A5:A25,"Y")</f>
        <v>21</v>
      </c>
      <c r="D3" s="70" t="s">
        <v>97</v>
      </c>
      <c r="E3" s="3"/>
      <c r="F3" s="3"/>
      <c r="G3" s="31"/>
      <c r="H3" s="31"/>
      <c r="I3" s="42">
        <f>SUM(I5:I25)</f>
        <v>100005</v>
      </c>
      <c r="J3" s="42">
        <f>SUM(J5:J25)</f>
        <v>2500.1249999999991</v>
      </c>
      <c r="K3" s="42">
        <f>SUM(K5:K25)</f>
        <v>193</v>
      </c>
      <c r="L3" s="55" t="s">
        <v>97</v>
      </c>
      <c r="M3" s="36">
        <v>1</v>
      </c>
      <c r="N3" s="36">
        <v>2</v>
      </c>
      <c r="O3" s="36">
        <v>3</v>
      </c>
      <c r="P3" s="36">
        <v>4</v>
      </c>
      <c r="Q3" s="36">
        <v>5</v>
      </c>
      <c r="R3" s="36">
        <v>6</v>
      </c>
      <c r="S3" s="36">
        <v>7</v>
      </c>
      <c r="T3" s="36">
        <v>8</v>
      </c>
      <c r="U3" s="36">
        <v>9</v>
      </c>
      <c r="V3" s="36">
        <v>10</v>
      </c>
      <c r="W3" s="36">
        <v>11</v>
      </c>
      <c r="X3" s="36">
        <v>12</v>
      </c>
      <c r="Y3" s="36">
        <v>13</v>
      </c>
      <c r="Z3" s="36">
        <v>14</v>
      </c>
      <c r="AA3" s="36">
        <v>15</v>
      </c>
      <c r="AB3" s="36">
        <v>16</v>
      </c>
      <c r="AC3" s="36">
        <v>17</v>
      </c>
      <c r="AD3" s="36">
        <v>18</v>
      </c>
      <c r="AE3" s="36">
        <v>19</v>
      </c>
      <c r="AF3" s="36">
        <v>20</v>
      </c>
      <c r="AG3" s="36">
        <v>21</v>
      </c>
      <c r="AH3" s="36">
        <v>22</v>
      </c>
      <c r="AI3" s="36">
        <v>23</v>
      </c>
      <c r="AJ3" s="36">
        <v>24</v>
      </c>
      <c r="AK3" s="36">
        <v>25</v>
      </c>
      <c r="AL3" s="58">
        <f>SUM(AL5:AL25)</f>
        <v>46</v>
      </c>
      <c r="AM3" s="3"/>
      <c r="AN3" s="3"/>
      <c r="AO3" s="3"/>
      <c r="AP3" s="3"/>
      <c r="AQ3" s="3"/>
      <c r="AR3" s="3"/>
      <c r="AS3" s="3"/>
      <c r="AT3" s="3"/>
      <c r="AU3" s="46" t="s">
        <v>97</v>
      </c>
      <c r="AV3" s="3"/>
      <c r="AW3" s="3"/>
      <c r="AX3" s="3"/>
      <c r="AY3" s="3"/>
      <c r="AZ3" s="3"/>
      <c r="BA3" s="3"/>
      <c r="BB3" s="3"/>
      <c r="BC3" s="38"/>
      <c r="BD3" s="38"/>
      <c r="BE3" s="38"/>
      <c r="BF3" s="38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4"/>
      <c r="EC3" s="34"/>
      <c r="ED3" s="34"/>
      <c r="EE3" s="34"/>
      <c r="EF3" s="34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</row>
    <row r="4" spans="1:214" s="43" customFormat="1" ht="34" x14ac:dyDescent="0.2">
      <c r="A4" s="73" t="s">
        <v>152</v>
      </c>
      <c r="B4" s="73" t="s">
        <v>153</v>
      </c>
      <c r="C4" s="73" t="s">
        <v>154</v>
      </c>
      <c r="D4" s="43" t="s">
        <v>99</v>
      </c>
      <c r="E4" s="43" t="s">
        <v>100</v>
      </c>
      <c r="F4" s="43" t="s">
        <v>101</v>
      </c>
      <c r="G4" s="45" t="s">
        <v>155</v>
      </c>
      <c r="H4" s="45" t="s">
        <v>156</v>
      </c>
      <c r="I4" s="61" t="s">
        <v>102</v>
      </c>
      <c r="J4" s="63" t="s">
        <v>103</v>
      </c>
      <c r="K4" s="44" t="s">
        <v>104</v>
      </c>
      <c r="L4" s="47" t="s">
        <v>105</v>
      </c>
      <c r="M4" s="45" t="s">
        <v>106</v>
      </c>
      <c r="N4" s="45" t="s">
        <v>106</v>
      </c>
      <c r="O4" s="45" t="s">
        <v>106</v>
      </c>
      <c r="P4" s="45" t="s">
        <v>106</v>
      </c>
      <c r="Q4" s="45" t="s">
        <v>106</v>
      </c>
      <c r="R4" s="45" t="s">
        <v>106</v>
      </c>
      <c r="S4" s="45" t="s">
        <v>106</v>
      </c>
      <c r="T4" s="45" t="s">
        <v>106</v>
      </c>
      <c r="U4" s="45" t="s">
        <v>106</v>
      </c>
      <c r="V4" s="45" t="s">
        <v>106</v>
      </c>
      <c r="W4" s="45" t="s">
        <v>106</v>
      </c>
      <c r="X4" s="45" t="s">
        <v>106</v>
      </c>
      <c r="Y4" s="45" t="s">
        <v>106</v>
      </c>
      <c r="Z4" s="45" t="s">
        <v>106</v>
      </c>
      <c r="AA4" s="45" t="s">
        <v>106</v>
      </c>
      <c r="AB4" s="45" t="s">
        <v>106</v>
      </c>
      <c r="AC4" s="45" t="s">
        <v>106</v>
      </c>
      <c r="AD4" s="45" t="s">
        <v>106</v>
      </c>
      <c r="AE4" s="45" t="s">
        <v>106</v>
      </c>
      <c r="AF4" s="45" t="s">
        <v>106</v>
      </c>
      <c r="AG4" s="45" t="s">
        <v>106</v>
      </c>
      <c r="AH4" s="45" t="s">
        <v>106</v>
      </c>
      <c r="AI4" s="45" t="s">
        <v>106</v>
      </c>
      <c r="AJ4" s="45" t="s">
        <v>106</v>
      </c>
      <c r="AK4" s="45" t="s">
        <v>106</v>
      </c>
      <c r="AL4" s="45" t="s">
        <v>107</v>
      </c>
      <c r="AM4" s="43" t="s">
        <v>108</v>
      </c>
      <c r="AN4" s="43" t="s">
        <v>109</v>
      </c>
      <c r="AO4" s="43" t="s">
        <v>110</v>
      </c>
      <c r="AP4" s="43" t="s">
        <v>111</v>
      </c>
      <c r="AQ4" s="43" t="s">
        <v>112</v>
      </c>
      <c r="AR4" s="43" t="s">
        <v>113</v>
      </c>
      <c r="AS4" s="43" t="s">
        <v>110</v>
      </c>
      <c r="AT4" s="43" t="s">
        <v>111</v>
      </c>
      <c r="AU4" s="43" t="s">
        <v>114</v>
      </c>
      <c r="AV4" s="43" t="s">
        <v>115</v>
      </c>
      <c r="AW4" s="43" t="s">
        <v>110</v>
      </c>
      <c r="AX4" s="43" t="s">
        <v>111</v>
      </c>
      <c r="AY4" s="43" t="s">
        <v>116</v>
      </c>
      <c r="AZ4" s="43" t="s">
        <v>117</v>
      </c>
      <c r="BA4" s="43" t="s">
        <v>110</v>
      </c>
      <c r="BB4" s="43" t="s">
        <v>118</v>
      </c>
      <c r="BC4" s="43" t="s">
        <v>108</v>
      </c>
      <c r="BD4" s="43" t="s">
        <v>112</v>
      </c>
      <c r="BE4" s="43" t="s">
        <v>114</v>
      </c>
      <c r="BF4" s="43" t="s">
        <v>116</v>
      </c>
      <c r="BH4" s="43" t="s">
        <v>157</v>
      </c>
    </row>
    <row r="5" spans="1:214" ht="34" x14ac:dyDescent="0.2">
      <c r="A5" s="72" t="s">
        <v>158</v>
      </c>
      <c r="B5" s="72" t="s">
        <v>158</v>
      </c>
      <c r="C5" s="75" t="s">
        <v>159</v>
      </c>
      <c r="D5" t="s">
        <v>8</v>
      </c>
      <c r="E5" t="s">
        <v>129</v>
      </c>
      <c r="F5" t="s">
        <v>160</v>
      </c>
      <c r="G5" s="1" t="s">
        <v>161</v>
      </c>
      <c r="H5" s="1" t="s">
        <v>162</v>
      </c>
      <c r="I5" s="59">
        <f>SUMIF('Supersite Working-AW'!$R$4:$R$196,$D5,'Supersite Working-AW'!$L$4:$L$196)</f>
        <v>8267</v>
      </c>
      <c r="J5" s="59">
        <f>SUMIF('Supersite Working-AW'!$R$4:$R$196,$D5,'Supersite Working-AW'!$M$4:$M$196)</f>
        <v>206.67499999999998</v>
      </c>
      <c r="K5" s="1">
        <f>COUNTA(M5:AK5)</f>
        <v>12</v>
      </c>
      <c r="L5" s="51" t="str">
        <f>(M5&amp;","&amp;N5&amp;","&amp;O5&amp;","&amp;P5&amp;","&amp;Q5&amp;","&amp;R5&amp;","&amp;S5&amp;","&amp;T5&amp;","&amp;U5&amp;","&amp;V5&amp;","&amp;W5&amp;","&amp;X5&amp;","&amp;Y5&amp;","&amp;Z5&amp;","&amp;AA5&amp;","&amp;AB5&amp;","&amp;AC5&amp;","&amp;AD5&amp;","&amp;AE5&amp;","&amp;AF5&amp;","&amp;AG5&amp;","&amp;AH5&amp;","&amp;AI5&amp;","&amp;AJ5&amp;","&amp;AK5)</f>
        <v>810,817,818,820,821,822,823,824,825,826,827,910,,,,,,,,,,,,,</v>
      </c>
      <c r="M5" s="31">
        <v>810</v>
      </c>
      <c r="N5" s="31">
        <v>817</v>
      </c>
      <c r="O5" s="31">
        <v>818</v>
      </c>
      <c r="P5" s="31">
        <v>820</v>
      </c>
      <c r="Q5" s="31">
        <v>821</v>
      </c>
      <c r="R5" s="1">
        <v>822</v>
      </c>
      <c r="S5" s="1">
        <v>823</v>
      </c>
      <c r="T5" s="1">
        <v>824</v>
      </c>
      <c r="U5" s="1">
        <v>825</v>
      </c>
      <c r="V5" s="1">
        <v>826</v>
      </c>
      <c r="W5" s="1">
        <v>827</v>
      </c>
      <c r="X5" s="1">
        <v>910</v>
      </c>
      <c r="AL5" s="1">
        <f t="shared" ref="AL5:AL25" si="0">SUM(BC5:BF5)</f>
        <v>3</v>
      </c>
      <c r="AM5" s="46">
        <f>+INDEX('Supersite Working-AW'!$R$4:$AG$196,MATCH('Recap SS,Precincts,Chairs'!$D5,'Supersite Working-AW'!$R$4:$R$196,0),7)</f>
        <v>118591584</v>
      </c>
      <c r="AN5" s="46" t="str">
        <f>+INDEX('Supersite Working-AW'!$R$4:$AG$196,MATCH('Recap SS,Precincts,Chairs'!$D5,'Supersite Working-AW'!$R$4:$R$196,0),13)</f>
        <v>Kenneth Nova</v>
      </c>
      <c r="AO5" t="str">
        <f>+INDEX('NGP Chairs CoChairs'!$A$2:$I$53,MATCH('Recap SS,Precincts,Chairs'!$AM5,'NGP Chairs CoChairs'!$A$2:$A$53,0),7)</f>
        <v>7209383466</v>
      </c>
      <c r="AP5" t="str">
        <f>+INDEX('NGP Chairs CoChairs'!$A$2:$I$53,MATCH('Recap SS,Precincts,Chairs'!$AM5,'NGP Chairs CoChairs'!$A$2:$A$53,0),8)</f>
        <v>lackbeard.kline@gmail.com</v>
      </c>
      <c r="AQ5" s="46">
        <f>+INDEX('Supersite Working-AW'!$R$4:$AG$196,MATCH('Recap SS,Precincts,Chairs'!$D5,'Supersite Working-AW'!$R$4:$R$196,0),8)</f>
        <v>147521014</v>
      </c>
      <c r="AR5" s="46" t="str">
        <f>+INDEX('Supersite Working-AW'!$R$4:$AG$196,MATCH('Recap SS,Precincts,Chairs'!$D5,'Supersite Working-AW'!$R$4:$R$196,0),14)</f>
        <v>Lilian Francklyn</v>
      </c>
      <c r="AS5" t="str">
        <f>+INDEX('NGP Chairs CoChairs'!$A$2:$I$53,MATCH('Recap SS,Precincts,Chairs'!$AQ5,'NGP Chairs CoChairs'!$A$2:$A$53,0),7)</f>
        <v>7203459803</v>
      </c>
      <c r="AT5" t="str">
        <f>+INDEX('NGP Chairs CoChairs'!$A$2:$I$53,MATCH('Recap SS,Precincts,Chairs'!$AQ5,'NGP Chairs CoChairs'!$A$2:$A$53,0),8)</f>
        <v>geof@indra.com</v>
      </c>
      <c r="AU5" s="46">
        <f>+INDEX('Supersite Working-AW'!$R$4:$AG$196,MATCH('Recap SS,Precincts,Chairs'!$D5,'Supersite Working-AW'!$R$4:$R$196,0),9)</f>
        <v>107152870</v>
      </c>
      <c r="AV5" s="46" t="str">
        <f>+INDEX('Supersite Working-AW'!$R$4:$AG$196,MATCH('Recap SS,Precincts,Chairs'!$D5,'Supersite Working-AW'!$R$4:$R$196,0),15)</f>
        <v>Neil Fishman</v>
      </c>
      <c r="AW5" t="str">
        <f>+INDEX('NGP Chairs CoChairs'!$A$2:$I$53,MATCH('Recap SS,Precincts,Chairs'!$AU5,'NGP Chairs CoChairs'!$A$2:$A$53,0),7)</f>
        <v>3037752697</v>
      </c>
      <c r="AX5" t="str">
        <f>+INDEX('NGP Chairs CoChairs'!$A$2:$I$53,MATCH('Recap SS,Precincts,Chairs'!$AU5,'NGP Chairs CoChairs'!$A$2:$A$53,0),8)</f>
        <v>Bruce@bocodems.org</v>
      </c>
      <c r="AY5" s="46">
        <f>+INDEX('Supersite Working-AW'!$R$4:$AG$196,MATCH('Recap SS,Precincts,Chairs'!$D5,'Supersite Working-AW'!$R$4:$R$196,0),10)</f>
        <v>0</v>
      </c>
      <c r="AZ5" s="46" t="str">
        <f>+INDEX('Supersite Working-AW'!$R$4:$AG$196,MATCH('Recap SS,Precincts,Chairs'!$D5,'Supersite Working-AW'!$R$4:$R$196,0),16)</f>
        <v>Heather Baer</v>
      </c>
      <c r="BA5" t="e">
        <f>+INDEX('NGP Chairs CoChairs'!$A$2:$I$53,MATCH('Recap SS,Precincts,Chairs'!$AY5,'NGP Chairs CoChairs'!$A$2:$A$53,0),7)</f>
        <v>#N/A</v>
      </c>
      <c r="BB5" t="e">
        <f>+INDEX('NGP Chairs CoChairs'!$A$2:$I$53,MATCH('Recap SS,Precincts,Chairs'!$AY5,'NGP Chairs CoChairs'!$A$2:$A$53,0),8)</f>
        <v>#N/A</v>
      </c>
      <c r="BC5">
        <f t="shared" ref="BC5:BC25" si="1">IF(AN5&lt;&gt;0,1,"")</f>
        <v>1</v>
      </c>
      <c r="BD5">
        <f t="shared" ref="BD5:BD25" si="2">IF(AQ5&lt;&gt;0,1,"")</f>
        <v>1</v>
      </c>
      <c r="BE5">
        <f t="shared" ref="BE5:BE25" si="3">IF(AU5&lt;&gt;0,1,"")</f>
        <v>1</v>
      </c>
      <c r="BF5" t="str">
        <f t="shared" ref="BF5:BF25" si="4">IF(AY5&lt;&gt;0,1,"")</f>
        <v/>
      </c>
      <c r="BH5">
        <v>1</v>
      </c>
    </row>
    <row r="6" spans="1:214" ht="34" x14ac:dyDescent="0.2">
      <c r="A6" s="72" t="s">
        <v>158</v>
      </c>
      <c r="D6" t="s">
        <v>132</v>
      </c>
      <c r="E6" t="s">
        <v>133</v>
      </c>
      <c r="F6" t="s">
        <v>160</v>
      </c>
      <c r="G6" s="1" t="s">
        <v>161</v>
      </c>
      <c r="H6" s="1" t="s">
        <v>162</v>
      </c>
      <c r="I6" s="59">
        <f>SUMIF('Supersite Working-AW'!$R$4:$R$196,$D6,'Supersite Working-AW'!$L$4:$L$196)</f>
        <v>8884</v>
      </c>
      <c r="J6" s="59">
        <f>SUMIF('Supersite Working-AW'!$R$4:$R$196,$D6,'Supersite Working-AW'!$M$4:$M$196)</f>
        <v>222.1</v>
      </c>
      <c r="K6" s="1">
        <f t="shared" ref="K6:K25" si="5">COUNTA(M6:AK6)</f>
        <v>13</v>
      </c>
      <c r="L6" s="51" t="str">
        <f t="shared" ref="L6:L25" si="6">(M6&amp;","&amp;N6&amp;","&amp;O6&amp;","&amp;P6&amp;","&amp;Q6&amp;","&amp;R6&amp;","&amp;S6&amp;","&amp;T6&amp;","&amp;U6&amp;","&amp;V6&amp;","&amp;W6&amp;","&amp;X6&amp;","&amp;Y6&amp;","&amp;Z6&amp;","&amp;AA6&amp;","&amp;AB6&amp;","&amp;AC6&amp;","&amp;AD6&amp;","&amp;AE6&amp;","&amp;AF6&amp;","&amp;AG6&amp;","&amp;AH6&amp;","&amp;AI6&amp;","&amp;AJ6&amp;","&amp;AK6)</f>
        <v>803,804,805,806,807,811,812,813,814,815,816,911,912,,,,,,,,,,,,</v>
      </c>
      <c r="M6" s="1">
        <v>803</v>
      </c>
      <c r="N6" s="1">
        <v>804</v>
      </c>
      <c r="O6" s="1">
        <v>805</v>
      </c>
      <c r="P6" s="1">
        <v>806</v>
      </c>
      <c r="Q6" s="1">
        <v>807</v>
      </c>
      <c r="R6" s="1">
        <v>811</v>
      </c>
      <c r="S6" s="1">
        <v>812</v>
      </c>
      <c r="T6" s="1">
        <v>813</v>
      </c>
      <c r="U6" s="1">
        <v>814</v>
      </c>
      <c r="V6" s="1">
        <v>815</v>
      </c>
      <c r="W6" s="1">
        <v>816</v>
      </c>
      <c r="X6" s="1">
        <v>911</v>
      </c>
      <c r="Y6" s="1">
        <v>912</v>
      </c>
      <c r="AL6" s="1">
        <f t="shared" si="0"/>
        <v>3</v>
      </c>
      <c r="AM6" s="46">
        <f>+INDEX('Supersite Working-AW'!$R$4:$AG$196,MATCH('Recap SS,Precincts,Chairs'!$D6,'Supersite Working-AW'!$R$4:$R$196,0),7)</f>
        <v>107153029</v>
      </c>
      <c r="AN6" s="46" t="str">
        <f>+INDEX('Supersite Working-AW'!$R$4:$AG$196,MATCH('Recap SS,Precincts,Chairs'!$D6,'Supersite Working-AW'!$R$4:$R$196,0),13)</f>
        <v>Kenneth Nova</v>
      </c>
      <c r="AO6" t="str">
        <f>+INDEX('NGP Chairs CoChairs'!$A$2:$I$53,MATCH('Recap SS,Precincts,Chairs'!$AM6,'NGP Chairs CoChairs'!$A$2:$A$53,0),7)</f>
        <v>3032492204</v>
      </c>
      <c r="AP6" t="str">
        <f>+INDEX('NGP Chairs CoChairs'!$A$2:$I$53,MATCH('Recap SS,Precincts,Chairs'!$AM6,'NGP Chairs CoChairs'!$A$2:$A$53,0),8)</f>
        <v>joel.b.smith@att.net</v>
      </c>
      <c r="AQ6" s="46">
        <f>+INDEX('Supersite Working-AW'!$R$4:$AG$196,MATCH('Recap SS,Precincts,Chairs'!$D6,'Supersite Working-AW'!$R$4:$R$196,0),8)</f>
        <v>107152549</v>
      </c>
      <c r="AR6" s="46" t="str">
        <f>+INDEX('Supersite Working-AW'!$R$4:$AG$196,MATCH('Recap SS,Precincts,Chairs'!$D6,'Supersite Working-AW'!$R$4:$R$196,0),14)</f>
        <v>Lilian Francklyn</v>
      </c>
      <c r="AS6" t="str">
        <f>+INDEX('NGP Chairs CoChairs'!$A$2:$I$53,MATCH('Recap SS,Precincts,Chairs'!$AQ6,'NGP Chairs CoChairs'!$A$2:$A$53,0),7)</f>
        <v>3039491542</v>
      </c>
      <c r="AT6" t="str">
        <f>+INDEX('NGP Chairs CoChairs'!$A$2:$I$53,MATCH('Recap SS,Precincts,Chairs'!$AQ6,'NGP Chairs CoChairs'!$A$2:$A$53,0),8)</f>
        <v>Hart@bocodems.org</v>
      </c>
      <c r="AU6" s="46">
        <f>+INDEX('Supersite Working-AW'!$R$4:$AG$196,MATCH('Recap SS,Precincts,Chairs'!$D6,'Supersite Working-AW'!$R$4:$R$196,0),9)</f>
        <v>107152440</v>
      </c>
      <c r="AV6" s="46" t="str">
        <f>+INDEX('Supersite Working-AW'!$R$4:$AG$196,MATCH('Recap SS,Precincts,Chairs'!$D6,'Supersite Working-AW'!$R$4:$R$196,0),15)</f>
        <v>Neil Fishman</v>
      </c>
      <c r="AW6" t="str">
        <f>+INDEX('NGP Chairs CoChairs'!$A$2:$I$53,MATCH('Recap SS,Precincts,Chairs'!$AU6,'NGP Chairs CoChairs'!$A$2:$A$53,0),7)</f>
        <v>5183307872</v>
      </c>
      <c r="AX6" t="str">
        <f>+INDEX('NGP Chairs CoChairs'!$A$2:$I$53,MATCH('Recap SS,Precincts,Chairs'!$AU6,'NGP Chairs CoChairs'!$A$2:$A$53,0),8)</f>
        <v>pat@bocodems.org</v>
      </c>
      <c r="AY6" s="46">
        <f>+INDEX('Supersite Working-AW'!$R$4:$AG$196,MATCH('Recap SS,Precincts,Chairs'!$D6,'Supersite Working-AW'!$R$4:$R$196,0),10)</f>
        <v>0</v>
      </c>
      <c r="AZ6" s="46" t="str">
        <f>+INDEX('Supersite Working-AW'!$R$4:$AG$196,MATCH('Recap SS,Precincts,Chairs'!$D6,'Supersite Working-AW'!$R$4:$R$196,0),16)</f>
        <v>Heather Baer</v>
      </c>
      <c r="BA6" t="e">
        <f>+INDEX('NGP Chairs CoChairs'!$A$2:$I$53,MATCH('Recap SS,Precincts,Chairs'!$AY6,'NGP Chairs CoChairs'!$A$2:$A$53,0),7)</f>
        <v>#N/A</v>
      </c>
      <c r="BB6" t="e">
        <f>+INDEX('NGP Chairs CoChairs'!$A$2:$I$53,MATCH('Recap SS,Precincts,Chairs'!$AY6,'NGP Chairs CoChairs'!$A$2:$A$53,0),8)</f>
        <v>#N/A</v>
      </c>
      <c r="BC6">
        <f t="shared" si="1"/>
        <v>1</v>
      </c>
      <c r="BD6">
        <f t="shared" si="2"/>
        <v>1</v>
      </c>
      <c r="BE6">
        <f t="shared" si="3"/>
        <v>1</v>
      </c>
      <c r="BF6" t="str">
        <f t="shared" si="4"/>
        <v/>
      </c>
      <c r="BH6">
        <v>2</v>
      </c>
    </row>
    <row r="7" spans="1:214" ht="17" x14ac:dyDescent="0.2">
      <c r="A7" s="72" t="s">
        <v>158</v>
      </c>
      <c r="B7" s="72" t="s">
        <v>158</v>
      </c>
      <c r="C7" s="75" t="s">
        <v>158</v>
      </c>
      <c r="D7" t="s">
        <v>164</v>
      </c>
      <c r="E7" t="s">
        <v>165</v>
      </c>
      <c r="F7" t="s">
        <v>160</v>
      </c>
      <c r="G7" s="1" t="s">
        <v>166</v>
      </c>
      <c r="H7" s="1" t="s">
        <v>167</v>
      </c>
      <c r="I7" s="59">
        <f>SUMIF('Supersite Working-AW'!$R$4:$R$196,$D7,'Supersite Working-AW'!$L$4:$L$196)</f>
        <v>1893</v>
      </c>
      <c r="J7" s="59">
        <f>SUMIF('Supersite Working-AW'!$R$4:$R$196,$D7,'Supersite Working-AW'!$M$4:$M$196)</f>
        <v>47.325000000000003</v>
      </c>
      <c r="K7" s="1">
        <f t="shared" ref="K7" si="7">COUNTA(M7:AK7)</f>
        <v>3</v>
      </c>
      <c r="L7" s="51" t="str">
        <f t="shared" ref="L7" si="8">(M7&amp;","&amp;N7&amp;","&amp;O7&amp;","&amp;P7&amp;","&amp;Q7&amp;","&amp;R7&amp;","&amp;S7&amp;","&amp;T7&amp;","&amp;U7&amp;","&amp;V7&amp;","&amp;W7&amp;","&amp;X7&amp;","&amp;Y7&amp;","&amp;Z7&amp;","&amp;AA7&amp;","&amp;AB7&amp;","&amp;AC7&amp;","&amp;AD7&amp;","&amp;AE7&amp;","&amp;AF7&amp;","&amp;AG7&amp;","&amp;AH7&amp;","&amp;AI7&amp;","&amp;AJ7&amp;","&amp;AK7)</f>
        <v>840,842,848,,,,,,,,,,,,,,,,,,,,,,</v>
      </c>
      <c r="M7" s="1">
        <v>840</v>
      </c>
      <c r="N7" s="1">
        <v>842</v>
      </c>
      <c r="O7" s="1">
        <v>848</v>
      </c>
      <c r="AL7" s="1">
        <f t="shared" ref="AL7" si="9">SUM(BC7:BF7)</f>
        <v>2</v>
      </c>
      <c r="AM7" s="46">
        <f>+INDEX('Supersite Working-AW'!$R$4:$AG$196,MATCH('Recap SS,Precincts,Chairs'!$D7,'Supersite Working-AW'!$R$4:$R$196,0),7)</f>
        <v>107152229</v>
      </c>
      <c r="AN7" s="46" t="str">
        <f>+INDEX('Supersite Working-AW'!$R$4:$AG$196,MATCH('Recap SS,Precincts,Chairs'!$D7,'Supersite Working-AW'!$R$4:$R$196,0),13)</f>
        <v>Guy Errickson</v>
      </c>
      <c r="AO7" t="str">
        <f>+INDEX('NGP Chairs CoChairs'!$A$2:$I$53,MATCH('Recap SS,Precincts,Chairs'!$AM7,'NGP Chairs CoChairs'!$A$2:$A$53,0),7)</f>
        <v>7204955088</v>
      </c>
      <c r="AP7" t="str">
        <f>+INDEX('NGP Chairs CoChairs'!$A$2:$I$53,MATCH('Recap SS,Precincts,Chairs'!$AM7,'NGP Chairs CoChairs'!$A$2:$A$53,0),8)</f>
        <v>Candace@bocodems.org</v>
      </c>
      <c r="AQ7" s="46">
        <f>+INDEX('Supersite Working-AW'!$R$4:$AG$196,MATCH('Recap SS,Precincts,Chairs'!$D7,'Supersite Working-AW'!$R$4:$R$196,0),8)</f>
        <v>107152370</v>
      </c>
      <c r="AR7" s="46" t="str">
        <f>+INDEX('Supersite Working-AW'!$R$4:$AG$196,MATCH('Recap SS,Precincts,Chairs'!$D7,'Supersite Working-AW'!$R$4:$R$196,0),14)</f>
        <v>Katie Malzbender</v>
      </c>
      <c r="AS7" t="str">
        <f>+INDEX('NGP Chairs CoChairs'!$A$2:$I$53,MATCH('Recap SS,Precincts,Chairs'!$AQ7,'NGP Chairs CoChairs'!$A$2:$A$53,0),7)</f>
        <v>3038172531</v>
      </c>
      <c r="AT7" t="str">
        <f>+INDEX('NGP Chairs CoChairs'!$A$2:$I$53,MATCH('Recap SS,Precincts,Chairs'!$AQ7,'NGP Chairs CoChairs'!$A$2:$A$53,0),8)</f>
        <v>Peter_Dawson1@yahoo.com</v>
      </c>
      <c r="AU7" s="46">
        <f>+INDEX('Supersite Working-AW'!$R$4:$AG$196,MATCH('Recap SS,Precincts,Chairs'!$D7,'Supersite Working-AW'!$R$4:$R$196,0),9)</f>
        <v>0</v>
      </c>
      <c r="AV7" s="46" t="str">
        <f>+INDEX('Supersite Working-AW'!$R$4:$AG$196,MATCH('Recap SS,Precincts,Chairs'!$D7,'Supersite Working-AW'!$R$4:$R$196,0),15)</f>
        <v>Candace Bowie</v>
      </c>
      <c r="AW7" t="e">
        <f>+INDEX('NGP Chairs CoChairs'!$A$2:$I$53,MATCH('Recap SS,Precincts,Chairs'!$AU7,'NGP Chairs CoChairs'!$A$2:$A$53,0),7)</f>
        <v>#N/A</v>
      </c>
      <c r="AX7" t="e">
        <f>+INDEX('NGP Chairs CoChairs'!$A$2:$I$53,MATCH('Recap SS,Precincts,Chairs'!$AU7,'NGP Chairs CoChairs'!$A$2:$A$53,0),8)</f>
        <v>#N/A</v>
      </c>
      <c r="AY7" s="46">
        <f>+INDEX('Supersite Working-AW'!$R$4:$AG$196,MATCH('Recap SS,Precincts,Chairs'!$D7,'Supersite Working-AW'!$R$4:$R$196,0),10)</f>
        <v>0</v>
      </c>
      <c r="AZ7" s="46" t="str">
        <f>+INDEX('Supersite Working-AW'!$R$4:$AG$196,MATCH('Recap SS,Precincts,Chairs'!$D7,'Supersite Working-AW'!$R$4:$R$196,0),16)</f>
        <v>Peter Dawson</v>
      </c>
      <c r="BA7" t="e">
        <f>+INDEX('NGP Chairs CoChairs'!$A$2:$I$53,MATCH('Recap SS,Precincts,Chairs'!$AY7,'NGP Chairs CoChairs'!$A$2:$A$53,0),7)</f>
        <v>#N/A</v>
      </c>
      <c r="BB7" t="e">
        <f>+INDEX('NGP Chairs CoChairs'!$A$2:$I$53,MATCH('Recap SS,Precincts,Chairs'!$AY7,'NGP Chairs CoChairs'!$A$2:$A$53,0),8)</f>
        <v>#N/A</v>
      </c>
      <c r="BC7">
        <f t="shared" ref="BC7" si="10">IF(AN7&lt;&gt;0,1,"")</f>
        <v>1</v>
      </c>
      <c r="BD7">
        <f t="shared" ref="BD7" si="11">IF(AQ7&lt;&gt;0,1,"")</f>
        <v>1</v>
      </c>
      <c r="BE7" t="str">
        <f t="shared" ref="BE7" si="12">IF(AU7&lt;&gt;0,1,"")</f>
        <v/>
      </c>
      <c r="BF7" t="str">
        <f t="shared" ref="BF7" si="13">IF(AY7&lt;&gt;0,1,"")</f>
        <v/>
      </c>
      <c r="BH7">
        <v>3</v>
      </c>
    </row>
    <row r="8" spans="1:214" ht="17" x14ac:dyDescent="0.2">
      <c r="A8" s="72" t="s">
        <v>158</v>
      </c>
      <c r="B8" s="72" t="s">
        <v>158</v>
      </c>
      <c r="C8" s="75" t="s">
        <v>168</v>
      </c>
      <c r="D8" t="s">
        <v>44</v>
      </c>
      <c r="E8" t="s">
        <v>143</v>
      </c>
      <c r="F8" t="s">
        <v>160</v>
      </c>
      <c r="G8" s="1" t="s">
        <v>169</v>
      </c>
      <c r="H8" s="1" t="s">
        <v>170</v>
      </c>
      <c r="I8" s="59">
        <f>SUMIF('Supersite Working-AW'!$R$4:$R$196,$D8,'Supersite Working-AW'!$L$4:$L$196)</f>
        <v>3990</v>
      </c>
      <c r="J8" s="59">
        <f>SUMIF('Supersite Working-AW'!$R$4:$R$196,$D8,'Supersite Working-AW'!$M$4:$M$196)</f>
        <v>99.75</v>
      </c>
      <c r="K8" s="1">
        <f t="shared" si="5"/>
        <v>9</v>
      </c>
      <c r="L8" s="51" t="str">
        <f t="shared" si="6"/>
        <v>4,834,835,836,837,838,839,841,849,,,,,,,,,,,,,,,,</v>
      </c>
      <c r="M8" s="31">
        <v>4</v>
      </c>
      <c r="N8" s="31">
        <v>834</v>
      </c>
      <c r="O8" s="31">
        <v>835</v>
      </c>
      <c r="P8" s="31">
        <v>836</v>
      </c>
      <c r="Q8" s="31">
        <v>837</v>
      </c>
      <c r="R8" s="31">
        <v>838</v>
      </c>
      <c r="S8" s="31">
        <v>839</v>
      </c>
      <c r="T8" s="31">
        <v>841</v>
      </c>
      <c r="U8" s="31">
        <v>849</v>
      </c>
      <c r="V8" s="31"/>
      <c r="W8" s="31"/>
      <c r="X8" s="31"/>
      <c r="Y8" s="31"/>
      <c r="Z8" s="31"/>
      <c r="AA8" s="31"/>
      <c r="AL8" s="1">
        <f t="shared" si="0"/>
        <v>2</v>
      </c>
      <c r="AM8" s="46">
        <f>+INDEX('Supersite Working-AW'!$R$4:$AG$196,MATCH('Recap SS,Precincts,Chairs'!$D8,'Supersite Working-AW'!$R$4:$R$196,0),7)</f>
        <v>142893063</v>
      </c>
      <c r="AN8" s="46" t="str">
        <f>+INDEX('Supersite Working-AW'!$R$4:$AG$196,MATCH('Recap SS,Precincts,Chairs'!$D8,'Supersite Working-AW'!$R$4:$R$196,0),13)</f>
        <v>Michael Smith</v>
      </c>
      <c r="AO8" t="str">
        <f>+INDEX('NGP Chairs CoChairs'!$A$2:$I$53,MATCH('Recap SS,Precincts,Chairs'!$AM8,'NGP Chairs CoChairs'!$A$2:$A$53,0),7)</f>
        <v>7202334208</v>
      </c>
      <c r="AP8" t="str">
        <f>+INDEX('NGP Chairs CoChairs'!$A$2:$I$53,MATCH('Recap SS,Precincts,Chairs'!$AM8,'NGP Chairs CoChairs'!$A$2:$A$53,0),8)</f>
        <v>guycoma@yahoo.com</v>
      </c>
      <c r="AQ8" s="46">
        <f>+INDEX('Supersite Working-AW'!$R$4:$AG$196,MATCH('Recap SS,Precincts,Chairs'!$D8,'Supersite Working-AW'!$R$4:$R$196,0),8)</f>
        <v>113627156</v>
      </c>
      <c r="AR8" s="46" t="e">
        <f>+INDEX('Supersite Working-AW'!$R$4:$AG$196,MATCH('Recap SS,Precincts,Chairs'!$D8,'Supersite Working-AW'!$R$4:$R$196,0),14)</f>
        <v>#N/A</v>
      </c>
      <c r="AS8" t="str">
        <f>+INDEX('NGP Chairs CoChairs'!$A$2:$I$53,MATCH('Recap SS,Precincts,Chairs'!$AQ8,'NGP Chairs CoChairs'!$A$2:$A$53,0),7)</f>
        <v>3038867847</v>
      </c>
      <c r="AT8" t="str">
        <f>+INDEX('NGP Chairs CoChairs'!$A$2:$I$53,MATCH('Recap SS,Precincts,Chairs'!$AQ8,'NGP Chairs CoChairs'!$A$2:$A$53,0),8)</f>
        <v>Katie@bocodems.org</v>
      </c>
      <c r="AU8" s="46"/>
      <c r="AV8" s="46" t="s">
        <v>97</v>
      </c>
      <c r="AW8" t="e">
        <f>+INDEX('NGP Chairs CoChairs'!$A$2:$I$53,MATCH('Recap SS,Precincts,Chairs'!$AU8,'NGP Chairs CoChairs'!$A$2:$A$53,0),7)</f>
        <v>#N/A</v>
      </c>
      <c r="AX8" t="e">
        <f>+INDEX('NGP Chairs CoChairs'!$A$2:$I$53,MATCH('Recap SS,Precincts,Chairs'!$AU8,'NGP Chairs CoChairs'!$A$2:$A$53,0),8)</f>
        <v>#N/A</v>
      </c>
      <c r="AY8" s="46"/>
      <c r="AZ8" s="46" t="s">
        <v>97</v>
      </c>
      <c r="BA8" t="e">
        <f>+INDEX('NGP Chairs CoChairs'!$A$2:$I$53,MATCH('Recap SS,Precincts,Chairs'!$AY8,'NGP Chairs CoChairs'!$A$2:$A$53,0),7)</f>
        <v>#N/A</v>
      </c>
      <c r="BB8" t="e">
        <f>+INDEX('NGP Chairs CoChairs'!$A$2:$I$53,MATCH('Recap SS,Precincts,Chairs'!$AY8,'NGP Chairs CoChairs'!$A$2:$A$53,0),8)</f>
        <v>#N/A</v>
      </c>
      <c r="BC8">
        <f t="shared" si="1"/>
        <v>1</v>
      </c>
      <c r="BD8">
        <f t="shared" si="2"/>
        <v>1</v>
      </c>
      <c r="BE8" t="str">
        <f t="shared" si="3"/>
        <v/>
      </c>
      <c r="BF8" t="str">
        <f t="shared" si="4"/>
        <v/>
      </c>
      <c r="BH8">
        <v>4</v>
      </c>
    </row>
    <row r="9" spans="1:214" ht="34" x14ac:dyDescent="0.2">
      <c r="A9" s="72" t="s">
        <v>158</v>
      </c>
      <c r="C9" s="75" t="s">
        <v>163</v>
      </c>
      <c r="D9" t="s">
        <v>125</v>
      </c>
      <c r="E9" t="s">
        <v>126</v>
      </c>
      <c r="F9" t="s">
        <v>160</v>
      </c>
      <c r="G9" s="1" t="s">
        <v>166</v>
      </c>
      <c r="H9" s="1" t="s">
        <v>171</v>
      </c>
      <c r="I9" s="59">
        <f>SUMIF('Supersite Working-AW'!$R$4:$R$196,$D9,'Supersite Working-AW'!$L$4:$L$196)</f>
        <v>3670</v>
      </c>
      <c r="J9" s="59">
        <f>SUMIF('Supersite Working-AW'!$R$4:$R$196,$D9,'Supersite Working-AW'!$M$4:$M$196)</f>
        <v>91.750000000000014</v>
      </c>
      <c r="K9" s="1">
        <f t="shared" si="5"/>
        <v>5</v>
      </c>
      <c r="L9" s="51" t="str">
        <f t="shared" si="6"/>
        <v>828,829,831,832,833,,,,,,,,,,,,,,,,,,,,</v>
      </c>
      <c r="M9" s="1">
        <v>828</v>
      </c>
      <c r="N9" s="1">
        <v>829</v>
      </c>
      <c r="O9" s="1">
        <v>831</v>
      </c>
      <c r="P9" s="1">
        <v>832</v>
      </c>
      <c r="Q9" s="1">
        <v>833</v>
      </c>
      <c r="AL9" s="1">
        <f t="shared" si="0"/>
        <v>1</v>
      </c>
      <c r="AM9" s="46">
        <f>+INDEX('Supersite Working-AW'!$R$4:$AG$196,MATCH('Recap SS,Precincts,Chairs'!$D9,'Supersite Working-AW'!$R$4:$R$196,0),7)</f>
        <v>147113970</v>
      </c>
      <c r="AN9" s="46" t="str">
        <f>+INDEX('Supersite Working-AW'!$R$4:$AG$196,MATCH('Recap SS,Precincts,Chairs'!$D9,'Supersite Working-AW'!$R$4:$R$196,0),13)</f>
        <v>David Kline</v>
      </c>
      <c r="AO9" t="str">
        <f>+INDEX('NGP Chairs CoChairs'!$A$2:$I$53,MATCH('Recap SS,Precincts,Chairs'!$AM9,'NGP Chairs CoChairs'!$A$2:$A$53,0),7)</f>
        <v>9525673288</v>
      </c>
      <c r="AP9" t="str">
        <f>+INDEX('NGP Chairs CoChairs'!$A$2:$I$53,MATCH('Recap SS,Precincts,Chairs'!$AM9,'NGP Chairs CoChairs'!$A$2:$A$53,0),8)</f>
        <v>mism1838@colorado.edu</v>
      </c>
      <c r="AQ9" s="46">
        <f>+INDEX('Supersite Working-AW'!$R$4:$AG$196,MATCH('Recap SS,Precincts,Chairs'!$D9,'Supersite Working-AW'!$R$4:$R$196,0),8)</f>
        <v>0</v>
      </c>
      <c r="AR9" s="46" t="str">
        <f>+INDEX('Supersite Working-AW'!$R$4:$AG$196,MATCH('Recap SS,Precincts,Chairs'!$D9,'Supersite Working-AW'!$R$4:$R$196,0),14)</f>
        <v>Geof Cahoon</v>
      </c>
      <c r="AS9" t="e">
        <f>+INDEX('NGP Chairs CoChairs'!$A$2:$I$53,MATCH('Recap SS,Precincts,Chairs'!$AQ9,'NGP Chairs CoChairs'!$A$2:$A$53,0),7)</f>
        <v>#N/A</v>
      </c>
      <c r="AT9" t="e">
        <f>+INDEX('NGP Chairs CoChairs'!$A$2:$I$53,MATCH('Recap SS,Precincts,Chairs'!$AQ9,'NGP Chairs CoChairs'!$A$2:$A$53,0),8)</f>
        <v>#N/A</v>
      </c>
      <c r="AU9" s="46">
        <f>+INDEX('Supersite Working-AW'!$R$4:$AG$196,MATCH('Recap SS,Precincts,Chairs'!$D9,'Supersite Working-AW'!$R$4:$R$196,0),9)</f>
        <v>0</v>
      </c>
      <c r="AV9" s="46" t="str">
        <f>+INDEX('Supersite Working-AW'!$R$4:$AG$196,MATCH('Recap SS,Precincts,Chairs'!$D9,'Supersite Working-AW'!$R$4:$R$196,0),15)</f>
        <v>Bruce Norikane</v>
      </c>
      <c r="AW9" t="e">
        <f>+INDEX('NGP Chairs CoChairs'!$A$2:$I$53,MATCH('Recap SS,Precincts,Chairs'!$AU9,'NGP Chairs CoChairs'!$A$2:$A$53,0),7)</f>
        <v>#N/A</v>
      </c>
      <c r="AX9" t="e">
        <f>+INDEX('NGP Chairs CoChairs'!$A$2:$I$53,MATCH('Recap SS,Precincts,Chairs'!$AU9,'NGP Chairs CoChairs'!$A$2:$A$53,0),8)</f>
        <v>#N/A</v>
      </c>
      <c r="AY9" s="46">
        <f>+INDEX('Supersite Working-AW'!$R$4:$AG$196,MATCH('Recap SS,Precincts,Chairs'!$D9,'Supersite Working-AW'!$R$4:$R$196,0),10)</f>
        <v>0</v>
      </c>
      <c r="AZ9" s="46" t="e">
        <f>+INDEX('Supersite Working-AW'!$R$4:$AG$196,MATCH('Recap SS,Precincts,Chairs'!$D9,'Supersite Working-AW'!$R$4:$R$196,0),16)</f>
        <v>#N/A</v>
      </c>
      <c r="BA9" t="e">
        <f>+INDEX('NGP Chairs CoChairs'!$A$2:$I$53,MATCH('Recap SS,Precincts,Chairs'!$AY9,'NGP Chairs CoChairs'!$A$2:$A$53,0),7)</f>
        <v>#N/A</v>
      </c>
      <c r="BB9" t="e">
        <f>+INDEX('NGP Chairs CoChairs'!$A$2:$I$53,MATCH('Recap SS,Precincts,Chairs'!$AY9,'NGP Chairs CoChairs'!$A$2:$A$53,0),8)</f>
        <v>#N/A</v>
      </c>
      <c r="BC9">
        <f t="shared" si="1"/>
        <v>1</v>
      </c>
      <c r="BD9" t="str">
        <f t="shared" si="2"/>
        <v/>
      </c>
      <c r="BE9" t="str">
        <f t="shared" si="3"/>
        <v/>
      </c>
      <c r="BF9" t="str">
        <f t="shared" si="4"/>
        <v/>
      </c>
      <c r="BH9">
        <v>5</v>
      </c>
    </row>
    <row r="10" spans="1:214" ht="34" x14ac:dyDescent="0.2">
      <c r="A10" s="72" t="s">
        <v>158</v>
      </c>
      <c r="D10" t="s">
        <v>91</v>
      </c>
      <c r="E10" t="s">
        <v>148</v>
      </c>
      <c r="F10" t="s">
        <v>160</v>
      </c>
      <c r="G10" s="1" t="s">
        <v>161</v>
      </c>
      <c r="H10" s="1" t="s">
        <v>162</v>
      </c>
      <c r="I10" s="59">
        <f>SUMIF('Supersite Working-AW'!$R$4:$R$196,$D10,'Supersite Working-AW'!$L$4:$L$196)</f>
        <v>9066</v>
      </c>
      <c r="J10" s="59">
        <f>SUMIF('Supersite Working-AW'!$R$4:$R$196,$D10,'Supersite Working-AW'!$M$4:$M$196)</f>
        <v>226.65</v>
      </c>
      <c r="K10" s="1">
        <f t="shared" si="5"/>
        <v>16</v>
      </c>
      <c r="L10" s="51" t="str">
        <f t="shared" si="6"/>
        <v>830,843,844,845,846,847,850,851,852,853,854,855,856,857,900,906,,,,,,,,,</v>
      </c>
      <c r="M10" s="1">
        <v>830</v>
      </c>
      <c r="N10" s="1">
        <v>843</v>
      </c>
      <c r="O10" s="1">
        <v>844</v>
      </c>
      <c r="P10" s="1">
        <v>845</v>
      </c>
      <c r="Q10" s="1">
        <v>846</v>
      </c>
      <c r="R10" s="1">
        <v>847</v>
      </c>
      <c r="S10" s="1">
        <v>850</v>
      </c>
      <c r="T10" s="1">
        <v>851</v>
      </c>
      <c r="U10" s="1">
        <v>852</v>
      </c>
      <c r="V10" s="1">
        <v>853</v>
      </c>
      <c r="W10" s="1">
        <v>854</v>
      </c>
      <c r="X10" s="1">
        <v>855</v>
      </c>
      <c r="Y10" s="1">
        <v>856</v>
      </c>
      <c r="Z10" s="1">
        <v>857</v>
      </c>
      <c r="AA10" s="1">
        <v>900</v>
      </c>
      <c r="AB10" s="1">
        <v>906</v>
      </c>
      <c r="AL10" s="1">
        <f t="shared" si="0"/>
        <v>4</v>
      </c>
      <c r="AM10" s="46">
        <f>+INDEX('Supersite Working-AW'!$R$4:$AG$196,MATCH('Recap SS,Precincts,Chairs'!$D10,'Supersite Working-AW'!$R$4:$R$196,0),7)</f>
        <v>107152873</v>
      </c>
      <c r="AN10" s="46" t="str">
        <f>+INDEX('Supersite Working-AW'!$R$4:$AG$196,MATCH('Recap SS,Precincts,Chairs'!$D10,'Supersite Working-AW'!$R$4:$R$196,0),13)</f>
        <v>Joel Smith</v>
      </c>
      <c r="AO10" t="str">
        <f>+INDEX('NGP Chairs CoChairs'!$A$2:$I$53,MATCH('Recap SS,Precincts,Chairs'!$AM10,'NGP Chairs CoChairs'!$A$2:$A$53,0),7)</f>
        <v>3034786467</v>
      </c>
      <c r="AP10" t="str">
        <f>+INDEX('NGP Chairs CoChairs'!$A$2:$I$53,MATCH('Recap SS,Precincts,Chairs'!$AM10,'NGP Chairs CoChairs'!$A$2:$A$53,0),8)</f>
        <v>kgnova9@mac.com</v>
      </c>
      <c r="AQ10" s="46">
        <f>+INDEX('Supersite Working-AW'!$R$4:$AG$196,MATCH('Recap SS,Precincts,Chairs'!$D10,'Supersite Working-AW'!$R$4:$R$196,0),8)</f>
        <v>107152473</v>
      </c>
      <c r="AR10" s="46" t="str">
        <f>+INDEX('Supersite Working-AW'!$R$4:$AG$196,MATCH('Recap SS,Precincts,Chairs'!$D10,'Supersite Working-AW'!$R$4:$R$196,0),14)</f>
        <v>Michael Hart</v>
      </c>
      <c r="AS10" t="str">
        <f>+INDEX('NGP Chairs CoChairs'!$A$2:$I$53,MATCH('Recap SS,Precincts,Chairs'!$AQ10,'NGP Chairs CoChairs'!$A$2:$A$53,0),7)</f>
        <v>7202728398</v>
      </c>
      <c r="AT10" t="str">
        <f>+INDEX('NGP Chairs CoChairs'!$A$2:$I$53,MATCH('Recap SS,Precincts,Chairs'!$AQ10,'NGP Chairs CoChairs'!$A$2:$A$53,0),8)</f>
        <v>lili.francklyn@gmail.com</v>
      </c>
      <c r="AU10" s="46">
        <f>+INDEX('Supersite Working-AW'!$R$4:$AG$196,MATCH('Recap SS,Precincts,Chairs'!$D10,'Supersite Working-AW'!$R$4:$R$196,0),9)</f>
        <v>107152460</v>
      </c>
      <c r="AV10" s="46" t="str">
        <f>+INDEX('Supersite Working-AW'!$R$4:$AG$196,MATCH('Recap SS,Precincts,Chairs'!$D10,'Supersite Working-AW'!$R$4:$R$196,0),15)</f>
        <v>Patricia Feeser</v>
      </c>
      <c r="AW10" t="str">
        <f>+INDEX('NGP Chairs CoChairs'!$A$2:$I$53,MATCH('Recap SS,Precincts,Chairs'!$AU10,'NGP Chairs CoChairs'!$A$2:$A$53,0),7)</f>
        <v>7209385326</v>
      </c>
      <c r="AX10" t="str">
        <f>+INDEX('NGP Chairs CoChairs'!$A$2:$I$53,MATCH('Recap SS,Precincts,Chairs'!$AU10,'NGP Chairs CoChairs'!$A$2:$A$53,0),8)</f>
        <v>NSFTJB@COMCAST.NET</v>
      </c>
      <c r="AY10" s="46">
        <f>+INDEX('Supersite Working-AW'!$R$4:$AG$196,MATCH('Recap SS,Precincts,Chairs'!$D10,'Supersite Working-AW'!$R$4:$R$196,0),10)</f>
        <v>111658833</v>
      </c>
      <c r="AZ10" s="46" t="e">
        <f>+INDEX('Supersite Working-AW'!$R$4:$AG$196,MATCH('Recap SS,Precincts,Chairs'!$D10,'Supersite Working-AW'!$R$4:$R$196,0),16)</f>
        <v>#N/A</v>
      </c>
      <c r="BA10" t="str">
        <f>+INDEX('NGP Chairs CoChairs'!$A$2:$I$53,MATCH('Recap SS,Precincts,Chairs'!$AY10,'NGP Chairs CoChairs'!$A$2:$A$53,0),7)</f>
        <v>3039997682</v>
      </c>
      <c r="BB10" t="str">
        <f>+INDEX('NGP Chairs CoChairs'!$A$2:$I$53,MATCH('Recap SS,Precincts,Chairs'!$AY10,'NGP Chairs CoChairs'!$A$2:$A$53,0),8)</f>
        <v>heatherbaer331@gmail.com</v>
      </c>
      <c r="BC10">
        <f t="shared" si="1"/>
        <v>1</v>
      </c>
      <c r="BD10">
        <f t="shared" si="2"/>
        <v>1</v>
      </c>
      <c r="BE10">
        <f t="shared" si="3"/>
        <v>1</v>
      </c>
      <c r="BF10">
        <f t="shared" si="4"/>
        <v>1</v>
      </c>
      <c r="BH10">
        <v>6</v>
      </c>
    </row>
    <row r="11" spans="1:214" ht="17" x14ac:dyDescent="0.2">
      <c r="A11" s="72" t="s">
        <v>158</v>
      </c>
      <c r="D11" t="s">
        <v>1798</v>
      </c>
      <c r="E11" t="s">
        <v>136</v>
      </c>
      <c r="F11" t="s">
        <v>172</v>
      </c>
      <c r="G11" s="1" t="s">
        <v>173</v>
      </c>
      <c r="H11" s="1" t="s">
        <v>174</v>
      </c>
      <c r="I11" s="59">
        <f>SUMIF('Supersite Working-AW'!$R$4:$R$196,$D11,'Supersite Working-AW'!$L$4:$L$196)</f>
        <v>3936</v>
      </c>
      <c r="J11" s="59">
        <f>SUMIF('Supersite Working-AW'!$R$4:$R$196,$D11,'Supersite Working-AW'!$M$4:$M$196)</f>
        <v>98.4</v>
      </c>
      <c r="K11" s="1">
        <f t="shared" si="5"/>
        <v>9</v>
      </c>
      <c r="L11" s="51" t="str">
        <f t="shared" si="6"/>
        <v>400,401,402,403,404,405,406,407,408,,,,,,,,,,,,,,,,</v>
      </c>
      <c r="M11" s="1">
        <v>400</v>
      </c>
      <c r="N11" s="1">
        <v>401</v>
      </c>
      <c r="O11" s="1">
        <v>402</v>
      </c>
      <c r="P11" s="1">
        <v>403</v>
      </c>
      <c r="Q11" s="1">
        <v>404</v>
      </c>
      <c r="R11" s="1">
        <v>405</v>
      </c>
      <c r="S11" s="1">
        <v>406</v>
      </c>
      <c r="T11" s="1">
        <v>407</v>
      </c>
      <c r="U11" s="1">
        <v>408</v>
      </c>
      <c r="AL11" s="1">
        <f t="shared" si="0"/>
        <v>3</v>
      </c>
      <c r="AM11" s="46">
        <f>+INDEX('Supersite Working-AW'!$R$4:$AG$196,MATCH('Recap SS,Precincts,Chairs'!$D11,'Supersite Working-AW'!$R$4:$R$196,0),7)</f>
        <v>107152500</v>
      </c>
      <c r="AN11" s="46" t="str">
        <f>+INDEX('Supersite Working-AW'!$R$4:$AG$196,MATCH('Recap SS,Precincts,Chairs'!$D11,'Supersite Working-AW'!$R$4:$R$196,0),13)</f>
        <v>Michael Altenbern</v>
      </c>
      <c r="AO11" t="str">
        <f>+INDEX('NGP Chairs CoChairs'!$A$2:$I$53,MATCH('Recap SS,Precincts,Chairs'!$AM11,'NGP Chairs CoChairs'!$A$2:$A$53,0),7)</f>
        <v>7207327496</v>
      </c>
      <c r="AP11" t="str">
        <f>+INDEX('NGP Chairs CoChairs'!$A$2:$I$53,MATCH('Recap SS,Precincts,Chairs'!$AM11,'NGP Chairs CoChairs'!$A$2:$A$53,0),8)</f>
        <v>eriedem681@gmail.com</v>
      </c>
      <c r="AQ11" s="46">
        <f>+INDEX('Supersite Working-AW'!$R$4:$AG$196,MATCH('Recap SS,Precincts,Chairs'!$D11,'Supersite Working-AW'!$R$4:$R$196,0),8)</f>
        <v>144328289</v>
      </c>
      <c r="AR11" s="46" t="str">
        <f>+INDEX('Supersite Working-AW'!$R$4:$AG$196,MATCH('Recap SS,Precincts,Chairs'!$D11,'Supersite Working-AW'!$R$4:$R$196,0),14)</f>
        <v>Mark Flett</v>
      </c>
      <c r="AS11" t="str">
        <f>+INDEX('NGP Chairs CoChairs'!$A$2:$I$53,MATCH('Recap SS,Precincts,Chairs'!$AQ11,'NGP Chairs CoChairs'!$A$2:$A$53,0),7)</f>
        <v>7326737007</v>
      </c>
      <c r="AT11" t="str">
        <f>+INDEX('NGP Chairs CoChairs'!$A$2:$I$53,MATCH('Recap SS,Precincts,Chairs'!$AQ11,'NGP Chairs CoChairs'!$A$2:$A$53,0),8)</f>
        <v>pammyt@gmail.com</v>
      </c>
      <c r="AU11" s="46">
        <f>+INDEX('Supersite Working-AW'!$R$4:$AG$196,MATCH('Recap SS,Precincts,Chairs'!$D11,'Supersite Working-AW'!$R$4:$R$196,0),9)</f>
        <v>107152262</v>
      </c>
      <c r="AV11" s="46" t="str">
        <f>+INDEX('Supersite Working-AW'!$R$4:$AG$196,MATCH('Recap SS,Precincts,Chairs'!$D11,'Supersite Working-AW'!$R$4:$R$196,0),15)</f>
        <v>Susan Winter</v>
      </c>
      <c r="AW11" t="str">
        <f>+INDEX('NGP Chairs CoChairs'!$A$2:$I$53,MATCH('Recap SS,Precincts,Chairs'!$AU11,'NGP Chairs CoChairs'!$A$2:$A$53,0),7)</f>
        <v>7192515246</v>
      </c>
      <c r="AX11" t="str">
        <f>+INDEX('NGP Chairs CoChairs'!$A$2:$I$53,MATCH('Recap SS,Precincts,Chairs'!$AU11,'NGP Chairs CoChairs'!$A$2:$A$53,0),8)</f>
        <v>Timm@bocodems.org</v>
      </c>
      <c r="AY11" s="46">
        <f>+INDEX('Supersite Working-AW'!$R$4:$AG$196,MATCH('Recap SS,Precincts,Chairs'!$D11,'Supersite Working-AW'!$R$4:$R$196,0),10)</f>
        <v>0</v>
      </c>
      <c r="AZ11" s="46" t="e">
        <f>+INDEX('Supersite Working-AW'!$R$4:$AG$196,MATCH('Recap SS,Precincts,Chairs'!$D11,'Supersite Working-AW'!$R$4:$R$196,0),16)</f>
        <v>#N/A</v>
      </c>
      <c r="BA11" t="e">
        <f>+INDEX('NGP Chairs CoChairs'!$A$2:$I$53,MATCH('Recap SS,Precincts,Chairs'!$AY11,'NGP Chairs CoChairs'!$A$2:$A$53,0),7)</f>
        <v>#N/A</v>
      </c>
      <c r="BB11" t="e">
        <f>+INDEX('NGP Chairs CoChairs'!$A$2:$I$53,MATCH('Recap SS,Precincts,Chairs'!$AY11,'NGP Chairs CoChairs'!$A$2:$A$53,0),8)</f>
        <v>#N/A</v>
      </c>
      <c r="BC11">
        <f t="shared" si="1"/>
        <v>1</v>
      </c>
      <c r="BD11">
        <f t="shared" si="2"/>
        <v>1</v>
      </c>
      <c r="BE11">
        <f t="shared" si="3"/>
        <v>1</v>
      </c>
      <c r="BF11" t="str">
        <f t="shared" si="4"/>
        <v/>
      </c>
      <c r="BH11">
        <v>7</v>
      </c>
    </row>
    <row r="12" spans="1:214" ht="34" x14ac:dyDescent="0.2">
      <c r="A12" s="72" t="s">
        <v>158</v>
      </c>
      <c r="B12" s="72" t="s">
        <v>158</v>
      </c>
      <c r="D12" t="s">
        <v>94</v>
      </c>
      <c r="E12" t="s">
        <v>147</v>
      </c>
      <c r="F12" t="s">
        <v>175</v>
      </c>
      <c r="G12" s="1" t="s">
        <v>166</v>
      </c>
      <c r="H12" s="1" t="s">
        <v>170</v>
      </c>
      <c r="I12" s="59">
        <f>SUMIF('Supersite Working-AW'!$R$4:$R$196,$D12,'Supersite Working-AW'!$L$4:$L$196)</f>
        <v>8719</v>
      </c>
      <c r="J12" s="59">
        <f>SUMIF('Supersite Working-AW'!$R$4:$R$196,$D12,'Supersite Working-AW'!$M$4:$M$196)</f>
        <v>217.97500000000002</v>
      </c>
      <c r="K12" s="1">
        <f t="shared" si="5"/>
        <v>14</v>
      </c>
      <c r="L12" s="51" t="str">
        <f t="shared" si="6"/>
        <v>503,504,505,506,507,508,509,510,800,801,802,808,809,819,,,,,,,,,,,</v>
      </c>
      <c r="M12" s="1">
        <v>503</v>
      </c>
      <c r="N12" s="1">
        <v>504</v>
      </c>
      <c r="O12" s="1">
        <v>505</v>
      </c>
      <c r="P12" s="1">
        <v>506</v>
      </c>
      <c r="Q12" s="1">
        <v>507</v>
      </c>
      <c r="R12" s="1">
        <v>508</v>
      </c>
      <c r="S12" s="1">
        <v>509</v>
      </c>
      <c r="T12" s="1">
        <v>510</v>
      </c>
      <c r="U12" s="1">
        <v>800</v>
      </c>
      <c r="V12" s="1">
        <v>801</v>
      </c>
      <c r="W12" s="1">
        <v>802</v>
      </c>
      <c r="X12" s="1">
        <v>808</v>
      </c>
      <c r="Y12" s="1">
        <v>809</v>
      </c>
      <c r="Z12" s="1">
        <v>819</v>
      </c>
      <c r="AL12" s="1">
        <f t="shared" si="0"/>
        <v>2</v>
      </c>
      <c r="AM12" s="46">
        <f>+INDEX('Supersite Working-AW'!$R$4:$AG$196,MATCH('Recap SS,Precincts,Chairs'!$D12,'Supersite Working-AW'!$R$4:$R$196,0),7)</f>
        <v>107152131</v>
      </c>
      <c r="AN12" s="46" t="str">
        <f>+INDEX('Supersite Working-AW'!$R$4:$AG$196,MATCH('Recap SS,Precincts,Chairs'!$D12,'Supersite Working-AW'!$R$4:$R$196,0),13)</f>
        <v>Jennifer Bales</v>
      </c>
      <c r="AO12" t="str">
        <f>+INDEX('NGP Chairs CoChairs'!$A$2:$I$53,MATCH('Recap SS,Precincts,Chairs'!$AM12,'NGP Chairs CoChairs'!$A$2:$A$53,0),7)</f>
        <v>3039097201</v>
      </c>
      <c r="AP12" t="str">
        <f>+INDEX('NGP Chairs CoChairs'!$A$2:$I$53,MATCH('Recap SS,Precincts,Chairs'!$AM12,'NGP Chairs CoChairs'!$A$2:$A$53,0),8)</f>
        <v>mike@bocodems.org</v>
      </c>
      <c r="AQ12" s="46">
        <f>+INDEX('Supersite Working-AW'!$R$4:$AG$196,MATCH('Recap SS,Precincts,Chairs'!$D12,'Supersite Working-AW'!$R$4:$R$196,0),8)</f>
        <v>122989657</v>
      </c>
      <c r="AR12" s="46" t="e">
        <f>+INDEX('Supersite Working-AW'!$R$4:$AG$196,MATCH('Recap SS,Precincts,Chairs'!$D12,'Supersite Working-AW'!$R$4:$R$196,0),14)</f>
        <v>#N/A</v>
      </c>
      <c r="AS12" t="str">
        <f>+INDEX('NGP Chairs CoChairs'!$A$2:$I$53,MATCH('Recap SS,Precincts,Chairs'!$AQ12,'NGP Chairs CoChairs'!$A$2:$A$53,0),7)</f>
        <v>3032291024</v>
      </c>
      <c r="AT12" t="str">
        <f>+INDEX('NGP Chairs CoChairs'!$A$2:$I$53,MATCH('Recap SS,Precincts,Chairs'!$AQ12,'NGP Chairs CoChairs'!$A$2:$A$53,0),8)</f>
        <v>markflett4u@gmail.com</v>
      </c>
      <c r="AU12" s="46"/>
      <c r="AV12" s="46" t="e">
        <f>+INDEX('Supersite Working-AW'!$R$4:$AG$196,MATCH('Recap SS,Precincts,Chairs'!$D12,'Supersite Working-AW'!$R$4:$R$196,0),15)</f>
        <v>#N/A</v>
      </c>
      <c r="AW12" t="e">
        <f>+INDEX('NGP Chairs CoChairs'!$A$2:$I$53,MATCH('Recap SS,Precincts,Chairs'!$AU12,'NGP Chairs CoChairs'!$A$2:$A$53,0),7)</f>
        <v>#N/A</v>
      </c>
      <c r="AX12" t="e">
        <f>+INDEX('NGP Chairs CoChairs'!$A$2:$I$53,MATCH('Recap SS,Precincts,Chairs'!$AU12,'NGP Chairs CoChairs'!$A$2:$A$53,0),8)</f>
        <v>#N/A</v>
      </c>
      <c r="AY12" s="46">
        <f>+INDEX('Supersite Working-AW'!$R$4:$AG$196,MATCH('Recap SS,Precincts,Chairs'!$D12,'Supersite Working-AW'!$R$4:$R$196,0),10)</f>
        <v>0</v>
      </c>
      <c r="AZ12" s="46" t="e">
        <f>+INDEX('Supersite Working-AW'!$R$4:$AG$196,MATCH('Recap SS,Precincts,Chairs'!$D12,'Supersite Working-AW'!$R$4:$R$196,0),16)</f>
        <v>#N/A</v>
      </c>
      <c r="BA12" t="e">
        <f>+INDEX('NGP Chairs CoChairs'!$A$2:$I$53,MATCH('Recap SS,Precincts,Chairs'!$AY12,'NGP Chairs CoChairs'!$A$2:$A$53,0),7)</f>
        <v>#N/A</v>
      </c>
      <c r="BB12" t="e">
        <f>+INDEX('NGP Chairs CoChairs'!$A$2:$I$53,MATCH('Recap SS,Precincts,Chairs'!$AY12,'NGP Chairs CoChairs'!$A$2:$A$53,0),8)</f>
        <v>#N/A</v>
      </c>
      <c r="BC12">
        <f t="shared" si="1"/>
        <v>1</v>
      </c>
      <c r="BD12">
        <f t="shared" si="2"/>
        <v>1</v>
      </c>
      <c r="BE12" t="str">
        <f t="shared" si="3"/>
        <v/>
      </c>
      <c r="BF12" t="str">
        <f t="shared" si="4"/>
        <v/>
      </c>
      <c r="BH12">
        <v>8</v>
      </c>
    </row>
    <row r="13" spans="1:214" ht="34" x14ac:dyDescent="0.2">
      <c r="A13" s="72" t="s">
        <v>158</v>
      </c>
      <c r="B13" s="72" t="s">
        <v>158</v>
      </c>
      <c r="C13" s="75" t="s">
        <v>176</v>
      </c>
      <c r="D13" t="s">
        <v>130</v>
      </c>
      <c r="E13" t="s">
        <v>131</v>
      </c>
      <c r="F13" t="s">
        <v>177</v>
      </c>
      <c r="G13" s="1" t="s">
        <v>178</v>
      </c>
      <c r="H13" s="1" t="s">
        <v>179</v>
      </c>
      <c r="I13" s="59">
        <f>SUMIF('Supersite Working-AW'!$R$4:$R$196,$D13,'Supersite Working-AW'!$L$4:$L$196)</f>
        <v>11327</v>
      </c>
      <c r="J13" s="59">
        <f>SUMIF('Supersite Working-AW'!$R$4:$R$196,$D13,'Supersite Working-AW'!$M$4:$M$196)</f>
        <v>283.17500000000001</v>
      </c>
      <c r="K13" s="1">
        <f t="shared" si="5"/>
        <v>20</v>
      </c>
      <c r="L13" s="51" t="str">
        <f t="shared" si="6"/>
        <v>300,301,302,303,304,305,306,307,308,309,310,311,312,313,314,315,316,500,501,502,,,,,</v>
      </c>
      <c r="M13" s="1">
        <v>300</v>
      </c>
      <c r="N13" s="1">
        <v>301</v>
      </c>
      <c r="O13" s="1">
        <v>302</v>
      </c>
      <c r="P13" s="1">
        <v>303</v>
      </c>
      <c r="Q13" s="1">
        <v>304</v>
      </c>
      <c r="R13" s="1">
        <v>305</v>
      </c>
      <c r="S13" s="1">
        <v>306</v>
      </c>
      <c r="T13" s="1">
        <v>307</v>
      </c>
      <c r="U13" s="1">
        <v>308</v>
      </c>
      <c r="V13" s="1">
        <v>309</v>
      </c>
      <c r="W13" s="1">
        <v>310</v>
      </c>
      <c r="X13" s="1">
        <v>311</v>
      </c>
      <c r="Y13" s="1">
        <v>312</v>
      </c>
      <c r="Z13" s="1">
        <v>313</v>
      </c>
      <c r="AA13" s="1">
        <v>314</v>
      </c>
      <c r="AB13" s="1">
        <v>315</v>
      </c>
      <c r="AC13" s="1">
        <v>316</v>
      </c>
      <c r="AD13" s="1">
        <v>500</v>
      </c>
      <c r="AE13" s="1">
        <v>501</v>
      </c>
      <c r="AF13" s="1">
        <v>502</v>
      </c>
      <c r="AL13" s="1">
        <f t="shared" si="0"/>
        <v>1</v>
      </c>
      <c r="AM13" s="46">
        <f>+INDEX('Supersite Working-AW'!$R$4:$AG$196,MATCH('Recap SS,Precincts,Chairs'!$D13,'Supersite Working-AW'!$R$4:$R$196,0),7)</f>
        <v>107152163</v>
      </c>
      <c r="AN13" s="46" t="str">
        <f>+INDEX('Supersite Working-AW'!$R$4:$AG$196,MATCH('Recap SS,Precincts,Chairs'!$D13,'Supersite Working-AW'!$R$4:$R$196,0),13)</f>
        <v>Jennifer Bales</v>
      </c>
      <c r="AO13" t="str">
        <f>+INDEX('NGP Chairs CoChairs'!$A$2:$I$53,MATCH('Recap SS,Precincts,Chairs'!$AM13,'NGP Chairs CoChairs'!$A$2:$A$53,0),7)</f>
        <v>3039479447</v>
      </c>
      <c r="AP13" t="str">
        <f>+INDEX('NGP Chairs CoChairs'!$A$2:$I$53,MATCH('Recap SS,Precincts,Chairs'!$AM13,'NGP Chairs CoChairs'!$A$2:$A$53,0),8)</f>
        <v>jbales@me.com</v>
      </c>
      <c r="AQ13" s="46">
        <f>+INDEX('Supersite Working-AW'!$R$4:$AG$196,MATCH('Recap SS,Precincts,Chairs'!$D13,'Supersite Working-AW'!$R$4:$R$196,0),8)</f>
        <v>0</v>
      </c>
      <c r="AR13" s="46" t="e">
        <f>+INDEX('Supersite Working-AW'!$R$4:$AG$196,MATCH('Recap SS,Precincts,Chairs'!$D13,'Supersite Working-AW'!$R$4:$R$196,0),14)</f>
        <v>#N/A</v>
      </c>
      <c r="AS13" t="e">
        <f>+INDEX('NGP Chairs CoChairs'!$A$2:$I$53,MATCH('Recap SS,Precincts,Chairs'!$AQ13,'NGP Chairs CoChairs'!$A$2:$A$53,0),7)</f>
        <v>#N/A</v>
      </c>
      <c r="AT13" t="e">
        <f>+INDEX('NGP Chairs CoChairs'!$A$2:$I$53,MATCH('Recap SS,Precincts,Chairs'!$AQ13,'NGP Chairs CoChairs'!$A$2:$A$53,0),8)</f>
        <v>#N/A</v>
      </c>
      <c r="AU13" s="46">
        <f>+INDEX('Supersite Working-AW'!$R$4:$AG$196,MATCH('Recap SS,Precincts,Chairs'!$D13,'Supersite Working-AW'!$R$4:$R$196,0),9)</f>
        <v>0</v>
      </c>
      <c r="AV13" s="46" t="e">
        <f>+INDEX('Supersite Working-AW'!$R$4:$AG$196,MATCH('Recap SS,Precincts,Chairs'!$D13,'Supersite Working-AW'!$R$4:$R$196,0),15)</f>
        <v>#N/A</v>
      </c>
      <c r="AW13" t="e">
        <f>+INDEX('NGP Chairs CoChairs'!$A$2:$I$53,MATCH('Recap SS,Precincts,Chairs'!$AU13,'NGP Chairs CoChairs'!$A$2:$A$53,0),7)</f>
        <v>#N/A</v>
      </c>
      <c r="AX13" t="e">
        <f>+INDEX('NGP Chairs CoChairs'!$A$2:$I$53,MATCH('Recap SS,Precincts,Chairs'!$AU13,'NGP Chairs CoChairs'!$A$2:$A$53,0),8)</f>
        <v>#N/A</v>
      </c>
      <c r="AY13" s="46">
        <f>+INDEX('Supersite Working-AW'!$R$4:$AG$196,MATCH('Recap SS,Precincts,Chairs'!$D13,'Supersite Working-AW'!$R$4:$R$196,0),10)</f>
        <v>0</v>
      </c>
      <c r="AZ13" s="46" t="e">
        <f>+INDEX('Supersite Working-AW'!$R$4:$AG$196,MATCH('Recap SS,Precincts,Chairs'!$D13,'Supersite Working-AW'!$R$4:$R$196,0),16)</f>
        <v>#N/A</v>
      </c>
      <c r="BA13" t="e">
        <f>+INDEX('NGP Chairs CoChairs'!$A$2:$I$53,MATCH('Recap SS,Precincts,Chairs'!$AY13,'NGP Chairs CoChairs'!$A$2:$A$53,0),7)</f>
        <v>#N/A</v>
      </c>
      <c r="BB13" t="e">
        <f>+INDEX('NGP Chairs CoChairs'!$A$2:$I$53,MATCH('Recap SS,Precincts,Chairs'!$AY13,'NGP Chairs CoChairs'!$A$2:$A$53,0),8)</f>
        <v>#N/A</v>
      </c>
      <c r="BC13">
        <f t="shared" si="1"/>
        <v>1</v>
      </c>
      <c r="BD13" t="str">
        <f t="shared" si="2"/>
        <v/>
      </c>
      <c r="BE13" t="str">
        <f t="shared" si="3"/>
        <v/>
      </c>
      <c r="BF13" t="str">
        <f t="shared" si="4"/>
        <v/>
      </c>
      <c r="BH13">
        <v>9</v>
      </c>
    </row>
    <row r="14" spans="1:214" ht="34" x14ac:dyDescent="0.2">
      <c r="A14" s="72" t="s">
        <v>158</v>
      </c>
      <c r="B14" s="72" t="s">
        <v>158</v>
      </c>
      <c r="D14" t="s">
        <v>123</v>
      </c>
      <c r="E14" t="s">
        <v>124</v>
      </c>
      <c r="F14" t="s">
        <v>180</v>
      </c>
      <c r="G14" s="1" t="s">
        <v>173</v>
      </c>
      <c r="H14" s="1" t="s">
        <v>181</v>
      </c>
      <c r="I14" s="59">
        <f>SUMIF('Supersite Working-AW'!$R$4:$R$196,$D14,'Supersite Working-AW'!$L$4:$L$196)</f>
        <v>7518</v>
      </c>
      <c r="J14" s="59">
        <f>SUMIF('Supersite Working-AW'!$R$4:$R$196,$D14,'Supersite Working-AW'!$M$4:$M$196)</f>
        <v>187.95000000000002</v>
      </c>
      <c r="K14" s="1">
        <f t="shared" si="5"/>
        <v>14</v>
      </c>
      <c r="L14" s="51" t="str">
        <f t="shared" si="6"/>
        <v>605,606,607,608,609,610,611,614,615,616,624,625,630,631,,,,,,,,,,,</v>
      </c>
      <c r="M14" s="1">
        <v>605</v>
      </c>
      <c r="N14" s="1">
        <v>606</v>
      </c>
      <c r="O14" s="1">
        <v>607</v>
      </c>
      <c r="P14" s="1">
        <v>608</v>
      </c>
      <c r="Q14" s="1">
        <v>609</v>
      </c>
      <c r="R14" s="1">
        <v>610</v>
      </c>
      <c r="S14" s="1">
        <v>611</v>
      </c>
      <c r="T14" s="1">
        <v>614</v>
      </c>
      <c r="U14" s="1">
        <v>615</v>
      </c>
      <c r="V14" s="1">
        <v>616</v>
      </c>
      <c r="W14" s="1">
        <v>624</v>
      </c>
      <c r="X14" s="1">
        <v>625</v>
      </c>
      <c r="Y14" s="1">
        <v>630</v>
      </c>
      <c r="Z14" s="1">
        <v>631</v>
      </c>
      <c r="AL14" s="1">
        <f t="shared" si="0"/>
        <v>3</v>
      </c>
      <c r="AM14" s="46">
        <f>+INDEX('Supersite Working-AW'!$R$4:$AG$196,MATCH('Recap SS,Precincts,Chairs'!$D14,'Supersite Working-AW'!$R$4:$R$196,0),7)</f>
        <v>107153150</v>
      </c>
      <c r="AN14" s="46" t="str">
        <f>+INDEX('Supersite Working-AW'!$R$4:$AG$196,MATCH('Recap SS,Precincts,Chairs'!$D14,'Supersite Working-AW'!$R$4:$R$196,0),13)</f>
        <v>Kendra Appelman-Eastvedt</v>
      </c>
      <c r="AO14" t="str">
        <f>+INDEX('NGP Chairs CoChairs'!$A$2:$I$53,MATCH('Recap SS,Precincts,Chairs'!$AM14,'NGP Chairs CoChairs'!$A$2:$A$53,0),7)</f>
        <v>3032426450</v>
      </c>
      <c r="AP14" t="str">
        <f>+INDEX('NGP Chairs CoChairs'!$A$2:$I$53,MATCH('Recap SS,Precincts,Chairs'!$AM14,'NGP Chairs CoChairs'!$A$2:$A$53,0),8)</f>
        <v>gaythia@gmail.com</v>
      </c>
      <c r="AQ14" s="46">
        <f>+INDEX('Supersite Working-AW'!$R$4:$AG$196,MATCH('Recap SS,Precincts,Chairs'!$D14,'Supersite Working-AW'!$R$4:$R$196,0),8)</f>
        <v>107152750</v>
      </c>
      <c r="AR14" s="46" t="str">
        <f>+INDEX('Supersite Working-AW'!$R$4:$AG$196,MATCH('Recap SS,Precincts,Chairs'!$D14,'Supersite Working-AW'!$R$4:$R$196,0),14)</f>
        <v>Erin Eastvedt</v>
      </c>
      <c r="AS14" t="str">
        <f>+INDEX('NGP Chairs CoChairs'!$A$2:$I$53,MATCH('Recap SS,Precincts,Chairs'!$AQ14,'NGP Chairs CoChairs'!$A$2:$A$53,0),7)</f>
        <v>3035884452</v>
      </c>
      <c r="AT14" t="str">
        <f>+INDEX('NGP Chairs CoChairs'!$A$2:$I$53,MATCH('Recap SS,Precincts,Chairs'!$AQ14,'NGP Chairs CoChairs'!$A$2:$A$53,0),8)</f>
        <v>shari.a.malloy@gmail.com</v>
      </c>
      <c r="AU14" s="46">
        <f>+INDEX('Supersite Working-AW'!$R$4:$AG$196,MATCH('Recap SS,Precincts,Chairs'!$D14,'Supersite Working-AW'!$R$4:$R$196,0),9)</f>
        <v>107152594</v>
      </c>
      <c r="AV14" s="46" t="e">
        <f>+INDEX('Supersite Working-AW'!$R$4:$AG$196,MATCH('Recap SS,Precincts,Chairs'!$D14,'Supersite Working-AW'!$R$4:$R$196,0),15)</f>
        <v>#N/A</v>
      </c>
      <c r="AW14" t="str">
        <f>+INDEX('NGP Chairs CoChairs'!$A$2:$I$53,MATCH('Recap SS,Precincts,Chairs'!$AU14,'NGP Chairs CoChairs'!$A$2:$A$53,0),7)</f>
        <v>3038810816</v>
      </c>
      <c r="AX14" t="str">
        <f>+INDEX('NGP Chairs CoChairs'!$A$2:$I$53,MATCH('Recap SS,Precincts,Chairs'!$AU14,'NGP Chairs CoChairs'!$A$2:$A$53,0),8)</f>
        <v>marilynsails@icloud.com</v>
      </c>
      <c r="AY14" s="46">
        <f>+INDEX('Supersite Working-AW'!$R$4:$AG$196,MATCH('Recap SS,Precincts,Chairs'!$D14,'Supersite Working-AW'!$R$4:$R$196,0),10)</f>
        <v>0</v>
      </c>
      <c r="AZ14" s="46" t="e">
        <f>+INDEX('Supersite Working-AW'!$R$4:$AG$196,MATCH('Recap SS,Precincts,Chairs'!$D14,'Supersite Working-AW'!$R$4:$R$196,0),16)</f>
        <v>#N/A</v>
      </c>
      <c r="BA14" t="e">
        <f>+INDEX('NGP Chairs CoChairs'!$A$2:$I$53,MATCH('Recap SS,Precincts,Chairs'!$AY14,'NGP Chairs CoChairs'!$A$2:$A$53,0),7)</f>
        <v>#N/A</v>
      </c>
      <c r="BB14" t="e">
        <f>+INDEX('NGP Chairs CoChairs'!$A$2:$I$53,MATCH('Recap SS,Precincts,Chairs'!$AY14,'NGP Chairs CoChairs'!$A$2:$A$53,0),8)</f>
        <v>#N/A</v>
      </c>
      <c r="BC14">
        <f t="shared" si="1"/>
        <v>1</v>
      </c>
      <c r="BD14">
        <f t="shared" si="2"/>
        <v>1</v>
      </c>
      <c r="BE14">
        <f t="shared" si="3"/>
        <v>1</v>
      </c>
      <c r="BF14" t="str">
        <f t="shared" si="4"/>
        <v/>
      </c>
      <c r="BH14">
        <v>10</v>
      </c>
    </row>
    <row r="15" spans="1:214" ht="34" x14ac:dyDescent="0.2">
      <c r="A15" s="72" t="s">
        <v>158</v>
      </c>
      <c r="B15" s="72" t="s">
        <v>158</v>
      </c>
      <c r="D15" s="49" t="s">
        <v>127</v>
      </c>
      <c r="E15" t="s">
        <v>128</v>
      </c>
      <c r="F15" t="s">
        <v>180</v>
      </c>
      <c r="G15" s="1" t="s">
        <v>173</v>
      </c>
      <c r="H15" s="1" t="s">
        <v>181</v>
      </c>
      <c r="I15" s="59">
        <f>SUMIF('Supersite Working-AW'!$R$4:$R$196,$D15,'Supersite Working-AW'!$L$4:$L$196)</f>
        <v>3351</v>
      </c>
      <c r="J15" s="59">
        <f>SUMIF('Supersite Working-AW'!$R$4:$R$196,$D15,'Supersite Working-AW'!$M$4:$M$196)</f>
        <v>83.775000000000006</v>
      </c>
      <c r="K15" s="1">
        <f t="shared" si="5"/>
        <v>7</v>
      </c>
      <c r="L15" s="51" t="str">
        <f t="shared" si="6"/>
        <v>600,601,602,603,604,612,613,,,,,,,,,,,,,,,,,,</v>
      </c>
      <c r="M15" s="1">
        <v>600</v>
      </c>
      <c r="N15" s="1">
        <v>601</v>
      </c>
      <c r="O15" s="1">
        <v>602</v>
      </c>
      <c r="P15" s="1">
        <v>603</v>
      </c>
      <c r="Q15" s="1">
        <v>604</v>
      </c>
      <c r="R15" s="1">
        <v>612</v>
      </c>
      <c r="S15" s="1">
        <v>613</v>
      </c>
      <c r="AL15" s="1">
        <f t="shared" si="0"/>
        <v>3</v>
      </c>
      <c r="AM15" s="46">
        <f>+INDEX('Supersite Working-AW'!$R$4:$AG$196,MATCH('Recap SS,Precincts,Chairs'!$D15,'Supersite Working-AW'!$R$4:$R$196,0),7)</f>
        <v>138232649</v>
      </c>
      <c r="AN15" s="46" t="str">
        <f>+INDEX('Supersite Working-AW'!$R$4:$AG$196,MATCH('Recap SS,Precincts,Chairs'!$D15,'Supersite Working-AW'!$R$4:$R$196,0),13)</f>
        <v>Gaythia Weis</v>
      </c>
      <c r="AO15" t="str">
        <f>+INDEX('NGP Chairs CoChairs'!$A$2:$I$53,MATCH('Recap SS,Precincts,Chairs'!$AM15,'NGP Chairs CoChairs'!$A$2:$A$53,0),7)</f>
        <v>4048226732</v>
      </c>
      <c r="AP15" t="str">
        <f>+INDEX('NGP Chairs CoChairs'!$A$2:$I$53,MATCH('Recap SS,Precincts,Chairs'!$AM15,'NGP Chairs CoChairs'!$A$2:$A$53,0),8)</f>
        <v>kendra.eastvedt@gmail.com</v>
      </c>
      <c r="AQ15" s="46">
        <f>+INDEX('Supersite Working-AW'!$R$4:$AG$196,MATCH('Recap SS,Precincts,Chairs'!$D15,'Supersite Working-AW'!$R$4:$R$196,0),8)</f>
        <v>111502459</v>
      </c>
      <c r="AR15" s="46" t="str">
        <f>+INDEX('Supersite Working-AW'!$R$4:$AG$196,MATCH('Recap SS,Precincts,Chairs'!$D15,'Supersite Working-AW'!$R$4:$R$196,0),14)</f>
        <v>sharon malloy</v>
      </c>
      <c r="AS15" t="str">
        <f>+INDEX('NGP Chairs CoChairs'!$A$2:$I$53,MATCH('Recap SS,Precincts,Chairs'!$AQ15,'NGP Chairs CoChairs'!$A$2:$A$53,0),7)</f>
        <v>6783573242</v>
      </c>
      <c r="AT15" t="str">
        <f>+INDEX('NGP Chairs CoChairs'!$A$2:$I$53,MATCH('Recap SS,Precincts,Chairs'!$AQ15,'NGP Chairs CoChairs'!$A$2:$A$53,0),8)</f>
        <v>erin.eastvedt@gmail.com</v>
      </c>
      <c r="AU15" s="46">
        <f>+INDEX('Supersite Working-AW'!$R$4:$AG$196,MATCH('Recap SS,Precincts,Chairs'!$D15,'Supersite Working-AW'!$R$4:$R$196,0),9)</f>
        <v>111502455</v>
      </c>
      <c r="AV15" s="46" t="str">
        <f>+INDEX('Supersite Working-AW'!$R$4:$AG$196,MATCH('Recap SS,Precincts,Chairs'!$D15,'Supersite Working-AW'!$R$4:$R$196,0),15)</f>
        <v>marilyn hughes</v>
      </c>
      <c r="AW15" t="e">
        <f>+INDEX('NGP Chairs CoChairs'!$A$2:$I$53,MATCH('Recap SS,Precincts,Chairs'!$AU15,'NGP Chairs CoChairs'!$A$2:$A$53,0),7)</f>
        <v>#N/A</v>
      </c>
      <c r="AX15" t="e">
        <f>+INDEX('NGP Chairs CoChairs'!$A$2:$I$53,MATCH('Recap SS,Precincts,Chairs'!$AU15,'NGP Chairs CoChairs'!$A$2:$A$53,0),8)</f>
        <v>#N/A</v>
      </c>
      <c r="AY15" s="46">
        <f>+INDEX('Supersite Working-AW'!$R$4:$AG$196,MATCH('Recap SS,Precincts,Chairs'!$D15,'Supersite Working-AW'!$R$4:$R$196,0),10)</f>
        <v>0</v>
      </c>
      <c r="AZ15" s="46" t="e">
        <f>+INDEX('Supersite Working-AW'!$R$4:$AG$196,MATCH('Recap SS,Precincts,Chairs'!$D15,'Supersite Working-AW'!$R$4:$R$196,0),16)</f>
        <v>#N/A</v>
      </c>
      <c r="BA15" t="e">
        <f>+INDEX('NGP Chairs CoChairs'!$A$2:$I$53,MATCH('Recap SS,Precincts,Chairs'!$AY15,'NGP Chairs CoChairs'!$A$2:$A$53,0),7)</f>
        <v>#N/A</v>
      </c>
      <c r="BB15" t="e">
        <f>+INDEX('NGP Chairs CoChairs'!$A$2:$I$53,MATCH('Recap SS,Precincts,Chairs'!$AY15,'NGP Chairs CoChairs'!$A$2:$A$53,0),8)</f>
        <v>#N/A</v>
      </c>
      <c r="BC15">
        <f t="shared" si="1"/>
        <v>1</v>
      </c>
      <c r="BD15">
        <f t="shared" si="2"/>
        <v>1</v>
      </c>
      <c r="BE15">
        <f t="shared" si="3"/>
        <v>1</v>
      </c>
      <c r="BF15" t="str">
        <f t="shared" si="4"/>
        <v/>
      </c>
      <c r="BH15">
        <v>11</v>
      </c>
    </row>
    <row r="16" spans="1:214" ht="34" x14ac:dyDescent="0.2">
      <c r="A16" s="72" t="s">
        <v>158</v>
      </c>
      <c r="B16" s="72" t="s">
        <v>158</v>
      </c>
      <c r="D16" t="s">
        <v>60</v>
      </c>
      <c r="E16" t="s">
        <v>140</v>
      </c>
      <c r="F16" t="s">
        <v>180</v>
      </c>
      <c r="G16" s="1" t="s">
        <v>182</v>
      </c>
      <c r="H16" s="1" t="s">
        <v>183</v>
      </c>
      <c r="I16" s="59">
        <f>SUMIF('Supersite Working-AW'!$R$4:$R$196,$D16,'Supersite Working-AW'!$L$4:$L$196)</f>
        <v>6376</v>
      </c>
      <c r="J16" s="59">
        <f>SUMIF('Supersite Working-AW'!$R$4:$R$196,$D16,'Supersite Working-AW'!$M$4:$M$196)</f>
        <v>159.40000000000003</v>
      </c>
      <c r="K16" s="1">
        <f t="shared" si="5"/>
        <v>18</v>
      </c>
      <c r="L16" s="51" t="str">
        <f t="shared" si="6"/>
        <v>626,627,628,629,643,644,645,646,617,632,641,642,647,648,649,703,704,705,,,,,,,</v>
      </c>
      <c r="M16" s="31">
        <v>626</v>
      </c>
      <c r="N16" s="31">
        <v>627</v>
      </c>
      <c r="O16" s="31">
        <v>628</v>
      </c>
      <c r="P16" s="31">
        <v>629</v>
      </c>
      <c r="Q16" s="31">
        <v>643</v>
      </c>
      <c r="R16" s="31">
        <v>644</v>
      </c>
      <c r="S16" s="31">
        <v>645</v>
      </c>
      <c r="T16" s="31">
        <v>646</v>
      </c>
      <c r="U16" s="31">
        <v>617</v>
      </c>
      <c r="V16" s="31">
        <v>632</v>
      </c>
      <c r="W16" s="31">
        <v>641</v>
      </c>
      <c r="X16" s="31">
        <v>642</v>
      </c>
      <c r="Y16" s="31">
        <v>647</v>
      </c>
      <c r="Z16" s="31">
        <v>648</v>
      </c>
      <c r="AA16" s="31">
        <v>649</v>
      </c>
      <c r="AB16" s="31">
        <v>703</v>
      </c>
      <c r="AC16" s="31">
        <v>704</v>
      </c>
      <c r="AD16" s="31">
        <v>705</v>
      </c>
      <c r="AL16" s="1">
        <f t="shared" si="0"/>
        <v>3</v>
      </c>
      <c r="AM16" s="46">
        <f>+INDEX('Supersite Working-AW'!$R$4:$AG$196,MATCH('Recap SS,Precincts,Chairs'!$D16,'Supersite Working-AW'!$R$4:$R$196,0),7)</f>
        <v>137032958</v>
      </c>
      <c r="AN16" s="46" t="str">
        <f>+INDEX('Supersite Working-AW'!$R$4:$AG$196,MATCH('Recap SS,Precincts,Chairs'!$D16,'Supersite Working-AW'!$R$4:$R$196,0),13)</f>
        <v>Lynne McNamara</v>
      </c>
      <c r="AO16" t="str">
        <f>+INDEX('NGP Chairs CoChairs'!$A$2:$I$53,MATCH('Recap SS,Precincts,Chairs'!$AM16,'NGP Chairs CoChairs'!$A$2:$A$53,0),7)</f>
        <v>3037757400</v>
      </c>
      <c r="AP16" t="str">
        <f>+INDEX('NGP Chairs CoChairs'!$A$2:$I$53,MATCH('Recap SS,Precincts,Chairs'!$AM16,'NGP Chairs CoChairs'!$A$2:$A$53,0),8)</f>
        <v>marisa@bocodems.org</v>
      </c>
      <c r="AQ16" s="46">
        <f>+INDEX('Supersite Working-AW'!$R$4:$AG$196,MATCH('Recap SS,Precincts,Chairs'!$D16,'Supersite Working-AW'!$R$4:$R$196,0),8)</f>
        <v>108682188</v>
      </c>
      <c r="AR16" s="46" t="str">
        <f>+INDEX('Supersite Working-AW'!$R$4:$AG$196,MATCH('Recap SS,Precincts,Chairs'!$D16,'Supersite Working-AW'!$R$4:$R$196,0),14)</f>
        <v>Lynette McClain</v>
      </c>
      <c r="AS16" t="str">
        <f>+INDEX('NGP Chairs CoChairs'!$A$2:$I$53,MATCH('Recap SS,Precincts,Chairs'!$AQ16,'NGP Chairs CoChairs'!$A$2:$A$53,0),7)</f>
        <v>7205341960</v>
      </c>
      <c r="AT16" t="str">
        <f>+INDEX('NGP Chairs CoChairs'!$A$2:$I$53,MATCH('Recap SS,Precincts,Chairs'!$AQ16,'NGP Chairs CoChairs'!$A$2:$A$53,0),8)</f>
        <v>Stan@bocodems.org</v>
      </c>
      <c r="AU16" s="46">
        <f>+INDEX('Supersite Working-AW'!$R$4:$AG$196,MATCH('Recap SS,Precincts,Chairs'!$D16,'Supersite Working-AW'!$R$4:$R$196,0),9)</f>
        <v>107153112</v>
      </c>
      <c r="AV16" s="46" t="str">
        <f>+INDEX('Supersite Working-AW'!$R$4:$AG$196,MATCH('Recap SS,Precincts,Chairs'!$D16,'Supersite Working-AW'!$R$4:$R$196,0),15)</f>
        <v>Virginia Carlson</v>
      </c>
      <c r="AW16" t="str">
        <f>+INDEX('NGP Chairs CoChairs'!$A$2:$I$53,MATCH('Recap SS,Precincts,Chairs'!$AU16,'NGP Chairs CoChairs'!$A$2:$A$53,0),7)</f>
        <v>7205341960</v>
      </c>
      <c r="AX16" t="str">
        <f>+INDEX('NGP Chairs CoChairs'!$A$2:$I$53,MATCH('Recap SS,Precincts,Chairs'!$AU16,'NGP Chairs CoChairs'!$A$2:$A$53,0),8)</f>
        <v>beth@bocodems.org</v>
      </c>
      <c r="AY16" s="46">
        <f>+INDEX('Supersite Working-AW'!$R$4:$AG$196,MATCH('Recap SS,Precincts,Chairs'!$D16,'Supersite Working-AW'!$R$4:$R$196,0),10)</f>
        <v>0</v>
      </c>
      <c r="AZ16" s="46" t="str">
        <f>+INDEX('Supersite Working-AW'!$R$4:$AG$196,MATCH('Recap SS,Precincts,Chairs'!$D16,'Supersite Working-AW'!$R$4:$R$196,0),16)</f>
        <v>Marcela Stras</v>
      </c>
      <c r="BA16" t="e">
        <f>+INDEX('NGP Chairs CoChairs'!$A$2:$I$53,MATCH('Recap SS,Precincts,Chairs'!$AY16,'NGP Chairs CoChairs'!$A$2:$A$53,0),7)</f>
        <v>#N/A</v>
      </c>
      <c r="BB16" t="e">
        <f>+INDEX('NGP Chairs CoChairs'!$A$2:$I$53,MATCH('Recap SS,Precincts,Chairs'!$AY16,'NGP Chairs CoChairs'!$A$2:$A$53,0),8)</f>
        <v>#N/A</v>
      </c>
      <c r="BC16">
        <f t="shared" si="1"/>
        <v>1</v>
      </c>
      <c r="BD16">
        <f t="shared" si="2"/>
        <v>1</v>
      </c>
      <c r="BE16">
        <f t="shared" si="3"/>
        <v>1</v>
      </c>
      <c r="BF16" t="str">
        <f t="shared" si="4"/>
        <v/>
      </c>
      <c r="BH16">
        <v>12</v>
      </c>
    </row>
    <row r="17" spans="1:60" ht="34" x14ac:dyDescent="0.2">
      <c r="A17" s="72" t="s">
        <v>158</v>
      </c>
      <c r="B17" s="72" t="s">
        <v>158</v>
      </c>
      <c r="D17" s="25" t="s">
        <v>184</v>
      </c>
      <c r="E17" t="s">
        <v>149</v>
      </c>
      <c r="F17" t="s">
        <v>180</v>
      </c>
      <c r="G17" s="1" t="s">
        <v>185</v>
      </c>
      <c r="H17" s="1" t="s">
        <v>186</v>
      </c>
      <c r="I17" s="59">
        <f>SUMIF('Supersite Working-AW'!$R$4:$R$196,$D17,'Supersite Working-AW'!$L$4:$L$196)</f>
        <v>7028</v>
      </c>
      <c r="J17" s="59">
        <f>SUMIF('Supersite Working-AW'!$R$4:$R$196,$D17,'Supersite Working-AW'!$M$4:$M$196)</f>
        <v>175.69999999999996</v>
      </c>
      <c r="K17" s="1">
        <f t="shared" si="5"/>
        <v>17</v>
      </c>
      <c r="L17" s="51" t="str">
        <f t="shared" si="6"/>
        <v>2,618,619,620,621,622,623,633,634,635,636,637,638,639,640,650,651,,,,,,,,</v>
      </c>
      <c r="M17" s="59">
        <v>2</v>
      </c>
      <c r="N17" s="59">
        <v>618</v>
      </c>
      <c r="O17" s="59">
        <v>619</v>
      </c>
      <c r="P17" s="59">
        <v>620</v>
      </c>
      <c r="Q17" s="59">
        <v>621</v>
      </c>
      <c r="R17" s="59">
        <v>622</v>
      </c>
      <c r="S17" s="59">
        <v>623</v>
      </c>
      <c r="T17" s="59">
        <v>633</v>
      </c>
      <c r="U17" s="59">
        <v>634</v>
      </c>
      <c r="V17" s="59">
        <v>635</v>
      </c>
      <c r="W17" s="59">
        <v>636</v>
      </c>
      <c r="X17" s="59">
        <v>637</v>
      </c>
      <c r="Y17" s="59">
        <v>638</v>
      </c>
      <c r="Z17" s="59">
        <v>639</v>
      </c>
      <c r="AA17" s="59">
        <v>640</v>
      </c>
      <c r="AB17" s="59">
        <v>650</v>
      </c>
      <c r="AC17" s="59">
        <v>651</v>
      </c>
      <c r="AD17" s="60"/>
      <c r="AE17" s="31"/>
      <c r="AF17" s="31"/>
      <c r="AG17" s="31"/>
      <c r="AH17" s="31"/>
      <c r="AI17" s="31"/>
      <c r="AJ17" s="31"/>
      <c r="AK17" s="31"/>
      <c r="AL17" s="1">
        <f t="shared" si="0"/>
        <v>4</v>
      </c>
      <c r="AM17" s="46">
        <f>+INDEX('Supersite Working-AW'!$R$4:$AG$196,MATCH('Recap SS,Precincts,Chairs'!$D17,'Supersite Working-AW'!$R$4:$R$196,0),7)</f>
        <v>107152803</v>
      </c>
      <c r="AN17" s="46" t="str">
        <f>+INDEX('Supersite Working-AW'!$R$4:$AG$196,MATCH('Recap SS,Precincts,Chairs'!$D17,'Supersite Working-AW'!$R$4:$R$196,0),13)</f>
        <v>Marisa Dirks</v>
      </c>
      <c r="AO17" t="str">
        <f>+INDEX('NGP Chairs CoChairs'!$A$2:$I$53,MATCH('Recap SS,Precincts,Chairs'!$AM17,'NGP Chairs CoChairs'!$A$2:$A$53,0),7)</f>
        <v>4108187383</v>
      </c>
      <c r="AP17" t="str">
        <f>+INDEX('NGP Chairs CoChairs'!$A$2:$I$53,MATCH('Recap SS,Precincts,Chairs'!$AM17,'NGP Chairs CoChairs'!$A$2:$A$53,0),8)</f>
        <v>mcnamaralynnea@gmail.com</v>
      </c>
      <c r="AQ17" s="46">
        <f>+INDEX('Supersite Working-AW'!$R$4:$AG$196,MATCH('Recap SS,Precincts,Chairs'!$D17,'Supersite Working-AW'!$R$4:$R$196,0),8)</f>
        <v>107152783</v>
      </c>
      <c r="AR17" s="46" t="str">
        <f>+INDEX('Supersite Working-AW'!$R$4:$AG$196,MATCH('Recap SS,Precincts,Chairs'!$D17,'Supersite Working-AW'!$R$4:$R$196,0),14)</f>
        <v>Stan Gelb</v>
      </c>
      <c r="AS17" t="str">
        <f>+INDEX('NGP Chairs CoChairs'!$A$2:$I$53,MATCH('Recap SS,Precincts,Chairs'!$AQ17,'NGP Chairs CoChairs'!$A$2:$A$53,0),7)</f>
        <v>3036817722</v>
      </c>
      <c r="AT17" t="str">
        <f>+INDEX('NGP Chairs CoChairs'!$A$2:$I$53,MATCH('Recap SS,Precincts,Chairs'!$AQ17,'NGP Chairs CoChairs'!$A$2:$A$53,0),8)</f>
        <v>lynette.mcclain@gmail.com</v>
      </c>
      <c r="AU17" s="46">
        <f>+INDEX('Supersite Working-AW'!$R$4:$AG$196,MATCH('Recap SS,Precincts,Chairs'!$D17,'Supersite Working-AW'!$R$4:$R$196,0),9)</f>
        <v>107152290</v>
      </c>
      <c r="AV17" s="46" t="str">
        <f>+INDEX('Supersite Working-AW'!$R$4:$AG$196,MATCH('Recap SS,Precincts,Chairs'!$D17,'Supersite Working-AW'!$R$4:$R$196,0),15)</f>
        <v>Beth Utton</v>
      </c>
      <c r="AW17" t="str">
        <f>+INDEX('NGP Chairs CoChairs'!$A$2:$I$53,MATCH('Recap SS,Precincts,Chairs'!$AU17,'NGP Chairs CoChairs'!$A$2:$A$53,0),7)</f>
        <v>7203082474</v>
      </c>
      <c r="AX17" t="str">
        <f>+INDEX('NGP Chairs CoChairs'!$A$2:$I$53,MATCH('Recap SS,Precincts,Chairs'!$AU17,'NGP Chairs CoChairs'!$A$2:$A$53,0),8)</f>
        <v>v.carlson@comcast.net</v>
      </c>
      <c r="AY17" s="46">
        <f>+INDEX('Supersite Working-AW'!$R$4:$AG$196,MATCH('Recap SS,Precincts,Chairs'!$D17,'Supersite Working-AW'!$R$4:$R$196,0),10)</f>
        <v>130838049</v>
      </c>
      <c r="AZ17" s="46" t="e">
        <f>+INDEX('Supersite Working-AW'!$R$4:$AG$196,MATCH('Recap SS,Precincts,Chairs'!$D17,'Supersite Working-AW'!$R$4:$R$196,0),16)</f>
        <v>#N/A</v>
      </c>
      <c r="BA17" t="str">
        <f>+INDEX('NGP Chairs CoChairs'!$A$2:$I$53,MATCH('Recap SS,Precincts,Chairs'!$AY17,'NGP Chairs CoChairs'!$A$2:$A$53,0),7)</f>
        <v>2408990037</v>
      </c>
      <c r="BB17" t="str">
        <f>+INDEX('NGP Chairs CoChairs'!$A$2:$I$53,MATCH('Recap SS,Precincts,Chairs'!$AY17,'NGP Chairs CoChairs'!$A$2:$A$53,0),8)</f>
        <v>mstras@straslegsl.com</v>
      </c>
      <c r="BC17">
        <f t="shared" si="1"/>
        <v>1</v>
      </c>
      <c r="BD17">
        <f t="shared" si="2"/>
        <v>1</v>
      </c>
      <c r="BE17">
        <f t="shared" si="3"/>
        <v>1</v>
      </c>
      <c r="BF17">
        <f t="shared" si="4"/>
        <v>1</v>
      </c>
      <c r="BH17">
        <v>13</v>
      </c>
    </row>
    <row r="18" spans="1:60" ht="34" x14ac:dyDescent="0.2">
      <c r="A18" s="72" t="s">
        <v>158</v>
      </c>
      <c r="B18" s="72" t="s">
        <v>158</v>
      </c>
      <c r="C18" s="75" t="s">
        <v>187</v>
      </c>
      <c r="D18" t="s">
        <v>28</v>
      </c>
      <c r="E18" t="s">
        <v>145</v>
      </c>
      <c r="F18" t="s">
        <v>145</v>
      </c>
      <c r="G18" s="1" t="s">
        <v>166</v>
      </c>
      <c r="H18" s="1" t="s">
        <v>179</v>
      </c>
      <c r="I18" s="59">
        <f>SUMIF('Supersite Working-AW'!$R$4:$R$196,$D18,'Supersite Working-AW'!$L$4:$L$196)</f>
        <v>7185</v>
      </c>
      <c r="J18" s="59">
        <f>SUMIF('Supersite Working-AW'!$R$4:$R$196,$D18,'Supersite Working-AW'!$M$4:$M$196)</f>
        <v>179.62500000000003</v>
      </c>
      <c r="K18" s="1">
        <f t="shared" si="5"/>
        <v>13</v>
      </c>
      <c r="L18" s="51" t="str">
        <f t="shared" si="6"/>
        <v>200,201,202,203,204,205,206,207,208,209,210,211,212,,,,,,,,,,,,</v>
      </c>
      <c r="M18" s="1">
        <v>200</v>
      </c>
      <c r="N18" s="1">
        <v>201</v>
      </c>
      <c r="O18" s="1">
        <v>202</v>
      </c>
      <c r="P18" s="1">
        <v>203</v>
      </c>
      <c r="Q18" s="1">
        <v>204</v>
      </c>
      <c r="R18" s="1">
        <v>205</v>
      </c>
      <c r="S18" s="1">
        <v>206</v>
      </c>
      <c r="T18" s="1">
        <v>207</v>
      </c>
      <c r="U18" s="1">
        <v>208</v>
      </c>
      <c r="V18" s="1">
        <v>209</v>
      </c>
      <c r="W18" s="1">
        <v>210</v>
      </c>
      <c r="X18" s="1">
        <v>211</v>
      </c>
      <c r="Y18" s="1">
        <v>212</v>
      </c>
      <c r="AL18" s="1">
        <f t="shared" si="0"/>
        <v>2</v>
      </c>
      <c r="AM18" s="46">
        <f>+INDEX('Supersite Working-AW'!$R$4:$AG$196,MATCH('Recap SS,Precincts,Chairs'!$D18,'Supersite Working-AW'!$R$4:$R$196,0),7)</f>
        <v>107152695</v>
      </c>
      <c r="AN18" s="46" t="str">
        <f>+INDEX('Supersite Working-AW'!$R$4:$AG$196,MATCH('Recap SS,Precincts,Chairs'!$D18,'Supersite Working-AW'!$R$4:$R$196,0),13)</f>
        <v>Angelique Layton</v>
      </c>
      <c r="AO18" t="str">
        <f>+INDEX('NGP Chairs CoChairs'!$A$2:$I$53,MATCH('Recap SS,Precincts,Chairs'!$AM18,'NGP Chairs CoChairs'!$A$2:$A$53,0),7)</f>
        <v>7209349497</v>
      </c>
      <c r="AP18" t="str">
        <f>+INDEX('NGP Chairs CoChairs'!$A$2:$I$53,MATCH('Recap SS,Precincts,Chairs'!$AM18,'NGP Chairs CoChairs'!$A$2:$A$53,0),8)</f>
        <v>angeliquelayton@gmail.com</v>
      </c>
      <c r="AQ18" s="46">
        <f>+INDEX('Supersite Working-AW'!$R$4:$AG$196,MATCH('Recap SS,Precincts,Chairs'!$D18,'Supersite Working-AW'!$R$4:$R$196,0),8)</f>
        <v>107152704</v>
      </c>
      <c r="AR18" s="46" t="str">
        <f>+INDEX('Supersite Working-AW'!$R$4:$AG$196,MATCH('Recap SS,Precincts,Chairs'!$D18,'Supersite Working-AW'!$R$4:$R$196,0),14)</f>
        <v>Linda Lee</v>
      </c>
      <c r="AS18" t="str">
        <f>+INDEX('NGP Chairs CoChairs'!$A$2:$I$53,MATCH('Recap SS,Precincts,Chairs'!$AQ18,'NGP Chairs CoChairs'!$A$2:$A$53,0),7)</f>
        <v>3039815392</v>
      </c>
      <c r="AT18" t="str">
        <f>+INDEX('NGP Chairs CoChairs'!$A$2:$I$53,MATCH('Recap SS,Precincts,Chairs'!$AQ18,'NGP Chairs CoChairs'!$A$2:$A$53,0),8)</f>
        <v>lm.lee@comcast.net</v>
      </c>
      <c r="AU18" s="46">
        <f>+INDEX('Supersite Working-AW'!$R$4:$AG$196,MATCH('Recap SS,Precincts,Chairs'!$D18,'Supersite Working-AW'!$R$4:$R$196,0),9)</f>
        <v>0</v>
      </c>
      <c r="AV18" s="46" t="e">
        <f>+INDEX('Supersite Working-AW'!$R$4:$AG$196,MATCH('Recap SS,Precincts,Chairs'!$D18,'Supersite Working-AW'!$R$4:$R$196,0),15)</f>
        <v>#N/A</v>
      </c>
      <c r="AW18" t="e">
        <f>+INDEX('NGP Chairs CoChairs'!$A$2:$I$53,MATCH('Recap SS,Precincts,Chairs'!$AU18,'NGP Chairs CoChairs'!$A$2:$A$53,0),7)</f>
        <v>#N/A</v>
      </c>
      <c r="AX18" t="e">
        <f>+INDEX('NGP Chairs CoChairs'!$A$2:$I$53,MATCH('Recap SS,Precincts,Chairs'!$AU18,'NGP Chairs CoChairs'!$A$2:$A$53,0),8)</f>
        <v>#N/A</v>
      </c>
      <c r="AY18" s="46">
        <f>+INDEX('Supersite Working-AW'!$R$4:$AG$196,MATCH('Recap SS,Precincts,Chairs'!$D18,'Supersite Working-AW'!$R$4:$R$196,0),10)</f>
        <v>0</v>
      </c>
      <c r="AZ18" s="46" t="e">
        <f>+INDEX('Supersite Working-AW'!$R$4:$AG$196,MATCH('Recap SS,Precincts,Chairs'!$D18,'Supersite Working-AW'!$R$4:$R$196,0),16)</f>
        <v>#N/A</v>
      </c>
      <c r="BA18" t="e">
        <f>+INDEX('NGP Chairs CoChairs'!$A$2:$I$53,MATCH('Recap SS,Precincts,Chairs'!$AY18,'NGP Chairs CoChairs'!$A$2:$A$53,0),7)</f>
        <v>#N/A</v>
      </c>
      <c r="BB18" t="e">
        <f>+INDEX('NGP Chairs CoChairs'!$A$2:$I$53,MATCH('Recap SS,Precincts,Chairs'!$AY18,'NGP Chairs CoChairs'!$A$2:$A$53,0),8)</f>
        <v>#N/A</v>
      </c>
      <c r="BC18">
        <f t="shared" si="1"/>
        <v>1</v>
      </c>
      <c r="BD18">
        <f t="shared" si="2"/>
        <v>1</v>
      </c>
      <c r="BE18" t="str">
        <f t="shared" si="3"/>
        <v/>
      </c>
      <c r="BF18" t="str">
        <f t="shared" si="4"/>
        <v/>
      </c>
      <c r="BH18">
        <v>14</v>
      </c>
    </row>
    <row r="19" spans="1:60" ht="34" x14ac:dyDescent="0.2">
      <c r="A19" s="72" t="s">
        <v>158</v>
      </c>
      <c r="D19" s="49" t="s">
        <v>121</v>
      </c>
      <c r="E19" t="s">
        <v>122</v>
      </c>
      <c r="F19" t="s">
        <v>188</v>
      </c>
      <c r="G19" s="1" t="s">
        <v>189</v>
      </c>
      <c r="H19" s="1" t="s">
        <v>190</v>
      </c>
      <c r="I19" s="59">
        <f>SUMIF('Supersite Working-AW'!$R$4:$R$196,$D19,'Supersite Working-AW'!$L$4:$L$196)</f>
        <v>155</v>
      </c>
      <c r="J19" s="59">
        <f>SUMIF('Supersite Working-AW'!$R$4:$R$196,$D19,'Supersite Working-AW'!$M$4:$M$196)</f>
        <v>3.875</v>
      </c>
      <c r="K19" s="1">
        <f t="shared" si="5"/>
        <v>1</v>
      </c>
      <c r="L19" s="51" t="str">
        <f t="shared" si="6"/>
        <v>914,,,,,,,,,,,,,,,,,,,,,,,,</v>
      </c>
      <c r="M19" s="1">
        <v>914</v>
      </c>
      <c r="AL19" s="1">
        <f t="shared" si="0"/>
        <v>1</v>
      </c>
      <c r="AM19" s="46">
        <f>+INDEX('Supersite Working-AW'!$R$4:$AG$196,MATCH('Recap SS,Precincts,Chairs'!$D19,'Supersite Working-AW'!$R$4:$R$196,0),7)</f>
        <v>111658139</v>
      </c>
      <c r="AN19" s="46" t="str">
        <f>+INDEX('Supersite Working-AW'!$R$4:$AG$196,MATCH('Recap SS,Precincts,Chairs'!$D19,'Supersite Working-AW'!$R$4:$R$196,0),13)</f>
        <v>Lisa Lesniak</v>
      </c>
      <c r="AO19" t="str">
        <f>+INDEX('NGP Chairs CoChairs'!$A$2:$I$53,MATCH('Recap SS,Precincts,Chairs'!$AM19,'NGP Chairs CoChairs'!$A$2:$A$53,0),7)</f>
        <v>5127450823</v>
      </c>
      <c r="AP19" t="str">
        <f>+INDEX('NGP Chairs CoChairs'!$A$2:$I$53,MATCH('Recap SS,Precincts,Chairs'!$AM19,'NGP Chairs CoChairs'!$A$2:$A$53,0),8)</f>
        <v>jasmineholan@yahoo.com</v>
      </c>
      <c r="AQ19" s="46">
        <f>+INDEX('Supersite Working-AW'!$R$4:$AG$196,MATCH('Recap SS,Precincts,Chairs'!$D19,'Supersite Working-AW'!$R$4:$R$196,0),8)</f>
        <v>0</v>
      </c>
      <c r="AR19" s="46" t="str">
        <f>+INDEX('Supersite Working-AW'!$R$4:$AG$196,MATCH('Recap SS,Precincts,Chairs'!$D19,'Supersite Working-AW'!$R$4:$R$196,0),14)</f>
        <v>Allen Nelson</v>
      </c>
      <c r="AS19" t="e">
        <f>+INDEX('NGP Chairs CoChairs'!$A$2:$I$53,MATCH('Recap SS,Precincts,Chairs'!$AQ19,'NGP Chairs CoChairs'!$A$2:$A$53,0),7)</f>
        <v>#N/A</v>
      </c>
      <c r="AT19" t="e">
        <f>+INDEX('NGP Chairs CoChairs'!$A$2:$I$53,MATCH('Recap SS,Precincts,Chairs'!$AQ19,'NGP Chairs CoChairs'!$A$2:$A$53,0),8)</f>
        <v>#N/A</v>
      </c>
      <c r="AU19" s="46">
        <f>+INDEX('Supersite Working-AW'!$R$4:$AG$196,MATCH('Recap SS,Precincts,Chairs'!$D19,'Supersite Working-AW'!$R$4:$R$196,0),9)</f>
        <v>0</v>
      </c>
      <c r="AV19" s="46" t="e">
        <f>+INDEX('Supersite Working-AW'!$R$4:$AG$196,MATCH('Recap SS,Precincts,Chairs'!$D19,'Supersite Working-AW'!$R$4:$R$196,0),15)</f>
        <v>#N/A</v>
      </c>
      <c r="AW19" t="e">
        <f>+INDEX('NGP Chairs CoChairs'!$A$2:$I$53,MATCH('Recap SS,Precincts,Chairs'!$AU19,'NGP Chairs CoChairs'!$A$2:$A$53,0),7)</f>
        <v>#N/A</v>
      </c>
      <c r="AX19" t="e">
        <f>+INDEX('NGP Chairs CoChairs'!$A$2:$I$53,MATCH('Recap SS,Precincts,Chairs'!$AU19,'NGP Chairs CoChairs'!$A$2:$A$53,0),8)</f>
        <v>#N/A</v>
      </c>
      <c r="AY19" s="46">
        <f>+INDEX('Supersite Working-AW'!$R$4:$AG$196,MATCH('Recap SS,Precincts,Chairs'!$D19,'Supersite Working-AW'!$R$4:$R$196,0),10)</f>
        <v>0</v>
      </c>
      <c r="AZ19" s="46" t="e">
        <f>+INDEX('Supersite Working-AW'!$R$4:$AG$196,MATCH('Recap SS,Precincts,Chairs'!$D19,'Supersite Working-AW'!$R$4:$R$196,0),16)</f>
        <v>#N/A</v>
      </c>
      <c r="BA19" t="e">
        <f>+INDEX('NGP Chairs CoChairs'!$A$2:$I$53,MATCH('Recap SS,Precincts,Chairs'!$AY19,'NGP Chairs CoChairs'!$A$2:$A$53,0),7)</f>
        <v>#N/A</v>
      </c>
      <c r="BB19" t="e">
        <f>+INDEX('NGP Chairs CoChairs'!$A$2:$I$53,MATCH('Recap SS,Precincts,Chairs'!$AY19,'NGP Chairs CoChairs'!$A$2:$A$53,0),8)</f>
        <v>#N/A</v>
      </c>
      <c r="BC19">
        <f t="shared" si="1"/>
        <v>1</v>
      </c>
      <c r="BD19" t="str">
        <f t="shared" si="2"/>
        <v/>
      </c>
      <c r="BE19" t="str">
        <f t="shared" si="3"/>
        <v/>
      </c>
      <c r="BF19" t="str">
        <f t="shared" si="4"/>
        <v/>
      </c>
      <c r="BH19">
        <v>15</v>
      </c>
    </row>
    <row r="20" spans="1:60" ht="17" x14ac:dyDescent="0.2">
      <c r="A20" s="72" t="s">
        <v>158</v>
      </c>
      <c r="D20" s="3" t="s">
        <v>137</v>
      </c>
      <c r="E20" s="3" t="s">
        <v>138</v>
      </c>
      <c r="F20" t="s">
        <v>188</v>
      </c>
      <c r="G20" s="1" t="s">
        <v>189</v>
      </c>
      <c r="H20" s="1" t="s">
        <v>190</v>
      </c>
      <c r="I20" s="59">
        <f>SUMIF('Supersite Working-AW'!$R$4:$R$196,$D20,'Supersite Working-AW'!$L$4:$L$196)</f>
        <v>308</v>
      </c>
      <c r="J20" s="59">
        <f>SUMIF('Supersite Working-AW'!$R$4:$R$196,$D20,'Supersite Working-AW'!$M$4:$M$196)</f>
        <v>7.7</v>
      </c>
      <c r="K20" s="1">
        <f t="shared" si="5"/>
        <v>1</v>
      </c>
      <c r="L20" s="51" t="str">
        <f t="shared" si="6"/>
        <v>909,,,,,,,,,,,,,,,,,,,,,,,,</v>
      </c>
      <c r="M20" s="1">
        <v>909</v>
      </c>
      <c r="AL20" s="1">
        <f t="shared" si="0"/>
        <v>1</v>
      </c>
      <c r="AM20" s="46">
        <f>+INDEX('Supersite Working-AW'!$R$4:$AG$196,MATCH('Recap SS,Precincts,Chairs'!$D20,'Supersite Working-AW'!$R$4:$R$196,0),7)</f>
        <v>107152390</v>
      </c>
      <c r="AN20" s="46" t="str">
        <f>+INDEX('Supersite Working-AW'!$R$4:$AG$196,MATCH('Recap SS,Precincts,Chairs'!$D20,'Supersite Working-AW'!$R$4:$R$196,0),13)</f>
        <v>Lisa Lesniak</v>
      </c>
      <c r="AO20" t="str">
        <f>+INDEX('NGP Chairs CoChairs'!$A$2:$I$53,MATCH('Recap SS,Precincts,Chairs'!$AM20,'NGP Chairs CoChairs'!$A$2:$A$53,0),7)</f>
        <v>3039479477</v>
      </c>
      <c r="AP20" t="str">
        <f>+INDEX('NGP Chairs CoChairs'!$A$2:$I$53,MATCH('Recap SS,Precincts,Chairs'!$AM20,'NGP Chairs CoChairs'!$A$2:$A$53,0),8)</f>
        <v>gretchend@mac.com</v>
      </c>
      <c r="AQ20" s="46">
        <f>+INDEX('Supersite Working-AW'!$R$4:$AG$196,MATCH('Recap SS,Precincts,Chairs'!$D20,'Supersite Working-AW'!$R$4:$R$196,0),8)</f>
        <v>0</v>
      </c>
      <c r="AR20" s="46" t="str">
        <f>+INDEX('Supersite Working-AW'!$R$4:$AG$196,MATCH('Recap SS,Precincts,Chairs'!$D20,'Supersite Working-AW'!$R$4:$R$196,0),14)</f>
        <v>Allen Nelson</v>
      </c>
      <c r="AS20" t="e">
        <f>+INDEX('NGP Chairs CoChairs'!$A$2:$I$53,MATCH('Recap SS,Precincts,Chairs'!$AQ20,'NGP Chairs CoChairs'!$A$2:$A$53,0),7)</f>
        <v>#N/A</v>
      </c>
      <c r="AT20" t="e">
        <f>+INDEX('NGP Chairs CoChairs'!$A$2:$I$53,MATCH('Recap SS,Precincts,Chairs'!$AQ20,'NGP Chairs CoChairs'!$A$2:$A$53,0),8)</f>
        <v>#N/A</v>
      </c>
      <c r="AU20" s="46">
        <f>+INDEX('Supersite Working-AW'!$R$4:$AG$196,MATCH('Recap SS,Precincts,Chairs'!$D20,'Supersite Working-AW'!$R$4:$R$196,0),9)</f>
        <v>0</v>
      </c>
      <c r="AV20" s="46" t="e">
        <f>+INDEX('Supersite Working-AW'!$R$4:$AG$196,MATCH('Recap SS,Precincts,Chairs'!$D20,'Supersite Working-AW'!$R$4:$R$196,0),15)</f>
        <v>#N/A</v>
      </c>
      <c r="AW20" t="e">
        <f>+INDEX('NGP Chairs CoChairs'!$A$2:$I$53,MATCH('Recap SS,Precincts,Chairs'!$AU20,'NGP Chairs CoChairs'!$A$2:$A$53,0),7)</f>
        <v>#N/A</v>
      </c>
      <c r="AX20" t="e">
        <f>+INDEX('NGP Chairs CoChairs'!$A$2:$I$53,MATCH('Recap SS,Precincts,Chairs'!$AU20,'NGP Chairs CoChairs'!$A$2:$A$53,0),8)</f>
        <v>#N/A</v>
      </c>
      <c r="AY20" s="46">
        <f>+INDEX('Supersite Working-AW'!$R$4:$AG$196,MATCH('Recap SS,Precincts,Chairs'!$D20,'Supersite Working-AW'!$R$4:$R$196,0),10)</f>
        <v>0</v>
      </c>
      <c r="AZ20" s="46" t="e">
        <f>+INDEX('Supersite Working-AW'!$R$4:$AG$196,MATCH('Recap SS,Precincts,Chairs'!$D20,'Supersite Working-AW'!$R$4:$R$196,0),16)</f>
        <v>#N/A</v>
      </c>
      <c r="BA20" t="e">
        <f>+INDEX('NGP Chairs CoChairs'!$A$2:$I$53,MATCH('Recap SS,Precincts,Chairs'!$AY20,'NGP Chairs CoChairs'!$A$2:$A$53,0),7)</f>
        <v>#N/A</v>
      </c>
      <c r="BB20" t="e">
        <f>+INDEX('NGP Chairs CoChairs'!$A$2:$I$53,MATCH('Recap SS,Precincts,Chairs'!$AY20,'NGP Chairs CoChairs'!$A$2:$A$53,0),8)</f>
        <v>#N/A</v>
      </c>
      <c r="BC20">
        <f t="shared" si="1"/>
        <v>1</v>
      </c>
      <c r="BD20" t="str">
        <f t="shared" si="2"/>
        <v/>
      </c>
      <c r="BE20" t="str">
        <f t="shared" si="3"/>
        <v/>
      </c>
      <c r="BF20" t="str">
        <f t="shared" si="4"/>
        <v/>
      </c>
      <c r="BH20">
        <v>16</v>
      </c>
    </row>
    <row r="21" spans="1:60" ht="17" x14ac:dyDescent="0.2">
      <c r="A21" s="72" t="s">
        <v>158</v>
      </c>
      <c r="D21" t="s">
        <v>139</v>
      </c>
      <c r="E21" s="3" t="s">
        <v>138</v>
      </c>
      <c r="F21" t="s">
        <v>188</v>
      </c>
      <c r="G21" s="1" t="s">
        <v>189</v>
      </c>
      <c r="H21" s="1" t="s">
        <v>190</v>
      </c>
      <c r="I21" s="59">
        <f>SUMIF('Supersite Working-AW'!$R$4:$R$196,$D21,'Supersite Working-AW'!$L$4:$L$196)</f>
        <v>283</v>
      </c>
      <c r="J21" s="59">
        <f>SUMIF('Supersite Working-AW'!$R$4:$R$196,$D21,'Supersite Working-AW'!$M$4:$M$196)</f>
        <v>7.0750000000000002</v>
      </c>
      <c r="K21" s="1">
        <f t="shared" si="5"/>
        <v>1</v>
      </c>
      <c r="L21" s="51" t="str">
        <f t="shared" si="6"/>
        <v>913,,,,,,,,,,,,,,,,,,,,,,,,</v>
      </c>
      <c r="M21" s="1">
        <v>913</v>
      </c>
      <c r="AL21" s="1">
        <f t="shared" si="0"/>
        <v>1</v>
      </c>
      <c r="AM21" s="46">
        <f>+INDEX('Supersite Working-AW'!$R$4:$AG$196,MATCH('Recap SS,Precincts,Chairs'!$D21,'Supersite Working-AW'!$R$4:$R$196,0),7)</f>
        <v>122990310</v>
      </c>
      <c r="AN21" s="46" t="str">
        <f>+INDEX('Supersite Working-AW'!$R$4:$AG$196,MATCH('Recap SS,Precincts,Chairs'!$D21,'Supersite Working-AW'!$R$4:$R$196,0),13)</f>
        <v>Lisa Lesniak</v>
      </c>
      <c r="AO21" t="str">
        <f>+INDEX('NGP Chairs CoChairs'!$A$2:$I$53,MATCH('Recap SS,Precincts,Chairs'!$AM21,'NGP Chairs CoChairs'!$A$2:$A$53,0),7)</f>
        <v>7202204975 </v>
      </c>
      <c r="AP21" t="str">
        <f>+INDEX('NGP Chairs CoChairs'!$A$2:$I$53,MATCH('Recap SS,Precincts,Chairs'!$AM21,'NGP Chairs CoChairs'!$A$2:$A$53,0),8)</f>
        <v>robert@ontosmedia.com</v>
      </c>
      <c r="AQ21" s="46">
        <f>+INDEX('Supersite Working-AW'!$R$4:$AG$196,MATCH('Recap SS,Precincts,Chairs'!$D21,'Supersite Working-AW'!$R$4:$R$196,0),8)</f>
        <v>0</v>
      </c>
      <c r="AR21" s="46" t="str">
        <f>+INDEX('Supersite Working-AW'!$R$4:$AG$196,MATCH('Recap SS,Precincts,Chairs'!$D21,'Supersite Working-AW'!$R$4:$R$196,0),14)</f>
        <v>Allen Nelson</v>
      </c>
      <c r="AS21" t="e">
        <f>+INDEX('NGP Chairs CoChairs'!$A$2:$I$53,MATCH('Recap SS,Precincts,Chairs'!$AQ21,'NGP Chairs CoChairs'!$A$2:$A$53,0),7)</f>
        <v>#N/A</v>
      </c>
      <c r="AT21" t="e">
        <f>+INDEX('NGP Chairs CoChairs'!$A$2:$I$53,MATCH('Recap SS,Precincts,Chairs'!$AQ21,'NGP Chairs CoChairs'!$A$2:$A$53,0),8)</f>
        <v>#N/A</v>
      </c>
      <c r="AU21" s="46">
        <f>+INDEX('Supersite Working-AW'!$R$4:$AG$196,MATCH('Recap SS,Precincts,Chairs'!$D21,'Supersite Working-AW'!$R$4:$R$196,0),9)</f>
        <v>0</v>
      </c>
      <c r="AV21" s="46" t="e">
        <f>+INDEX('Supersite Working-AW'!$R$4:$AG$196,MATCH('Recap SS,Precincts,Chairs'!$D21,'Supersite Working-AW'!$R$4:$R$196,0),15)</f>
        <v>#N/A</v>
      </c>
      <c r="AW21" t="e">
        <f>+INDEX('NGP Chairs CoChairs'!$A$2:$I$53,MATCH('Recap SS,Precincts,Chairs'!$AU21,'NGP Chairs CoChairs'!$A$2:$A$53,0),7)</f>
        <v>#N/A</v>
      </c>
      <c r="AX21" t="e">
        <f>+INDEX('NGP Chairs CoChairs'!$A$2:$I$53,MATCH('Recap SS,Precincts,Chairs'!$AU21,'NGP Chairs CoChairs'!$A$2:$A$53,0),8)</f>
        <v>#N/A</v>
      </c>
      <c r="AY21" s="46">
        <f>+INDEX('Supersite Working-AW'!$R$4:$AG$196,MATCH('Recap SS,Precincts,Chairs'!$D21,'Supersite Working-AW'!$R$4:$R$196,0),10)</f>
        <v>0</v>
      </c>
      <c r="AZ21" s="46" t="e">
        <f>+INDEX('Supersite Working-AW'!$R$4:$AG$196,MATCH('Recap SS,Precincts,Chairs'!$D21,'Supersite Working-AW'!$R$4:$R$196,0),16)</f>
        <v>#N/A</v>
      </c>
      <c r="BA21" t="e">
        <f>+INDEX('NGP Chairs CoChairs'!$A$2:$I$53,MATCH('Recap SS,Precincts,Chairs'!$AY21,'NGP Chairs CoChairs'!$A$2:$A$53,0),7)</f>
        <v>#N/A</v>
      </c>
      <c r="BB21" t="e">
        <f>+INDEX('NGP Chairs CoChairs'!$A$2:$I$53,MATCH('Recap SS,Precincts,Chairs'!$AY21,'NGP Chairs CoChairs'!$A$2:$A$53,0),8)</f>
        <v>#N/A</v>
      </c>
      <c r="BC21">
        <f t="shared" si="1"/>
        <v>1</v>
      </c>
      <c r="BD21" t="str">
        <f t="shared" si="2"/>
        <v/>
      </c>
      <c r="BE21" t="str">
        <f t="shared" si="3"/>
        <v/>
      </c>
      <c r="BF21" t="str">
        <f t="shared" si="4"/>
        <v/>
      </c>
      <c r="BH21">
        <v>17</v>
      </c>
    </row>
    <row r="22" spans="1:60" ht="17" x14ac:dyDescent="0.2">
      <c r="A22" s="72" t="s">
        <v>158</v>
      </c>
      <c r="B22" s="72" t="s">
        <v>158</v>
      </c>
      <c r="D22" t="s">
        <v>141</v>
      </c>
      <c r="E22" t="s">
        <v>122</v>
      </c>
      <c r="F22" t="s">
        <v>188</v>
      </c>
      <c r="G22" s="1" t="s">
        <v>189</v>
      </c>
      <c r="H22" s="1" t="s">
        <v>191</v>
      </c>
      <c r="I22" s="59">
        <f>SUMIF('Supersite Working-AW'!$R$4:$R$196,$D22,'Supersite Working-AW'!$L$4:$L$196)</f>
        <v>2380</v>
      </c>
      <c r="J22" s="59">
        <f>SUMIF('Supersite Working-AW'!$R$4:$R$196,$D22,'Supersite Working-AW'!$M$4:$M$196)</f>
        <v>59.500000000000007</v>
      </c>
      <c r="K22" s="1">
        <f t="shared" si="5"/>
        <v>5</v>
      </c>
      <c r="L22" s="51" t="str">
        <f t="shared" si="6"/>
        <v>700,701,702,915,916,,,,,,,,,,,,,,,,,,,,</v>
      </c>
      <c r="M22" s="1">
        <v>700</v>
      </c>
      <c r="N22" s="1">
        <v>701</v>
      </c>
      <c r="O22" s="1">
        <v>702</v>
      </c>
      <c r="P22" s="1">
        <v>915</v>
      </c>
      <c r="Q22" s="1">
        <v>916</v>
      </c>
      <c r="AL22" s="1">
        <f t="shared" si="0"/>
        <v>1</v>
      </c>
      <c r="AM22" s="46">
        <f>+INDEX('Supersite Working-AW'!$R$4:$AG$196,MATCH('Recap SS,Precincts,Chairs'!$D22,'Supersite Working-AW'!$R$4:$R$196,0),7)</f>
        <v>107272606</v>
      </c>
      <c r="AN22" s="46" t="str">
        <f>+INDEX('Supersite Working-AW'!$R$4:$AG$196,MATCH('Recap SS,Precincts,Chairs'!$D22,'Supersite Working-AW'!$R$4:$R$196,0),13)</f>
        <v>David Kline</v>
      </c>
      <c r="AO22" t="str">
        <f>+INDEX('NGP Chairs CoChairs'!$A$2:$I$53,MATCH('Recap SS,Precincts,Chairs'!$AM22,'NGP Chairs CoChairs'!$A$2:$A$53,0),7)</f>
        <v>3038095686</v>
      </c>
      <c r="AP22" t="str">
        <f>+INDEX('NGP Chairs CoChairs'!$A$2:$I$53,MATCH('Recap SS,Precincts,Chairs'!$AM22,'NGP Chairs CoChairs'!$A$2:$A$53,0),8)</f>
        <v>jwingard@q.com</v>
      </c>
      <c r="AQ22" s="46">
        <f>+INDEX('Supersite Working-AW'!$R$4:$AG$196,MATCH('Recap SS,Precincts,Chairs'!$D22,'Supersite Working-AW'!$R$4:$R$196,0),8)</f>
        <v>0</v>
      </c>
      <c r="AR22" s="46" t="str">
        <f>+INDEX('Supersite Working-AW'!$R$4:$AG$196,MATCH('Recap SS,Precincts,Chairs'!$D22,'Supersite Working-AW'!$R$4:$R$196,0),14)</f>
        <v>Geof Cahoon</v>
      </c>
      <c r="AS22" t="e">
        <f>+INDEX('NGP Chairs CoChairs'!$A$2:$I$53,MATCH('Recap SS,Precincts,Chairs'!$AQ22,'NGP Chairs CoChairs'!$A$2:$A$53,0),7)</f>
        <v>#N/A</v>
      </c>
      <c r="AT22" t="e">
        <f>+INDEX('NGP Chairs CoChairs'!$A$2:$I$53,MATCH('Recap SS,Precincts,Chairs'!$AQ22,'NGP Chairs CoChairs'!$A$2:$A$53,0),8)</f>
        <v>#N/A</v>
      </c>
      <c r="AU22" s="46">
        <f>+INDEX('Supersite Working-AW'!$R$4:$AG$196,MATCH('Recap SS,Precincts,Chairs'!$D22,'Supersite Working-AW'!$R$4:$R$196,0),9)</f>
        <v>0</v>
      </c>
      <c r="AV22" s="46" t="str">
        <f>+INDEX('Supersite Working-AW'!$R$4:$AG$196,MATCH('Recap SS,Precincts,Chairs'!$D22,'Supersite Working-AW'!$R$4:$R$196,0),15)</f>
        <v>Bruce Norikane</v>
      </c>
      <c r="AW22" t="e">
        <f>+INDEX('NGP Chairs CoChairs'!$A$2:$I$53,MATCH('Recap SS,Precincts,Chairs'!$AU22,'NGP Chairs CoChairs'!$A$2:$A$53,0),7)</f>
        <v>#N/A</v>
      </c>
      <c r="AX22" t="e">
        <f>+INDEX('NGP Chairs CoChairs'!$A$2:$I$53,MATCH('Recap SS,Precincts,Chairs'!$AU22,'NGP Chairs CoChairs'!$A$2:$A$53,0),8)</f>
        <v>#N/A</v>
      </c>
      <c r="AY22" s="46">
        <f>+INDEX('Supersite Working-AW'!$R$4:$AG$196,MATCH('Recap SS,Precincts,Chairs'!$D22,'Supersite Working-AW'!$R$4:$R$196,0),10)</f>
        <v>0</v>
      </c>
      <c r="AZ22" s="46" t="e">
        <f>+INDEX('Supersite Working-AW'!$R$4:$AG$196,MATCH('Recap SS,Precincts,Chairs'!$D22,'Supersite Working-AW'!$R$4:$R$196,0),16)</f>
        <v>#N/A</v>
      </c>
      <c r="BA22" t="e">
        <f>+INDEX('NGP Chairs CoChairs'!$A$2:$I$53,MATCH('Recap SS,Precincts,Chairs'!$AY22,'NGP Chairs CoChairs'!$A$2:$A$53,0),7)</f>
        <v>#N/A</v>
      </c>
      <c r="BB22" t="e">
        <f>+INDEX('NGP Chairs CoChairs'!$A$2:$I$53,MATCH('Recap SS,Precincts,Chairs'!$AY22,'NGP Chairs CoChairs'!$A$2:$A$53,0),8)</f>
        <v>#N/A</v>
      </c>
      <c r="BC22">
        <f t="shared" si="1"/>
        <v>1</v>
      </c>
      <c r="BD22" t="str">
        <f t="shared" si="2"/>
        <v/>
      </c>
      <c r="BE22" t="str">
        <f t="shared" si="3"/>
        <v/>
      </c>
      <c r="BF22" t="str">
        <f t="shared" si="4"/>
        <v/>
      </c>
      <c r="BH22">
        <v>18</v>
      </c>
    </row>
    <row r="23" spans="1:60" ht="17" x14ac:dyDescent="0.2">
      <c r="A23" s="72" t="s">
        <v>158</v>
      </c>
      <c r="B23" s="72" t="s">
        <v>158</v>
      </c>
      <c r="C23" s="75" t="s">
        <v>187</v>
      </c>
      <c r="D23" t="s">
        <v>40</v>
      </c>
      <c r="E23" t="s">
        <v>146</v>
      </c>
      <c r="F23" t="s">
        <v>188</v>
      </c>
      <c r="G23" s="1" t="s">
        <v>189</v>
      </c>
      <c r="H23" s="1" t="s">
        <v>190</v>
      </c>
      <c r="I23" s="59">
        <f>SUMIF('Supersite Working-AW'!$R$4:$R$196,$D23,'Supersite Working-AW'!$L$4:$L$196)</f>
        <v>2198</v>
      </c>
      <c r="J23" s="59">
        <f>SUMIF('Supersite Working-AW'!$R$4:$R$196,$D23,'Supersite Working-AW'!$M$4:$M$196)</f>
        <v>54.95</v>
      </c>
      <c r="K23" s="1">
        <f t="shared" si="5"/>
        <v>6</v>
      </c>
      <c r="L23" s="51" t="str">
        <f t="shared" si="6"/>
        <v>901,902,903,904,905,907,,,,,,,,,,,,,,,,,,,</v>
      </c>
      <c r="M23" s="1">
        <v>901</v>
      </c>
      <c r="N23" s="1">
        <v>902</v>
      </c>
      <c r="O23" s="1">
        <v>903</v>
      </c>
      <c r="P23" s="1">
        <v>904</v>
      </c>
      <c r="Q23" s="1">
        <v>905</v>
      </c>
      <c r="R23" s="1">
        <v>907</v>
      </c>
      <c r="AL23" s="1">
        <f t="shared" si="0"/>
        <v>2</v>
      </c>
      <c r="AM23" s="46">
        <f>+INDEX('Supersite Working-AW'!$R$4:$AG$196,MATCH('Recap SS,Precincts,Chairs'!$D23,'Supersite Working-AW'!$R$4:$R$196,0),7)</f>
        <v>118591255</v>
      </c>
      <c r="AN23" s="46" t="str">
        <f>+INDEX('Supersite Working-AW'!$R$4:$AG$196,MATCH('Recap SS,Precincts,Chairs'!$D23,'Supersite Working-AW'!$R$4:$R$196,0),13)</f>
        <v>Becky Martinek</v>
      </c>
      <c r="AO23" t="str">
        <f>+INDEX('NGP Chairs CoChairs'!$A$2:$I$53,MATCH('Recap SS,Precincts,Chairs'!$AM23,'NGP Chairs CoChairs'!$A$2:$A$53,0),7)</f>
        <v>2144977899</v>
      </c>
      <c r="AP23" t="str">
        <f>+INDEX('NGP Chairs CoChairs'!$A$2:$I$53,MATCH('Recap SS,Precincts,Chairs'!$AM23,'NGP Chairs CoChairs'!$A$2:$A$53,0),8)</f>
        <v>lisalesniak214@gmail.com</v>
      </c>
      <c r="AQ23" s="46">
        <f>+INDEX('Supersite Working-AW'!$R$4:$AG$196,MATCH('Recap SS,Precincts,Chairs'!$D23,'Supersite Working-AW'!$R$4:$R$196,0),8)</f>
        <v>114937498</v>
      </c>
      <c r="AR23" s="46" t="e">
        <f>+INDEX('Supersite Working-AW'!$R$4:$AG$196,MATCH('Recap SS,Precincts,Chairs'!$D23,'Supersite Working-AW'!$R$4:$R$196,0),14)</f>
        <v>#N/A</v>
      </c>
      <c r="AS23" t="str">
        <f>+INDEX('NGP Chairs CoChairs'!$A$2:$I$53,MATCH('Recap SS,Precincts,Chairs'!$AQ23,'NGP Chairs CoChairs'!$A$2:$A$53,0),7)</f>
        <v>3032583745</v>
      </c>
      <c r="AT23" t="str">
        <f>+INDEX('NGP Chairs CoChairs'!$A$2:$I$53,MATCH('Recap SS,Precincts,Chairs'!$AQ23,'NGP Chairs CoChairs'!$A$2:$A$53,0),8)</f>
        <v>alhnelson@aol.com</v>
      </c>
      <c r="AU23" s="46">
        <f>+INDEX('Supersite Working-AW'!$R$4:$AG$196,MATCH('Recap SS,Precincts,Chairs'!$D23,'Supersite Working-AW'!$R$4:$R$196,0),9)</f>
        <v>0</v>
      </c>
      <c r="AV23" s="46" t="e">
        <f>+INDEX('Supersite Working-AW'!$R$4:$AG$196,MATCH('Recap SS,Precincts,Chairs'!$D23,'Supersite Working-AW'!$R$4:$R$196,0),15)</f>
        <v>#N/A</v>
      </c>
      <c r="AW23" t="e">
        <f>+INDEX('NGP Chairs CoChairs'!$A$2:$I$53,MATCH('Recap SS,Precincts,Chairs'!$AU23,'NGP Chairs CoChairs'!$A$2:$A$53,0),7)</f>
        <v>#N/A</v>
      </c>
      <c r="AX23" t="e">
        <f>+INDEX('NGP Chairs CoChairs'!$A$2:$I$53,MATCH('Recap SS,Precincts,Chairs'!$AU23,'NGP Chairs CoChairs'!$A$2:$A$53,0),8)</f>
        <v>#N/A</v>
      </c>
      <c r="AY23" s="46">
        <f>+INDEX('Supersite Working-AW'!$R$4:$AG$196,MATCH('Recap SS,Precincts,Chairs'!$D23,'Supersite Working-AW'!$R$4:$R$196,0),10)</f>
        <v>0</v>
      </c>
      <c r="AZ23" s="46" t="e">
        <f>+INDEX('Supersite Working-AW'!$R$4:$AG$196,MATCH('Recap SS,Precincts,Chairs'!$D23,'Supersite Working-AW'!$R$4:$R$196,0),16)</f>
        <v>#N/A</v>
      </c>
      <c r="BA23" t="e">
        <f>+INDEX('NGP Chairs CoChairs'!$A$2:$I$53,MATCH('Recap SS,Precincts,Chairs'!$AY23,'NGP Chairs CoChairs'!$A$2:$A$53,0),7)</f>
        <v>#N/A</v>
      </c>
      <c r="BB23" t="e">
        <f>+INDEX('NGP Chairs CoChairs'!$A$2:$I$53,MATCH('Recap SS,Precincts,Chairs'!$AY23,'NGP Chairs CoChairs'!$A$2:$A$53,0),8)</f>
        <v>#N/A</v>
      </c>
      <c r="BC23">
        <f t="shared" si="1"/>
        <v>1</v>
      </c>
      <c r="BD23">
        <f t="shared" si="2"/>
        <v>1</v>
      </c>
      <c r="BE23" t="str">
        <f t="shared" si="3"/>
        <v/>
      </c>
      <c r="BF23" t="str">
        <f t="shared" si="4"/>
        <v/>
      </c>
      <c r="BH23">
        <v>19</v>
      </c>
    </row>
    <row r="24" spans="1:60" ht="17" x14ac:dyDescent="0.2">
      <c r="A24" s="72" t="s">
        <v>158</v>
      </c>
      <c r="D24" s="26" t="s">
        <v>192</v>
      </c>
      <c r="E24" s="3" t="s">
        <v>138</v>
      </c>
      <c r="F24" t="s">
        <v>188</v>
      </c>
      <c r="G24" s="1" t="s">
        <v>189</v>
      </c>
      <c r="H24" s="1" t="s">
        <v>190</v>
      </c>
      <c r="I24" s="59">
        <f>SUMIF('Supersite Working-AW'!$R$4:$R$196,$D24,'Supersite Working-AW'!$L$4:$L$196)</f>
        <v>168</v>
      </c>
      <c r="J24" s="59">
        <f>SUMIF('Supersite Working-AW'!$R$4:$R$196,$D24,'Supersite Working-AW'!$M$4:$M$196)</f>
        <v>4.2</v>
      </c>
      <c r="K24" s="1">
        <f t="shared" si="5"/>
        <v>1</v>
      </c>
      <c r="L24" s="51" t="str">
        <f t="shared" si="6"/>
        <v>908,,,,,,,,,,,,,,,,,,,,,,,,</v>
      </c>
      <c r="M24" s="59">
        <v>908</v>
      </c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31"/>
      <c r="AE24" s="31"/>
      <c r="AF24" s="31"/>
      <c r="AG24" s="31"/>
      <c r="AH24" s="31"/>
      <c r="AI24" s="31"/>
      <c r="AJ24" s="31"/>
      <c r="AK24" s="31"/>
      <c r="AL24" s="1">
        <f t="shared" si="0"/>
        <v>1</v>
      </c>
      <c r="AM24" s="46">
        <f>+INDEX('Supersite Working-AW'!$R$4:$AG$196,MATCH('Recap SS,Precincts,Chairs'!$D24,'Supersite Working-AW'!$R$4:$R$196,0),7)</f>
        <v>107152772</v>
      </c>
      <c r="AN24" s="46" t="str">
        <f>+INDEX('Supersite Working-AW'!$R$4:$AG$196,MATCH('Recap SS,Precincts,Chairs'!$D24,'Supersite Working-AW'!$R$4:$R$196,0),13)</f>
        <v>Jen Wingard</v>
      </c>
      <c r="AO24" t="str">
        <f>+INDEX('NGP Chairs CoChairs'!$A$2:$I$53,MATCH('Recap SS,Precincts,Chairs'!$AM24,'NGP Chairs CoChairs'!$A$2:$A$53,0),7)</f>
        <v>3033191169</v>
      </c>
      <c r="AP24" t="str">
        <f>+INDEX('NGP Chairs CoChairs'!$A$2:$I$53,MATCH('Recap SS,Precincts,Chairs'!$AM24,'NGP Chairs CoChairs'!$A$2:$A$53,0),8)</f>
        <v>Becky.martinek15674@gmail.com</v>
      </c>
      <c r="AQ24" s="46">
        <f>+INDEX('Supersite Working-AW'!$R$4:$AG$196,MATCH('Recap SS,Precincts,Chairs'!$D24,'Supersite Working-AW'!$R$4:$R$196,0),8)</f>
        <v>0</v>
      </c>
      <c r="AR24" s="46" t="e">
        <f>+INDEX('Supersite Working-AW'!$R$4:$AG$196,MATCH('Recap SS,Precincts,Chairs'!$D24,'Supersite Working-AW'!$R$4:$R$196,0),14)</f>
        <v>#N/A</v>
      </c>
      <c r="AS24" t="e">
        <f>+INDEX('NGP Chairs CoChairs'!$A$2:$I$53,MATCH('Recap SS,Precincts,Chairs'!$AQ24,'NGP Chairs CoChairs'!$A$2:$A$53,0),7)</f>
        <v>#N/A</v>
      </c>
      <c r="AT24" t="e">
        <f>+INDEX('NGP Chairs CoChairs'!$A$2:$I$53,MATCH('Recap SS,Precincts,Chairs'!$AQ24,'NGP Chairs CoChairs'!$A$2:$A$53,0),8)</f>
        <v>#N/A</v>
      </c>
      <c r="AU24" s="46">
        <f>+INDEX('Supersite Working-AW'!$R$4:$AG$196,MATCH('Recap SS,Precincts,Chairs'!$D24,'Supersite Working-AW'!$R$4:$R$196,0),9)</f>
        <v>0</v>
      </c>
      <c r="AV24" s="46" t="e">
        <f>+INDEX('Supersite Working-AW'!$R$4:$AG$196,MATCH('Recap SS,Precincts,Chairs'!$D24,'Supersite Working-AW'!$R$4:$R$196,0),15)</f>
        <v>#N/A</v>
      </c>
      <c r="AW24" t="e">
        <f>+INDEX('NGP Chairs CoChairs'!$A$2:$I$53,MATCH('Recap SS,Precincts,Chairs'!$AU24,'NGP Chairs CoChairs'!$A$2:$A$53,0),7)</f>
        <v>#N/A</v>
      </c>
      <c r="AX24" t="e">
        <f>+INDEX('NGP Chairs CoChairs'!$A$2:$I$53,MATCH('Recap SS,Precincts,Chairs'!$AU24,'NGP Chairs CoChairs'!$A$2:$A$53,0),8)</f>
        <v>#N/A</v>
      </c>
      <c r="AY24" s="46">
        <f>+INDEX('Supersite Working-AW'!$R$4:$AG$196,MATCH('Recap SS,Precincts,Chairs'!$D24,'Supersite Working-AW'!$R$4:$R$196,0),10)</f>
        <v>0</v>
      </c>
      <c r="AZ24" s="46" t="e">
        <f>+INDEX('Supersite Working-AW'!$R$4:$AG$196,MATCH('Recap SS,Precincts,Chairs'!$D24,'Supersite Working-AW'!$R$4:$R$196,0),16)</f>
        <v>#N/A</v>
      </c>
      <c r="BA24" t="e">
        <f>+INDEX('NGP Chairs CoChairs'!$A$2:$I$53,MATCH('Recap SS,Precincts,Chairs'!$AY24,'NGP Chairs CoChairs'!$A$2:$A$53,0),7)</f>
        <v>#N/A</v>
      </c>
      <c r="BB24" t="e">
        <f>+INDEX('NGP Chairs CoChairs'!$A$2:$I$53,MATCH('Recap SS,Precincts,Chairs'!$AY24,'NGP Chairs CoChairs'!$A$2:$A$53,0),8)</f>
        <v>#N/A</v>
      </c>
      <c r="BC24">
        <f t="shared" si="1"/>
        <v>1</v>
      </c>
      <c r="BD24" t="str">
        <f t="shared" si="2"/>
        <v/>
      </c>
      <c r="BE24" t="str">
        <f t="shared" si="3"/>
        <v/>
      </c>
      <c r="BF24" t="str">
        <f t="shared" si="4"/>
        <v/>
      </c>
      <c r="BH24">
        <v>20</v>
      </c>
    </row>
    <row r="25" spans="1:60" ht="17" x14ac:dyDescent="0.2">
      <c r="A25" s="72" t="s">
        <v>158</v>
      </c>
      <c r="D25" t="s">
        <v>134</v>
      </c>
      <c r="E25" t="s">
        <v>135</v>
      </c>
      <c r="F25" t="s">
        <v>135</v>
      </c>
      <c r="G25" s="1" t="s">
        <v>166</v>
      </c>
      <c r="H25" s="1" t="s">
        <v>193</v>
      </c>
      <c r="I25" s="59">
        <f>SUMIF('Supersite Working-AW'!$R$4:$R$196,$D25,'Supersite Working-AW'!$L$4:$L$196)</f>
        <v>3303</v>
      </c>
      <c r="J25" s="59">
        <f>SUMIF('Supersite Working-AW'!$R$4:$R$196,$D25,'Supersite Working-AW'!$M$4:$M$196)</f>
        <v>82.575000000000003</v>
      </c>
      <c r="K25" s="1">
        <f t="shared" si="5"/>
        <v>8</v>
      </c>
      <c r="L25" s="51" t="str">
        <f t="shared" si="6"/>
        <v>3,100,101,102,103,104,105,106,,,,,,,,,,,,,,,,,</v>
      </c>
      <c r="M25" s="1">
        <v>3</v>
      </c>
      <c r="N25" s="1">
        <v>100</v>
      </c>
      <c r="O25" s="1">
        <v>101</v>
      </c>
      <c r="P25" s="1">
        <v>102</v>
      </c>
      <c r="Q25" s="1">
        <v>103</v>
      </c>
      <c r="R25" s="1">
        <v>104</v>
      </c>
      <c r="S25" s="1">
        <v>105</v>
      </c>
      <c r="T25" s="1">
        <v>106</v>
      </c>
      <c r="AL25" s="1">
        <f t="shared" si="0"/>
        <v>3</v>
      </c>
      <c r="AM25" s="46">
        <f>+INDEX('Supersite Working-AW'!$R$4:$AG$196,MATCH('Recap SS,Precincts,Chairs'!$D25,'Supersite Working-AW'!$R$4:$R$196,0),7)</f>
        <v>107146029</v>
      </c>
      <c r="AN25" s="46" t="str">
        <f>+INDEX('Supersite Working-AW'!$R$4:$AG$196,MATCH('Recap SS,Precincts,Chairs'!$D25,'Supersite Working-AW'!$R$4:$R$196,0),13)</f>
        <v>Carol Teal</v>
      </c>
      <c r="AO25" t="str">
        <f>+INDEX('NGP Chairs CoChairs'!$A$2:$I$53,MATCH('Recap SS,Precincts,Chairs'!$AM25,'NGP Chairs CoChairs'!$A$2:$A$53,0),7)</f>
        <v>9192102776</v>
      </c>
      <c r="AP25" t="str">
        <f>+INDEX('NGP Chairs CoChairs'!$A$2:$I$53,MATCH('Recap SS,Precincts,Chairs'!$AM25,'NGP Chairs CoChairs'!$A$2:$A$53,0),8)</f>
        <v>carol@bocodems.org</v>
      </c>
      <c r="AQ25" s="46">
        <f>+INDEX('Supersite Working-AW'!$R$4:$AG$196,MATCH('Recap SS,Precincts,Chairs'!$D25,'Supersite Working-AW'!$R$4:$R$196,0),8)</f>
        <v>107153114</v>
      </c>
      <c r="AR25" s="46" t="str">
        <f>+INDEX('Supersite Working-AW'!$R$4:$AG$196,MATCH('Recap SS,Precincts,Chairs'!$D25,'Supersite Working-AW'!$R$4:$R$196,0),14)</f>
        <v>Dalton Valette</v>
      </c>
      <c r="AS25" t="str">
        <f>+INDEX('NGP Chairs CoChairs'!$A$2:$I$53,MATCH('Recap SS,Precincts,Chairs'!$AQ25,'NGP Chairs CoChairs'!$A$2:$A$53,0),7)</f>
        <v>3033788355</v>
      </c>
      <c r="AT25" t="str">
        <f>+INDEX('NGP Chairs CoChairs'!$A$2:$I$53,MATCH('Recap SS,Precincts,Chairs'!$AQ25,'NGP Chairs CoChairs'!$A$2:$A$53,0),8)</f>
        <v>daltonvalette@gmail.com</v>
      </c>
      <c r="AU25" s="46">
        <f>+INDEX('Supersite Working-AW'!$R$4:$AG$196,MATCH('Recap SS,Precincts,Chairs'!$D25,'Supersite Working-AW'!$R$4:$R$196,0),9)</f>
        <v>142884574</v>
      </c>
      <c r="AV25" s="46" t="str">
        <f>+INDEX('Supersite Working-AW'!$R$4:$AG$196,MATCH('Recap SS,Precincts,Chairs'!$D25,'Supersite Working-AW'!$R$4:$R$196,0),15)</f>
        <v>Adrienne Dahms</v>
      </c>
      <c r="AW25">
        <f>+INDEX('NGP Chairs CoChairs'!$A$2:$I$53,MATCH('Recap SS,Precincts,Chairs'!$AU25,'NGP Chairs CoChairs'!$A$2:$A$53,0),7)</f>
        <v>0</v>
      </c>
      <c r="AX25" t="str">
        <f>+INDEX('NGP Chairs CoChairs'!$A$2:$I$53,MATCH('Recap SS,Precincts,Chairs'!$AU25,'NGP Chairs CoChairs'!$A$2:$A$53,0),8)</f>
        <v>adrienne.dahms@gmail.com</v>
      </c>
      <c r="AY25" s="46">
        <f>+INDEX('Supersite Working-AW'!$R$4:$AG$196,MATCH('Recap SS,Precincts,Chairs'!$D25,'Supersite Working-AW'!$R$4:$R$196,0),10)</f>
        <v>0</v>
      </c>
      <c r="AZ25" s="46" t="e">
        <f>+INDEX('Supersite Working-AW'!$R$4:$AG$196,MATCH('Recap SS,Precincts,Chairs'!$D25,'Supersite Working-AW'!$R$4:$R$196,0),16)</f>
        <v>#N/A</v>
      </c>
      <c r="BA25" t="e">
        <f>+INDEX('NGP Chairs CoChairs'!$A$2:$I$53,MATCH('Recap SS,Precincts,Chairs'!$AY25,'NGP Chairs CoChairs'!$A$2:$A$53,0),7)</f>
        <v>#N/A</v>
      </c>
      <c r="BB25" t="e">
        <f>+INDEX('NGP Chairs CoChairs'!$A$2:$I$53,MATCH('Recap SS,Precincts,Chairs'!$AY25,'NGP Chairs CoChairs'!$A$2:$A$53,0),8)</f>
        <v>#N/A</v>
      </c>
      <c r="BC25">
        <f t="shared" si="1"/>
        <v>1</v>
      </c>
      <c r="BD25">
        <f t="shared" si="2"/>
        <v>1</v>
      </c>
      <c r="BE25">
        <f t="shared" si="3"/>
        <v>1</v>
      </c>
      <c r="BF25" t="str">
        <f t="shared" si="4"/>
        <v/>
      </c>
      <c r="BH25">
        <v>21</v>
      </c>
    </row>
    <row r="27" spans="1:60" ht="16" x14ac:dyDescent="0.2">
      <c r="J27" s="31"/>
    </row>
    <row r="28" spans="1:60" ht="16" x14ac:dyDescent="0.2">
      <c r="J28" s="31"/>
    </row>
    <row r="29" spans="1:60" ht="16" x14ac:dyDescent="0.2">
      <c r="J29" s="31"/>
    </row>
  </sheetData>
  <sheetProtection sheet="1" objects="1" scenarios="1" autoFilter="0"/>
  <autoFilter ref="A4:HF4" xr:uid="{FC0616AA-03BC-4BD2-9D69-4C2850FDA1BC}"/>
  <sortState xmlns:xlrd2="http://schemas.microsoft.com/office/spreadsheetml/2017/richdata2" ref="D5:HF25">
    <sortCondition ref="F5:F25"/>
    <sortCondition ref="D5:D25"/>
  </sortState>
  <conditionalFormatting sqref="AN1:AN1048576">
    <cfRule type="duplicateValues" dxfId="5" priority="1"/>
  </conditionalFormatting>
  <conditionalFormatting sqref="AN26:AN1048576 AN1:AN4">
    <cfRule type="duplicateValues" dxfId="4" priority="10"/>
  </conditionalFormatting>
  <conditionalFormatting sqref="AR2">
    <cfRule type="duplicateValues" dxfId="3" priority="5"/>
  </conditionalFormatting>
  <conditionalFormatting sqref="AU2">
    <cfRule type="duplicateValues" dxfId="2" priority="8"/>
  </conditionalFormatting>
  <conditionalFormatting sqref="AV2">
    <cfRule type="duplicateValues" dxfId="1" priority="4"/>
  </conditionalFormatting>
  <conditionalFormatting sqref="AZ2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4F40-5E05-4690-9557-AADC9E9EDC35}">
  <dimension ref="A1:D21"/>
  <sheetViews>
    <sheetView workbookViewId="0">
      <selection activeCell="B10" sqref="B10"/>
    </sheetView>
  </sheetViews>
  <sheetFormatPr baseColWidth="10" defaultColWidth="8.83203125" defaultRowHeight="16" x14ac:dyDescent="0.2"/>
  <cols>
    <col min="1" max="1" width="20" bestFit="1" customWidth="1"/>
    <col min="2" max="2" width="20.5" bestFit="1" customWidth="1"/>
    <col min="3" max="4" width="6.33203125" bestFit="1" customWidth="1"/>
  </cols>
  <sheetData>
    <row r="1" spans="1:4" x14ac:dyDescent="0.2">
      <c r="A1" s="74" t="s">
        <v>194</v>
      </c>
      <c r="B1" s="74" t="s">
        <v>195</v>
      </c>
      <c r="C1" s="74" t="s">
        <v>196</v>
      </c>
      <c r="D1" s="74" t="s">
        <v>197</v>
      </c>
    </row>
    <row r="2" spans="1:4" x14ac:dyDescent="0.2">
      <c r="A2" s="74" t="s">
        <v>121</v>
      </c>
      <c r="B2" t="s">
        <v>198</v>
      </c>
      <c r="C2" t="s">
        <v>189</v>
      </c>
      <c r="D2" t="s">
        <v>190</v>
      </c>
    </row>
    <row r="3" spans="1:4" x14ac:dyDescent="0.2">
      <c r="A3" s="74" t="s">
        <v>123</v>
      </c>
      <c r="B3" t="s">
        <v>199</v>
      </c>
      <c r="C3" t="s">
        <v>173</v>
      </c>
      <c r="D3" t="s">
        <v>181</v>
      </c>
    </row>
    <row r="4" spans="1:4" x14ac:dyDescent="0.2">
      <c r="A4" s="74" t="s">
        <v>127</v>
      </c>
      <c r="B4" t="s">
        <v>200</v>
      </c>
      <c r="C4" t="s">
        <v>173</v>
      </c>
      <c r="D4" t="s">
        <v>181</v>
      </c>
    </row>
    <row r="5" spans="1:4" x14ac:dyDescent="0.2">
      <c r="A5" s="74" t="s">
        <v>8</v>
      </c>
      <c r="B5" t="s">
        <v>201</v>
      </c>
      <c r="C5" t="s">
        <v>161</v>
      </c>
      <c r="D5" t="s">
        <v>162</v>
      </c>
    </row>
    <row r="6" spans="1:4" x14ac:dyDescent="0.2">
      <c r="A6" s="74" t="s">
        <v>130</v>
      </c>
      <c r="B6" t="s">
        <v>202</v>
      </c>
      <c r="C6" t="s">
        <v>178</v>
      </c>
      <c r="D6" t="s">
        <v>179</v>
      </c>
    </row>
    <row r="7" spans="1:4" x14ac:dyDescent="0.2">
      <c r="A7" s="74" t="s">
        <v>132</v>
      </c>
      <c r="B7" t="s">
        <v>203</v>
      </c>
      <c r="C7" t="s">
        <v>161</v>
      </c>
      <c r="D7" t="s">
        <v>162</v>
      </c>
    </row>
    <row r="8" spans="1:4" x14ac:dyDescent="0.2">
      <c r="A8" s="74" t="s">
        <v>134</v>
      </c>
      <c r="B8" t="s">
        <v>204</v>
      </c>
      <c r="C8" t="s">
        <v>166</v>
      </c>
      <c r="D8" t="s">
        <v>193</v>
      </c>
    </row>
    <row r="9" spans="1:4" x14ac:dyDescent="0.2">
      <c r="A9" s="74" t="s">
        <v>55</v>
      </c>
      <c r="B9" t="s">
        <v>205</v>
      </c>
      <c r="C9" t="s">
        <v>173</v>
      </c>
      <c r="D9" t="s">
        <v>174</v>
      </c>
    </row>
    <row r="10" spans="1:4" x14ac:dyDescent="0.2">
      <c r="A10" s="74" t="s">
        <v>137</v>
      </c>
      <c r="B10" t="s">
        <v>206</v>
      </c>
      <c r="C10" t="s">
        <v>189</v>
      </c>
      <c r="D10" t="s">
        <v>190</v>
      </c>
    </row>
    <row r="11" spans="1:4" x14ac:dyDescent="0.2">
      <c r="A11" s="74" t="s">
        <v>139</v>
      </c>
      <c r="B11" t="s">
        <v>206</v>
      </c>
      <c r="C11" t="s">
        <v>189</v>
      </c>
      <c r="D11" t="s">
        <v>190</v>
      </c>
    </row>
    <row r="12" spans="1:4" x14ac:dyDescent="0.2">
      <c r="A12" s="74" t="s">
        <v>60</v>
      </c>
      <c r="B12" t="s">
        <v>207</v>
      </c>
      <c r="C12" t="s">
        <v>182</v>
      </c>
      <c r="D12" t="s">
        <v>183</v>
      </c>
    </row>
    <row r="13" spans="1:4" x14ac:dyDescent="0.2">
      <c r="A13" s="74" t="s">
        <v>141</v>
      </c>
      <c r="B13" t="s">
        <v>198</v>
      </c>
      <c r="C13" t="s">
        <v>189</v>
      </c>
      <c r="D13" t="s">
        <v>191</v>
      </c>
    </row>
    <row r="14" spans="1:4" x14ac:dyDescent="0.2">
      <c r="A14" s="74" t="s">
        <v>142</v>
      </c>
      <c r="B14" t="s">
        <v>208</v>
      </c>
      <c r="C14" t="s">
        <v>169</v>
      </c>
      <c r="D14" t="s">
        <v>170</v>
      </c>
    </row>
    <row r="15" spans="1:4" x14ac:dyDescent="0.2">
      <c r="A15" s="74" t="s">
        <v>144</v>
      </c>
      <c r="B15" t="s">
        <v>209</v>
      </c>
      <c r="C15" t="s">
        <v>166</v>
      </c>
      <c r="D15" t="s">
        <v>179</v>
      </c>
    </row>
    <row r="16" spans="1:4" x14ac:dyDescent="0.2">
      <c r="A16" s="74" t="s">
        <v>40</v>
      </c>
      <c r="B16" t="s">
        <v>210</v>
      </c>
      <c r="C16" t="s">
        <v>189</v>
      </c>
      <c r="D16" t="s">
        <v>190</v>
      </c>
    </row>
    <row r="17" spans="1:4" x14ac:dyDescent="0.2">
      <c r="A17" s="74" t="s">
        <v>125</v>
      </c>
      <c r="B17" t="s">
        <v>211</v>
      </c>
      <c r="C17" t="s">
        <v>166</v>
      </c>
      <c r="D17" t="s">
        <v>171</v>
      </c>
    </row>
    <row r="18" spans="1:4" x14ac:dyDescent="0.2">
      <c r="A18" s="74" t="s">
        <v>94</v>
      </c>
      <c r="B18" t="s">
        <v>212</v>
      </c>
      <c r="C18" t="s">
        <v>166</v>
      </c>
      <c r="D18" t="s">
        <v>170</v>
      </c>
    </row>
    <row r="19" spans="1:4" x14ac:dyDescent="0.2">
      <c r="A19" s="74" t="s">
        <v>48</v>
      </c>
      <c r="B19" t="s">
        <v>213</v>
      </c>
      <c r="C19" t="s">
        <v>161</v>
      </c>
      <c r="D19" t="s">
        <v>162</v>
      </c>
    </row>
    <row r="20" spans="1:4" x14ac:dyDescent="0.2">
      <c r="A20" s="74" t="s">
        <v>78</v>
      </c>
      <c r="B20" t="s">
        <v>214</v>
      </c>
      <c r="C20" t="s">
        <v>185</v>
      </c>
      <c r="D20" t="s">
        <v>186</v>
      </c>
    </row>
    <row r="21" spans="1:4" x14ac:dyDescent="0.2">
      <c r="A21" s="74" t="s">
        <v>150</v>
      </c>
      <c r="B21" t="s">
        <v>206</v>
      </c>
      <c r="C21" t="s">
        <v>189</v>
      </c>
      <c r="D21" t="s"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82DDE-1DFC-48D3-A733-D9657488584C}">
  <dimension ref="A1:AL206"/>
  <sheetViews>
    <sheetView tabSelected="1" topLeftCell="B1" zoomScaleNormal="100" workbookViewId="0">
      <pane ySplit="3" topLeftCell="A127" activePane="bottomLeft" state="frozen"/>
      <selection activeCell="P1" sqref="P1"/>
      <selection pane="bottomLeft" activeCell="M117" sqref="M117"/>
    </sheetView>
  </sheetViews>
  <sheetFormatPr baseColWidth="10" defaultColWidth="8.83203125" defaultRowHeight="15.75" customHeight="1" x14ac:dyDescent="0.2"/>
  <cols>
    <col min="1" max="1" width="25.1640625" hidden="1" customWidth="1"/>
    <col min="2" max="2" width="9" bestFit="1" customWidth="1"/>
    <col min="3" max="3" width="11.1640625" bestFit="1" customWidth="1"/>
    <col min="4" max="4" width="17.33203125" bestFit="1" customWidth="1"/>
    <col min="5" max="5" width="45.83203125" bestFit="1" customWidth="1"/>
    <col min="6" max="6" width="57.6640625" bestFit="1" customWidth="1"/>
    <col min="7" max="7" width="16.6640625" customWidth="1"/>
    <col min="8" max="8" width="22.33203125" bestFit="1" customWidth="1"/>
    <col min="9" max="9" width="4.5" bestFit="1" customWidth="1"/>
    <col min="10" max="10" width="4.83203125" bestFit="1" customWidth="1"/>
    <col min="11" max="11" width="4.5" bestFit="1" customWidth="1"/>
    <col min="12" max="12" width="13.5" style="1" bestFit="1" customWidth="1"/>
    <col min="13" max="14" width="9.5" style="49" bestFit="1" customWidth="1"/>
    <col min="15" max="15" width="14.6640625" bestFit="1" customWidth="1"/>
    <col min="16" max="16" width="69" bestFit="1" customWidth="1"/>
    <col min="17" max="17" width="48.33203125" bestFit="1" customWidth="1"/>
    <col min="18" max="18" width="37.5" bestFit="1" customWidth="1"/>
    <col min="19" max="19" width="21.1640625" bestFit="1" customWidth="1"/>
    <col min="20" max="20" width="25.5" bestFit="1" customWidth="1"/>
    <col min="21" max="21" width="13.6640625" bestFit="1" customWidth="1"/>
    <col min="22" max="23" width="3.5" hidden="1" customWidth="1"/>
    <col min="24" max="27" width="9.6640625" bestFit="1" customWidth="1"/>
    <col min="28" max="29" width="8.1640625" bestFit="1" customWidth="1"/>
    <col min="30" max="30" width="23.33203125" bestFit="1" customWidth="1"/>
    <col min="31" max="31" width="15.33203125" bestFit="1" customWidth="1"/>
    <col min="32" max="32" width="14.5" bestFit="1" customWidth="1"/>
    <col min="33" max="33" width="12" bestFit="1" customWidth="1"/>
    <col min="34" max="34" width="11.1640625" bestFit="1" customWidth="1"/>
    <col min="35" max="37" width="10.6640625" bestFit="1" customWidth="1"/>
    <col min="38" max="38" width="5.83203125" bestFit="1" customWidth="1"/>
  </cols>
  <sheetData>
    <row r="1" spans="1:38" ht="15.75" customHeight="1" x14ac:dyDescent="0.2">
      <c r="R1" s="29" t="s">
        <v>1558</v>
      </c>
    </row>
    <row r="2" spans="1:38" ht="34" x14ac:dyDescent="0.2">
      <c r="B2">
        <f>COUNTA(B4:B196)</f>
        <v>193</v>
      </c>
      <c r="F2" s="29" t="s">
        <v>215</v>
      </c>
      <c r="G2" s="29"/>
      <c r="H2" s="29"/>
      <c r="I2" s="29"/>
      <c r="J2" s="29"/>
      <c r="K2" s="29"/>
      <c r="L2" s="30"/>
      <c r="M2" s="48">
        <v>2.5000000000000001E-2</v>
      </c>
      <c r="N2" s="48"/>
      <c r="O2" s="29"/>
      <c r="P2" s="29" t="s">
        <v>216</v>
      </c>
      <c r="Q2" s="29" t="s">
        <v>217</v>
      </c>
      <c r="R2" s="48" t="s">
        <v>1556</v>
      </c>
      <c r="S2" s="29" t="s">
        <v>218</v>
      </c>
      <c r="T2" s="29" t="s">
        <v>218</v>
      </c>
      <c r="AD2">
        <v>1</v>
      </c>
      <c r="AE2">
        <v>2</v>
      </c>
      <c r="AF2">
        <v>3</v>
      </c>
      <c r="AG2">
        <v>4</v>
      </c>
      <c r="AH2">
        <v>1</v>
      </c>
      <c r="AI2">
        <v>2</v>
      </c>
      <c r="AJ2">
        <v>3</v>
      </c>
      <c r="AK2">
        <v>4</v>
      </c>
    </row>
    <row r="3" spans="1:38" s="33" customFormat="1" ht="48" x14ac:dyDescent="0.2">
      <c r="A3" s="32" t="s">
        <v>99</v>
      </c>
      <c r="B3" s="80" t="s">
        <v>219</v>
      </c>
      <c r="C3" s="80" t="s">
        <v>220</v>
      </c>
      <c r="D3" s="80" t="s">
        <v>0</v>
      </c>
      <c r="E3" s="80" t="s">
        <v>221</v>
      </c>
      <c r="F3" s="81" t="s">
        <v>222</v>
      </c>
      <c r="G3" s="82" t="s">
        <v>223</v>
      </c>
      <c r="H3" s="82" t="s">
        <v>224</v>
      </c>
      <c r="I3" s="82" t="s">
        <v>225</v>
      </c>
      <c r="J3" s="82" t="s">
        <v>226</v>
      </c>
      <c r="K3" s="82" t="s">
        <v>227</v>
      </c>
      <c r="L3" s="83" t="s">
        <v>228</v>
      </c>
      <c r="M3" s="84" t="s">
        <v>229</v>
      </c>
      <c r="N3" s="84" t="s">
        <v>230</v>
      </c>
      <c r="O3" s="82" t="s">
        <v>231</v>
      </c>
      <c r="P3" s="85" t="s">
        <v>232</v>
      </c>
      <c r="Q3" s="81" t="s">
        <v>233</v>
      </c>
      <c r="R3" s="80" t="s">
        <v>1557</v>
      </c>
      <c r="S3" s="80" t="s">
        <v>234</v>
      </c>
      <c r="T3" s="80" t="s">
        <v>235</v>
      </c>
      <c r="U3" s="80" t="s">
        <v>236</v>
      </c>
      <c r="V3"/>
      <c r="W3"/>
      <c r="X3" s="64" t="s">
        <v>108</v>
      </c>
      <c r="Y3" s="64" t="s">
        <v>112</v>
      </c>
      <c r="Z3" s="64" t="s">
        <v>114</v>
      </c>
      <c r="AA3" s="64" t="s">
        <v>116</v>
      </c>
      <c r="AB3" s="64" t="s">
        <v>119</v>
      </c>
      <c r="AC3" s="64" t="s">
        <v>237</v>
      </c>
      <c r="AD3" s="64" t="s">
        <v>109</v>
      </c>
      <c r="AE3" s="64" t="s">
        <v>109</v>
      </c>
      <c r="AF3" s="64" t="s">
        <v>109</v>
      </c>
      <c r="AG3" s="64" t="s">
        <v>109</v>
      </c>
      <c r="AH3" s="77" t="s">
        <v>423</v>
      </c>
      <c r="AI3" s="77" t="s">
        <v>423</v>
      </c>
      <c r="AJ3" s="77" t="s">
        <v>423</v>
      </c>
      <c r="AK3" s="77" t="s">
        <v>423</v>
      </c>
      <c r="AL3" s="134" t="s">
        <v>157</v>
      </c>
    </row>
    <row r="4" spans="1:38" ht="16" x14ac:dyDescent="0.2">
      <c r="A4" s="3" t="s">
        <v>336</v>
      </c>
      <c r="B4" s="86">
        <v>4</v>
      </c>
      <c r="C4" s="86" t="s">
        <v>338</v>
      </c>
      <c r="D4" s="86" t="s">
        <v>339</v>
      </c>
      <c r="E4" s="86" t="s">
        <v>340</v>
      </c>
      <c r="F4" s="86" t="s">
        <v>341</v>
      </c>
      <c r="G4" s="86" t="s">
        <v>243</v>
      </c>
      <c r="H4" s="86"/>
      <c r="I4" s="86">
        <v>2</v>
      </c>
      <c r="J4" s="86">
        <v>12</v>
      </c>
      <c r="K4" s="86">
        <v>15</v>
      </c>
      <c r="L4" s="88">
        <v>0</v>
      </c>
      <c r="M4" s="89">
        <f>(L4*$M$2)</f>
        <v>0</v>
      </c>
      <c r="N4" s="89"/>
      <c r="O4" s="86" t="s">
        <v>160</v>
      </c>
      <c r="P4" s="87" t="s">
        <v>337</v>
      </c>
      <c r="Q4" s="99" t="s">
        <v>342</v>
      </c>
      <c r="R4" s="86" t="s">
        <v>44</v>
      </c>
      <c r="S4" s="120" t="s">
        <v>343</v>
      </c>
      <c r="T4" s="120"/>
      <c r="U4" s="86" t="s">
        <v>3</v>
      </c>
      <c r="V4" s="19"/>
      <c r="W4" s="19"/>
      <c r="X4" s="95">
        <v>142893063</v>
      </c>
      <c r="Y4" s="95">
        <v>113627156</v>
      </c>
      <c r="Z4" s="95">
        <v>107152229</v>
      </c>
      <c r="AA4" s="95">
        <v>107152370</v>
      </c>
      <c r="AB4" s="19"/>
      <c r="AC4" s="19"/>
      <c r="AD4" s="135" t="str">
        <f>+INDEX('NGP Chairs CoChairs'!$A$2:$M$53,MATCH('Supersite Working-AW'!$X32,'NGP Chairs CoChairs'!$A$2:$A$53,0),12)</f>
        <v>Michael Smith</v>
      </c>
      <c r="AE4" s="135" t="e">
        <f>+INDEX('NGP Chairs CoChairs'!$A$2:$M$53,MATCH('Supersite Working-AW'!$Y32,'NGP Chairs CoChairs'!$A$2:$A$53,0),12)</f>
        <v>#N/A</v>
      </c>
      <c r="AF4" s="135" t="e">
        <f>+INDEX('NGP Chairs CoChairs'!$A$2:$M$53,MATCH('Supersite Working-AW'!$Z32,'NGP Chairs CoChairs'!$A$2:$A$53,0),12)</f>
        <v>#N/A</v>
      </c>
      <c r="AG4" s="135" t="e">
        <f>+INDEX('NGP Chairs CoChairs'!$A$2:$M$53,MATCH('Supersite Working-AW'!$AA32,'NGP Chairs CoChairs'!$A$2:$A$53,0),12)</f>
        <v>#N/A</v>
      </c>
      <c r="AH4" s="69" t="str">
        <f>+INDEX('NGP Chairs CoChairs'!$A$2:$M$53,MATCH('Supersite Working-AW'!$X32,'NGP Chairs CoChairs'!$A$2:$A$53,0),7)</f>
        <v>9525673288</v>
      </c>
      <c r="AI4" s="69" t="e">
        <f>+INDEX('NGP Chairs CoChairs'!$A$2:$M$53,MATCH('Supersite Working-AW'!$Y32,'NGP Chairs CoChairs'!$A$2:$A$53,0),7)</f>
        <v>#N/A</v>
      </c>
      <c r="AJ4" s="69" t="e">
        <f>+INDEX('NGP Chairs CoChairs'!$A$2:$M$53,MATCH('Supersite Working-AW'!$Z32,'NGP Chairs CoChairs'!$A$2:$A$53,0),7)</f>
        <v>#N/A</v>
      </c>
      <c r="AK4" s="69" t="e">
        <f>+INDEX('NGP Chairs CoChairs'!$A$2:$M$53,MATCH('Supersite Working-AW'!$AA32,'NGP Chairs CoChairs'!$A$2:$A$53,0),7)</f>
        <v>#N/A</v>
      </c>
      <c r="AL4">
        <v>4</v>
      </c>
    </row>
    <row r="5" spans="1:38" ht="16" x14ac:dyDescent="0.2">
      <c r="A5" s="3" t="s">
        <v>48</v>
      </c>
      <c r="B5" s="86">
        <v>854</v>
      </c>
      <c r="C5" s="86" t="s">
        <v>338</v>
      </c>
      <c r="D5" s="86" t="s">
        <v>339</v>
      </c>
      <c r="E5" s="86" t="s">
        <v>340</v>
      </c>
      <c r="F5" s="19" t="s">
        <v>365</v>
      </c>
      <c r="G5" s="86" t="s">
        <v>243</v>
      </c>
      <c r="H5" s="86"/>
      <c r="I5" s="86">
        <v>2</v>
      </c>
      <c r="J5" s="86">
        <v>49</v>
      </c>
      <c r="K5" s="86">
        <v>18</v>
      </c>
      <c r="L5" s="88">
        <v>491</v>
      </c>
      <c r="M5" s="89">
        <f>(L5*$M$2)</f>
        <v>12.275</v>
      </c>
      <c r="N5" s="89"/>
      <c r="O5" s="86" t="s">
        <v>160</v>
      </c>
      <c r="P5" s="86"/>
      <c r="Q5" s="86"/>
      <c r="R5" s="98" t="s">
        <v>91</v>
      </c>
      <c r="S5" s="98" t="s">
        <v>91</v>
      </c>
      <c r="T5" s="86"/>
      <c r="U5" s="86" t="s">
        <v>3</v>
      </c>
      <c r="V5" s="19"/>
      <c r="W5" s="19"/>
      <c r="X5" s="19">
        <v>107152873</v>
      </c>
      <c r="Y5" s="19">
        <v>107152473</v>
      </c>
      <c r="Z5" s="19">
        <v>107152460</v>
      </c>
      <c r="AA5" s="19">
        <v>111658833</v>
      </c>
      <c r="AB5" s="19"/>
      <c r="AC5" s="19" t="s">
        <v>97</v>
      </c>
      <c r="AD5" s="135" t="str">
        <f>+INDEX('NGP Chairs CoChairs'!$A$2:$M$53,MATCH('Supersite Working-AW'!$X56,'NGP Chairs CoChairs'!$A$2:$A$53,0),12)</f>
        <v>Joel Smith</v>
      </c>
      <c r="AE5" s="135" t="str">
        <f>+INDEX('NGP Chairs CoChairs'!$A$2:$M$53,MATCH('Supersite Working-AW'!$Y56,'NGP Chairs CoChairs'!$A$2:$A$53,0),12)</f>
        <v>Michael Hart</v>
      </c>
      <c r="AF5" s="135" t="str">
        <f>+INDEX('NGP Chairs CoChairs'!$A$2:$M$53,MATCH('Supersite Working-AW'!$Z56,'NGP Chairs CoChairs'!$A$2:$A$53,0),12)</f>
        <v>Patricia Feeser</v>
      </c>
      <c r="AG5" s="135" t="e">
        <f>+INDEX('NGP Chairs CoChairs'!$A$2:$M$53,MATCH('Supersite Working-AW'!$AA56,'NGP Chairs CoChairs'!$A$2:$A$53,0),12)</f>
        <v>#N/A</v>
      </c>
      <c r="AH5" s="69" t="str">
        <f>+INDEX('NGP Chairs CoChairs'!$A$2:$M$53,MATCH('Supersite Working-AW'!$X56,'NGP Chairs CoChairs'!$A$2:$A$53,0),7)</f>
        <v>3032492204</v>
      </c>
      <c r="AI5" s="69" t="str">
        <f>+INDEX('NGP Chairs CoChairs'!$A$2:$M$53,MATCH('Supersite Working-AW'!$Y56,'NGP Chairs CoChairs'!$A$2:$A$53,0),7)</f>
        <v>3039491542</v>
      </c>
      <c r="AJ5" s="69" t="str">
        <f>+INDEX('NGP Chairs CoChairs'!$A$2:$M$53,MATCH('Supersite Working-AW'!$Z56,'NGP Chairs CoChairs'!$A$2:$A$53,0),7)</f>
        <v>5183307872</v>
      </c>
      <c r="AK5" s="69" t="e">
        <f>+INDEX('NGP Chairs CoChairs'!$A$2:$M$53,MATCH('Supersite Working-AW'!$AA56,'NGP Chairs CoChairs'!$A$2:$A$53,0),7)</f>
        <v>#N/A</v>
      </c>
      <c r="AL5">
        <v>6</v>
      </c>
    </row>
    <row r="6" spans="1:38" ht="16" x14ac:dyDescent="0.2">
      <c r="A6" s="3" t="s">
        <v>48</v>
      </c>
      <c r="B6" s="86">
        <v>855</v>
      </c>
      <c r="C6" s="86" t="s">
        <v>338</v>
      </c>
      <c r="D6" s="86" t="s">
        <v>339</v>
      </c>
      <c r="E6" s="86" t="s">
        <v>340</v>
      </c>
      <c r="F6" s="19" t="s">
        <v>365</v>
      </c>
      <c r="G6" s="86" t="s">
        <v>243</v>
      </c>
      <c r="H6" s="86"/>
      <c r="I6" s="86">
        <v>2</v>
      </c>
      <c r="J6" s="86">
        <v>49</v>
      </c>
      <c r="K6" s="86">
        <v>18</v>
      </c>
      <c r="L6" s="88">
        <v>705</v>
      </c>
      <c r="M6" s="89">
        <f>(L6*$M$2)</f>
        <v>17.625</v>
      </c>
      <c r="N6" s="89"/>
      <c r="O6" s="86" t="s">
        <v>160</v>
      </c>
      <c r="P6" s="86"/>
      <c r="Q6" s="86"/>
      <c r="R6" s="98" t="s">
        <v>91</v>
      </c>
      <c r="S6" s="98" t="s">
        <v>91</v>
      </c>
      <c r="T6" s="86"/>
      <c r="U6" s="86" t="s">
        <v>3</v>
      </c>
      <c r="V6" s="19"/>
      <c r="W6" s="19"/>
      <c r="X6" s="19">
        <v>107152873</v>
      </c>
      <c r="Y6" s="19">
        <v>107152473</v>
      </c>
      <c r="Z6" s="19">
        <v>107152460</v>
      </c>
      <c r="AA6" s="19">
        <v>111658833</v>
      </c>
      <c r="AB6" s="19"/>
      <c r="AC6" s="19"/>
      <c r="AD6" s="135" t="str">
        <f>+INDEX('NGP Chairs CoChairs'!$A$2:$M$53,MATCH('Supersite Working-AW'!$X57,'NGP Chairs CoChairs'!$A$2:$A$53,0),12)</f>
        <v>Michael Altenbern</v>
      </c>
      <c r="AE6" s="135" t="str">
        <f>+INDEX('NGP Chairs CoChairs'!$A$2:$M$53,MATCH('Supersite Working-AW'!$Y57,'NGP Chairs CoChairs'!$A$2:$A$53,0),12)</f>
        <v>Mark Flett</v>
      </c>
      <c r="AF6" s="135" t="str">
        <f>+INDEX('NGP Chairs CoChairs'!$A$2:$M$53,MATCH('Supersite Working-AW'!$Z57,'NGP Chairs CoChairs'!$A$2:$A$53,0),12)</f>
        <v>Susan Winter</v>
      </c>
      <c r="AG6" s="135" t="e">
        <f>+INDEX('NGP Chairs CoChairs'!$A$2:$M$53,MATCH('Supersite Working-AW'!$AA57,'NGP Chairs CoChairs'!$A$2:$A$53,0),12)</f>
        <v>#N/A</v>
      </c>
      <c r="AH6" s="69" t="str">
        <f>+INDEX('NGP Chairs CoChairs'!$A$2:$M$53,MATCH('Supersite Working-AW'!$X57,'NGP Chairs CoChairs'!$A$2:$A$53,0),7)</f>
        <v>3039097201</v>
      </c>
      <c r="AI6" s="69" t="str">
        <f>+INDEX('NGP Chairs CoChairs'!$A$2:$M$53,MATCH('Supersite Working-AW'!$Y57,'NGP Chairs CoChairs'!$A$2:$A$53,0),7)</f>
        <v>3032291024</v>
      </c>
      <c r="AJ6" s="69" t="str">
        <f>+INDEX('NGP Chairs CoChairs'!$A$2:$M$53,MATCH('Supersite Working-AW'!$Z57,'NGP Chairs CoChairs'!$A$2:$A$53,0),7)</f>
        <v>3035810783</v>
      </c>
      <c r="AK6" s="69" t="e">
        <f>+INDEX('NGP Chairs CoChairs'!$A$2:$M$53,MATCH('Supersite Working-AW'!$AA57,'NGP Chairs CoChairs'!$A$2:$A$53,0),7)</f>
        <v>#N/A</v>
      </c>
      <c r="AL6">
        <v>6</v>
      </c>
    </row>
    <row r="7" spans="1:38" ht="16" x14ac:dyDescent="0.2">
      <c r="A7" s="3" t="s">
        <v>48</v>
      </c>
      <c r="B7" s="86">
        <v>856</v>
      </c>
      <c r="C7" s="86" t="s">
        <v>338</v>
      </c>
      <c r="D7" s="86" t="s">
        <v>339</v>
      </c>
      <c r="E7" s="86" t="s">
        <v>340</v>
      </c>
      <c r="F7" s="19" t="s">
        <v>365</v>
      </c>
      <c r="G7" s="86" t="s">
        <v>243</v>
      </c>
      <c r="H7" s="86"/>
      <c r="I7" s="86">
        <v>2</v>
      </c>
      <c r="J7" s="86">
        <v>49</v>
      </c>
      <c r="K7" s="86">
        <v>18</v>
      </c>
      <c r="L7" s="88">
        <v>844</v>
      </c>
      <c r="M7" s="89">
        <f>(L7*$M$2)</f>
        <v>21.1</v>
      </c>
      <c r="N7" s="89"/>
      <c r="O7" s="86" t="s">
        <v>160</v>
      </c>
      <c r="P7" s="86"/>
      <c r="Q7" s="86"/>
      <c r="R7" s="98" t="s">
        <v>91</v>
      </c>
      <c r="S7" s="98" t="s">
        <v>91</v>
      </c>
      <c r="T7" s="86"/>
      <c r="U7" s="86" t="s">
        <v>3</v>
      </c>
      <c r="V7" s="19"/>
      <c r="W7" s="19"/>
      <c r="X7" s="19">
        <v>107152873</v>
      </c>
      <c r="Y7" s="19">
        <v>107152473</v>
      </c>
      <c r="Z7" s="19">
        <v>107152460</v>
      </c>
      <c r="AA7" s="19">
        <v>111658833</v>
      </c>
      <c r="AB7" s="19"/>
      <c r="AC7" s="19"/>
      <c r="AD7" s="135" t="str">
        <f>+INDEX('NGP Chairs CoChairs'!$A$2:$M$53,MATCH('Supersite Working-AW'!$X58,'NGP Chairs CoChairs'!$A$2:$A$53,0),12)</f>
        <v>Michael Altenbern</v>
      </c>
      <c r="AE7" s="135" t="str">
        <f>+INDEX('NGP Chairs CoChairs'!$A$2:$M$53,MATCH('Supersite Working-AW'!$Y58,'NGP Chairs CoChairs'!$A$2:$A$53,0),12)</f>
        <v>Mark Flett</v>
      </c>
      <c r="AF7" s="135" t="str">
        <f>+INDEX('NGP Chairs CoChairs'!$A$2:$M$53,MATCH('Supersite Working-AW'!$Z58,'NGP Chairs CoChairs'!$A$2:$A$53,0),12)</f>
        <v>Susan Winter</v>
      </c>
      <c r="AG7" s="135" t="e">
        <f>+INDEX('NGP Chairs CoChairs'!$A$2:$M$53,MATCH('Supersite Working-AW'!$AA58,'NGP Chairs CoChairs'!$A$2:$A$53,0),12)</f>
        <v>#N/A</v>
      </c>
      <c r="AH7" s="69" t="str">
        <f>+INDEX('NGP Chairs CoChairs'!$A$2:$M$53,MATCH('Supersite Working-AW'!$X58,'NGP Chairs CoChairs'!$A$2:$A$53,0),7)</f>
        <v>3039097201</v>
      </c>
      <c r="AI7" s="69" t="str">
        <f>+INDEX('NGP Chairs CoChairs'!$A$2:$M$53,MATCH('Supersite Working-AW'!$Y58,'NGP Chairs CoChairs'!$A$2:$A$53,0),7)</f>
        <v>3032291024</v>
      </c>
      <c r="AJ7" s="69" t="str">
        <f>+INDEX('NGP Chairs CoChairs'!$A$2:$M$53,MATCH('Supersite Working-AW'!$Z58,'NGP Chairs CoChairs'!$A$2:$A$53,0),7)</f>
        <v>3035810783</v>
      </c>
      <c r="AK7" s="69" t="e">
        <f>+INDEX('NGP Chairs CoChairs'!$A$2:$M$53,MATCH('Supersite Working-AW'!$AA58,'NGP Chairs CoChairs'!$A$2:$A$53,0),7)</f>
        <v>#N/A</v>
      </c>
      <c r="AL7">
        <v>6</v>
      </c>
    </row>
    <row r="8" spans="1:38" ht="16" x14ac:dyDescent="0.2">
      <c r="A8" s="3" t="s">
        <v>48</v>
      </c>
      <c r="B8" s="86">
        <v>857</v>
      </c>
      <c r="C8" s="86" t="s">
        <v>338</v>
      </c>
      <c r="D8" s="86" t="s">
        <v>339</v>
      </c>
      <c r="E8" s="86" t="s">
        <v>340</v>
      </c>
      <c r="F8" s="19" t="s">
        <v>365</v>
      </c>
      <c r="G8" s="86" t="s">
        <v>243</v>
      </c>
      <c r="H8" s="86"/>
      <c r="I8" s="86">
        <v>2</v>
      </c>
      <c r="J8" s="86">
        <v>49</v>
      </c>
      <c r="K8" s="86">
        <v>18</v>
      </c>
      <c r="L8" s="88">
        <v>491</v>
      </c>
      <c r="M8" s="89">
        <f>(L8*$M$2)</f>
        <v>12.275</v>
      </c>
      <c r="N8" s="89"/>
      <c r="O8" s="86" t="s">
        <v>160</v>
      </c>
      <c r="P8" s="86"/>
      <c r="Q8" s="86"/>
      <c r="R8" s="98" t="s">
        <v>91</v>
      </c>
      <c r="S8" s="98" t="s">
        <v>91</v>
      </c>
      <c r="T8" s="86"/>
      <c r="U8" s="86" t="s">
        <v>3</v>
      </c>
      <c r="V8" s="19"/>
      <c r="W8" s="19"/>
      <c r="X8" s="19">
        <v>107152873</v>
      </c>
      <c r="Y8" s="19">
        <v>107152473</v>
      </c>
      <c r="Z8" s="19">
        <v>107152460</v>
      </c>
      <c r="AA8" s="19">
        <v>111658833</v>
      </c>
      <c r="AB8" s="19"/>
      <c r="AC8" s="19"/>
      <c r="AD8" s="135" t="str">
        <f>+INDEX('NGP Chairs CoChairs'!$A$2:$M$53,MATCH('Supersite Working-AW'!$X59,'NGP Chairs CoChairs'!$A$2:$A$53,0),12)</f>
        <v>Michael Altenbern</v>
      </c>
      <c r="AE8" s="135" t="str">
        <f>+INDEX('NGP Chairs CoChairs'!$A$2:$M$53,MATCH('Supersite Working-AW'!$Y59,'NGP Chairs CoChairs'!$A$2:$A$53,0),12)</f>
        <v>Mark Flett</v>
      </c>
      <c r="AF8" s="135" t="str">
        <f>+INDEX('NGP Chairs CoChairs'!$A$2:$M$53,MATCH('Supersite Working-AW'!$Z59,'NGP Chairs CoChairs'!$A$2:$A$53,0),12)</f>
        <v>Susan Winter</v>
      </c>
      <c r="AG8" s="135" t="e">
        <f>+INDEX('NGP Chairs CoChairs'!$A$2:$M$53,MATCH('Supersite Working-AW'!$AA59,'NGP Chairs CoChairs'!$A$2:$A$53,0),12)</f>
        <v>#N/A</v>
      </c>
      <c r="AH8" s="69" t="str">
        <f>+INDEX('NGP Chairs CoChairs'!$A$2:$M$53,MATCH('Supersite Working-AW'!$X59,'NGP Chairs CoChairs'!$A$2:$A$53,0),7)</f>
        <v>3039097201</v>
      </c>
      <c r="AI8" s="69" t="str">
        <f>+INDEX('NGP Chairs CoChairs'!$A$2:$M$53,MATCH('Supersite Working-AW'!$Y59,'NGP Chairs CoChairs'!$A$2:$A$53,0),7)</f>
        <v>3032291024</v>
      </c>
      <c r="AJ8" s="69" t="str">
        <f>+INDEX('NGP Chairs CoChairs'!$A$2:$M$53,MATCH('Supersite Working-AW'!$Z59,'NGP Chairs CoChairs'!$A$2:$A$53,0),7)</f>
        <v>3035810783</v>
      </c>
      <c r="AK8" s="69" t="e">
        <f>+INDEX('NGP Chairs CoChairs'!$A$2:$M$53,MATCH('Supersite Working-AW'!$AA59,'NGP Chairs CoChairs'!$A$2:$A$53,0),7)</f>
        <v>#N/A</v>
      </c>
      <c r="AL8">
        <v>6</v>
      </c>
    </row>
    <row r="9" spans="1:38" ht="16" x14ac:dyDescent="0.2">
      <c r="A9" s="3" t="s">
        <v>336</v>
      </c>
      <c r="B9" s="86">
        <v>900</v>
      </c>
      <c r="C9" s="86" t="s">
        <v>338</v>
      </c>
      <c r="D9" s="86" t="s">
        <v>339</v>
      </c>
      <c r="E9" s="86" t="s">
        <v>340</v>
      </c>
      <c r="F9" s="86" t="s">
        <v>341</v>
      </c>
      <c r="G9" s="86" t="s">
        <v>243</v>
      </c>
      <c r="H9" s="86"/>
      <c r="I9" s="86">
        <v>2</v>
      </c>
      <c r="J9" s="86">
        <v>49</v>
      </c>
      <c r="K9" s="86">
        <v>15</v>
      </c>
      <c r="L9" s="88">
        <v>310</v>
      </c>
      <c r="M9" s="89">
        <f>(L9*$M$2)</f>
        <v>7.75</v>
      </c>
      <c r="N9" s="89"/>
      <c r="O9" s="86" t="s">
        <v>160</v>
      </c>
      <c r="P9" s="87" t="s">
        <v>337</v>
      </c>
      <c r="Q9" s="119"/>
      <c r="R9" s="98" t="s">
        <v>91</v>
      </c>
      <c r="S9" s="120" t="s">
        <v>343</v>
      </c>
      <c r="T9" s="120"/>
      <c r="U9" s="86" t="s">
        <v>3</v>
      </c>
      <c r="V9" s="19"/>
      <c r="W9" s="19"/>
      <c r="X9" s="19">
        <v>107152873</v>
      </c>
      <c r="Y9" s="19">
        <v>107152473</v>
      </c>
      <c r="Z9" s="19">
        <v>107152460</v>
      </c>
      <c r="AA9" s="19">
        <v>111658833</v>
      </c>
      <c r="AB9" s="19"/>
      <c r="AC9" s="19"/>
      <c r="AD9" s="135" t="str">
        <f>+INDEX('NGP Chairs CoChairs'!$A$2:$M$53,MATCH('Supersite Working-AW'!$X60,'NGP Chairs CoChairs'!$A$2:$A$53,0),12)</f>
        <v>Michael Altenbern</v>
      </c>
      <c r="AE9" s="135" t="str">
        <f>+INDEX('NGP Chairs CoChairs'!$A$2:$M$53,MATCH('Supersite Working-AW'!$Y60,'NGP Chairs CoChairs'!$A$2:$A$53,0),12)</f>
        <v>Mark Flett</v>
      </c>
      <c r="AF9" s="135" t="str">
        <f>+INDEX('NGP Chairs CoChairs'!$A$2:$M$53,MATCH('Supersite Working-AW'!$Z60,'NGP Chairs CoChairs'!$A$2:$A$53,0),12)</f>
        <v>Susan Winter</v>
      </c>
      <c r="AG9" s="135" t="e">
        <f>+INDEX('NGP Chairs CoChairs'!$A$2:$M$53,MATCH('Supersite Working-AW'!$AA60,'NGP Chairs CoChairs'!$A$2:$A$53,0),12)</f>
        <v>#N/A</v>
      </c>
      <c r="AH9" s="69" t="str">
        <f>+INDEX('NGP Chairs CoChairs'!$A$2:$M$53,MATCH('Supersite Working-AW'!$X60,'NGP Chairs CoChairs'!$A$2:$A$53,0),7)</f>
        <v>3039097201</v>
      </c>
      <c r="AI9" s="69" t="str">
        <f>+INDEX('NGP Chairs CoChairs'!$A$2:$M$53,MATCH('Supersite Working-AW'!$Y60,'NGP Chairs CoChairs'!$A$2:$A$53,0),7)</f>
        <v>3032291024</v>
      </c>
      <c r="AJ9" s="69" t="str">
        <f>+INDEX('NGP Chairs CoChairs'!$A$2:$M$53,MATCH('Supersite Working-AW'!$Z60,'NGP Chairs CoChairs'!$A$2:$A$53,0),7)</f>
        <v>3035810783</v>
      </c>
      <c r="AK9" s="69" t="e">
        <f>+INDEX('NGP Chairs CoChairs'!$A$2:$M$53,MATCH('Supersite Working-AW'!$AA60,'NGP Chairs CoChairs'!$A$2:$A$53,0),7)</f>
        <v>#N/A</v>
      </c>
      <c r="AL9">
        <v>6</v>
      </c>
    </row>
    <row r="10" spans="1:38" ht="16" x14ac:dyDescent="0.2">
      <c r="A10" s="3" t="s">
        <v>48</v>
      </c>
      <c r="B10" s="86">
        <v>906</v>
      </c>
      <c r="C10" s="86" t="s">
        <v>338</v>
      </c>
      <c r="D10" s="86" t="s">
        <v>339</v>
      </c>
      <c r="E10" s="86" t="s">
        <v>340</v>
      </c>
      <c r="F10" s="19" t="s">
        <v>365</v>
      </c>
      <c r="G10" s="86" t="s">
        <v>243</v>
      </c>
      <c r="H10" s="86"/>
      <c r="I10" s="86">
        <v>2</v>
      </c>
      <c r="J10" s="86">
        <v>49</v>
      </c>
      <c r="K10" s="86">
        <v>15</v>
      </c>
      <c r="L10" s="88">
        <v>240</v>
      </c>
      <c r="M10" s="89">
        <f>(L10*$M$2)</f>
        <v>6</v>
      </c>
      <c r="N10" s="89"/>
      <c r="O10" s="86" t="s">
        <v>160</v>
      </c>
      <c r="P10" s="86"/>
      <c r="Q10" s="86"/>
      <c r="R10" s="98" t="s">
        <v>91</v>
      </c>
      <c r="S10" s="98" t="s">
        <v>91</v>
      </c>
      <c r="T10" s="86"/>
      <c r="U10" s="86" t="s">
        <v>3</v>
      </c>
      <c r="V10" s="19"/>
      <c r="W10" s="19"/>
      <c r="X10" s="19">
        <v>107152873</v>
      </c>
      <c r="Y10" s="19">
        <v>107152473</v>
      </c>
      <c r="Z10" s="19">
        <v>107152460</v>
      </c>
      <c r="AA10" s="19">
        <v>111658833</v>
      </c>
      <c r="AB10" s="19"/>
      <c r="AC10" s="19"/>
      <c r="AD10" s="135" t="str">
        <f>+INDEX('NGP Chairs CoChairs'!$A$2:$M$53,MATCH('Supersite Working-AW'!$X61,'NGP Chairs CoChairs'!$A$2:$A$53,0),12)</f>
        <v>Michael Altenbern</v>
      </c>
      <c r="AE10" s="135" t="str">
        <f>+INDEX('NGP Chairs CoChairs'!$A$2:$M$53,MATCH('Supersite Working-AW'!$Y61,'NGP Chairs CoChairs'!$A$2:$A$53,0),12)</f>
        <v>Mark Flett</v>
      </c>
      <c r="AF10" s="135" t="str">
        <f>+INDEX('NGP Chairs CoChairs'!$A$2:$M$53,MATCH('Supersite Working-AW'!$Z61,'NGP Chairs CoChairs'!$A$2:$A$53,0),12)</f>
        <v>Susan Winter</v>
      </c>
      <c r="AG10" s="135" t="e">
        <f>+INDEX('NGP Chairs CoChairs'!$A$2:$M$53,MATCH('Supersite Working-AW'!$AA61,'NGP Chairs CoChairs'!$A$2:$A$53,0),12)</f>
        <v>#N/A</v>
      </c>
      <c r="AH10" s="69" t="str">
        <f>+INDEX('NGP Chairs CoChairs'!$A$2:$M$53,MATCH('Supersite Working-AW'!$X61,'NGP Chairs CoChairs'!$A$2:$A$53,0),7)</f>
        <v>3039097201</v>
      </c>
      <c r="AI10" s="69" t="str">
        <f>+INDEX('NGP Chairs CoChairs'!$A$2:$M$53,MATCH('Supersite Working-AW'!$Y61,'NGP Chairs CoChairs'!$A$2:$A$53,0),7)</f>
        <v>3032291024</v>
      </c>
      <c r="AJ10" s="69" t="str">
        <f>+INDEX('NGP Chairs CoChairs'!$A$2:$M$53,MATCH('Supersite Working-AW'!$Z61,'NGP Chairs CoChairs'!$A$2:$A$53,0),7)</f>
        <v>3035810783</v>
      </c>
      <c r="AK10" s="69" t="e">
        <f>+INDEX('NGP Chairs CoChairs'!$A$2:$M$53,MATCH('Supersite Working-AW'!$AA61,'NGP Chairs CoChairs'!$A$2:$A$53,0),7)</f>
        <v>#N/A</v>
      </c>
      <c r="AL10">
        <v>6</v>
      </c>
    </row>
    <row r="11" spans="1:38" ht="16" x14ac:dyDescent="0.2">
      <c r="A11" s="3" t="s">
        <v>48</v>
      </c>
      <c r="B11" s="86">
        <v>830</v>
      </c>
      <c r="C11" s="86" t="s">
        <v>366</v>
      </c>
      <c r="D11" s="86" t="s">
        <v>367</v>
      </c>
      <c r="E11" s="86" t="s">
        <v>368</v>
      </c>
      <c r="F11" s="19" t="s">
        <v>365</v>
      </c>
      <c r="G11" s="86" t="s">
        <v>243</v>
      </c>
      <c r="H11" s="86"/>
      <c r="I11" s="86">
        <v>2</v>
      </c>
      <c r="J11" s="86">
        <v>10</v>
      </c>
      <c r="K11" s="86">
        <v>18</v>
      </c>
      <c r="L11" s="88">
        <v>874</v>
      </c>
      <c r="M11" s="89">
        <f>(L11*$M$2)</f>
        <v>21.85</v>
      </c>
      <c r="N11" s="89"/>
      <c r="O11" s="86" t="s">
        <v>160</v>
      </c>
      <c r="P11" s="86"/>
      <c r="Q11" s="86"/>
      <c r="R11" s="98" t="s">
        <v>91</v>
      </c>
      <c r="S11" s="98" t="s">
        <v>91</v>
      </c>
      <c r="T11" s="86"/>
      <c r="U11" s="86" t="s">
        <v>3</v>
      </c>
      <c r="V11" s="19"/>
      <c r="W11" s="19"/>
      <c r="X11" s="19">
        <v>107152873</v>
      </c>
      <c r="Y11" s="19">
        <v>107152473</v>
      </c>
      <c r="Z11" s="19">
        <v>107152460</v>
      </c>
      <c r="AA11" s="19">
        <v>111658833</v>
      </c>
      <c r="AB11" s="19"/>
      <c r="AC11" s="19"/>
      <c r="AD11" s="135" t="str">
        <f>+INDEX('NGP Chairs CoChairs'!$A$2:$M$53,MATCH('Supersite Working-AW'!$X46,'NGP Chairs CoChairs'!$A$2:$A$53,0),12)</f>
        <v>David Kline</v>
      </c>
      <c r="AE11" s="135" t="str">
        <f>+INDEX('NGP Chairs CoChairs'!$A$2:$M$53,MATCH('Supersite Working-AW'!$Y46,'NGP Chairs CoChairs'!$A$2:$A$53,0),12)</f>
        <v>Geof Cahoon</v>
      </c>
      <c r="AF11" s="135" t="str">
        <f>+INDEX('NGP Chairs CoChairs'!$A$2:$M$53,MATCH('Supersite Working-AW'!$Z46,'NGP Chairs CoChairs'!$A$2:$A$53,0),12)</f>
        <v>Bruce Norikane</v>
      </c>
      <c r="AG11" s="135" t="e">
        <f>+INDEX('NGP Chairs CoChairs'!$A$2:$M$53,MATCH('Supersite Working-AW'!$AA46,'NGP Chairs CoChairs'!$A$2:$A$53,0),12)</f>
        <v>#N/A</v>
      </c>
      <c r="AH11" s="69" t="str">
        <f>+INDEX('NGP Chairs CoChairs'!$A$2:$M$53,MATCH('Supersite Working-AW'!$X46,'NGP Chairs CoChairs'!$A$2:$A$53,0),7)</f>
        <v>7209383466</v>
      </c>
      <c r="AI11" s="69" t="str">
        <f>+INDEX('NGP Chairs CoChairs'!$A$2:$M$53,MATCH('Supersite Working-AW'!$Y46,'NGP Chairs CoChairs'!$A$2:$A$53,0),7)</f>
        <v>7203459803</v>
      </c>
      <c r="AJ11" s="69" t="str">
        <f>+INDEX('NGP Chairs CoChairs'!$A$2:$M$53,MATCH('Supersite Working-AW'!$Z46,'NGP Chairs CoChairs'!$A$2:$A$53,0),7)</f>
        <v>3037752697</v>
      </c>
      <c r="AK11" s="69" t="e">
        <f>+INDEX('NGP Chairs CoChairs'!$A$2:$M$53,MATCH('Supersite Working-AW'!$AA46,'NGP Chairs CoChairs'!$A$2:$A$53,0),7)</f>
        <v>#N/A</v>
      </c>
      <c r="AL11">
        <v>6</v>
      </c>
    </row>
    <row r="12" spans="1:38" ht="16" x14ac:dyDescent="0.2">
      <c r="A12" s="3" t="s">
        <v>48</v>
      </c>
      <c r="B12" s="86">
        <v>844</v>
      </c>
      <c r="C12" s="86" t="s">
        <v>366</v>
      </c>
      <c r="D12" s="86" t="s">
        <v>367</v>
      </c>
      <c r="E12" s="86" t="s">
        <v>368</v>
      </c>
      <c r="F12" s="19" t="s">
        <v>365</v>
      </c>
      <c r="G12" s="86" t="s">
        <v>243</v>
      </c>
      <c r="H12" s="86"/>
      <c r="I12" s="86">
        <v>2</v>
      </c>
      <c r="J12" s="86">
        <v>49</v>
      </c>
      <c r="K12" s="86">
        <v>18</v>
      </c>
      <c r="L12" s="88">
        <v>605</v>
      </c>
      <c r="M12" s="89">
        <f>(L12*$M$2)</f>
        <v>15.125</v>
      </c>
      <c r="N12" s="89"/>
      <c r="O12" s="86" t="s">
        <v>160</v>
      </c>
      <c r="P12" s="86"/>
      <c r="Q12" s="86"/>
      <c r="R12" s="98" t="s">
        <v>91</v>
      </c>
      <c r="S12" s="98" t="s">
        <v>91</v>
      </c>
      <c r="T12" s="86"/>
      <c r="U12" s="86" t="s">
        <v>3</v>
      </c>
      <c r="V12" s="19"/>
      <c r="W12" s="19"/>
      <c r="X12" s="19">
        <v>107152873</v>
      </c>
      <c r="Y12" s="19">
        <v>107152473</v>
      </c>
      <c r="Z12" s="19">
        <v>107152460</v>
      </c>
      <c r="AA12" s="19">
        <v>111658833</v>
      </c>
      <c r="AB12" s="19"/>
      <c r="AC12" s="19"/>
      <c r="AD12" s="135" t="str">
        <f>+INDEX('NGP Chairs CoChairs'!$A$2:$M$53,MATCH('Supersite Working-AW'!$X48,'NGP Chairs CoChairs'!$A$2:$A$53,0),12)</f>
        <v>Joel Smith</v>
      </c>
      <c r="AE12" s="135" t="str">
        <f>+INDEX('NGP Chairs CoChairs'!$A$2:$M$53,MATCH('Supersite Working-AW'!$Y48,'NGP Chairs CoChairs'!$A$2:$A$53,0),12)</f>
        <v>Michael Hart</v>
      </c>
      <c r="AF12" s="135" t="str">
        <f>+INDEX('NGP Chairs CoChairs'!$A$2:$M$53,MATCH('Supersite Working-AW'!$Z48,'NGP Chairs CoChairs'!$A$2:$A$53,0),12)</f>
        <v>Patricia Feeser</v>
      </c>
      <c r="AG12" s="135" t="e">
        <f>+INDEX('NGP Chairs CoChairs'!$A$2:$M$53,MATCH('Supersite Working-AW'!$AA48,'NGP Chairs CoChairs'!$A$2:$A$53,0),12)</f>
        <v>#N/A</v>
      </c>
      <c r="AH12" s="69" t="str">
        <f>+INDEX('NGP Chairs CoChairs'!$A$2:$M$53,MATCH('Supersite Working-AW'!$X48,'NGP Chairs CoChairs'!$A$2:$A$53,0),7)</f>
        <v>3032492204</v>
      </c>
      <c r="AI12" s="69" t="str">
        <f>+INDEX('NGP Chairs CoChairs'!$A$2:$M$53,MATCH('Supersite Working-AW'!$Y48,'NGP Chairs CoChairs'!$A$2:$A$53,0),7)</f>
        <v>3039491542</v>
      </c>
      <c r="AJ12" s="69" t="str">
        <f>+INDEX('NGP Chairs CoChairs'!$A$2:$M$53,MATCH('Supersite Working-AW'!$Z48,'NGP Chairs CoChairs'!$A$2:$A$53,0),7)</f>
        <v>5183307872</v>
      </c>
      <c r="AK12" s="69" t="e">
        <f>+INDEX('NGP Chairs CoChairs'!$A$2:$M$53,MATCH('Supersite Working-AW'!$AA48,'NGP Chairs CoChairs'!$A$2:$A$53,0),7)</f>
        <v>#N/A</v>
      </c>
      <c r="AL12">
        <v>6</v>
      </c>
    </row>
    <row r="13" spans="1:38" ht="16" x14ac:dyDescent="0.2">
      <c r="A13" s="3" t="s">
        <v>48</v>
      </c>
      <c r="B13" s="86">
        <v>845</v>
      </c>
      <c r="C13" s="86" t="s">
        <v>366</v>
      </c>
      <c r="D13" s="86" t="s">
        <v>367</v>
      </c>
      <c r="E13" s="86" t="s">
        <v>368</v>
      </c>
      <c r="F13" s="19" t="s">
        <v>365</v>
      </c>
      <c r="G13" s="86" t="s">
        <v>243</v>
      </c>
      <c r="H13" s="86"/>
      <c r="I13" s="86">
        <v>2</v>
      </c>
      <c r="J13" s="86">
        <v>49</v>
      </c>
      <c r="K13" s="86">
        <v>18</v>
      </c>
      <c r="L13" s="88">
        <v>931</v>
      </c>
      <c r="M13" s="89">
        <f>(L13*$M$2)</f>
        <v>23.275000000000002</v>
      </c>
      <c r="N13" s="89"/>
      <c r="O13" s="86" t="s">
        <v>160</v>
      </c>
      <c r="P13" s="86"/>
      <c r="Q13" s="86"/>
      <c r="R13" s="98" t="s">
        <v>91</v>
      </c>
      <c r="S13" s="98" t="s">
        <v>91</v>
      </c>
      <c r="T13" s="86"/>
      <c r="U13" s="86" t="s">
        <v>3</v>
      </c>
      <c r="V13" s="19"/>
      <c r="W13" s="19"/>
      <c r="X13" s="19">
        <v>107152873</v>
      </c>
      <c r="Y13" s="19">
        <v>107152473</v>
      </c>
      <c r="Z13" s="19">
        <v>107152460</v>
      </c>
      <c r="AA13" s="19">
        <v>111658833</v>
      </c>
      <c r="AB13" s="19"/>
      <c r="AC13" s="19"/>
      <c r="AD13" s="135" t="str">
        <f>+INDEX('NGP Chairs CoChairs'!$A$2:$M$53,MATCH('Supersite Working-AW'!$X49,'NGP Chairs CoChairs'!$A$2:$A$53,0),12)</f>
        <v>Joel Smith</v>
      </c>
      <c r="AE13" s="135" t="str">
        <f>+INDEX('NGP Chairs CoChairs'!$A$2:$M$53,MATCH('Supersite Working-AW'!$Y49,'NGP Chairs CoChairs'!$A$2:$A$53,0),12)</f>
        <v>Michael Hart</v>
      </c>
      <c r="AF13" s="135" t="str">
        <f>+INDEX('NGP Chairs CoChairs'!$A$2:$M$53,MATCH('Supersite Working-AW'!$Z49,'NGP Chairs CoChairs'!$A$2:$A$53,0),12)</f>
        <v>Patricia Feeser</v>
      </c>
      <c r="AG13" s="135" t="e">
        <f>+INDEX('NGP Chairs CoChairs'!$A$2:$M$53,MATCH('Supersite Working-AW'!$AA49,'NGP Chairs CoChairs'!$A$2:$A$53,0),12)</f>
        <v>#N/A</v>
      </c>
      <c r="AH13" s="69" t="str">
        <f>+INDEX('NGP Chairs CoChairs'!$A$2:$M$53,MATCH('Supersite Working-AW'!$X49,'NGP Chairs CoChairs'!$A$2:$A$53,0),7)</f>
        <v>3032492204</v>
      </c>
      <c r="AI13" s="69" t="str">
        <f>+INDEX('NGP Chairs CoChairs'!$A$2:$M$53,MATCH('Supersite Working-AW'!$Y49,'NGP Chairs CoChairs'!$A$2:$A$53,0),7)</f>
        <v>3039491542</v>
      </c>
      <c r="AJ13" s="69" t="str">
        <f>+INDEX('NGP Chairs CoChairs'!$A$2:$M$53,MATCH('Supersite Working-AW'!$Z49,'NGP Chairs CoChairs'!$A$2:$A$53,0),7)</f>
        <v>5183307872</v>
      </c>
      <c r="AK13" s="69" t="e">
        <f>+INDEX('NGP Chairs CoChairs'!$A$2:$M$53,MATCH('Supersite Working-AW'!$AA49,'NGP Chairs CoChairs'!$A$2:$A$53,0),7)</f>
        <v>#N/A</v>
      </c>
      <c r="AL13">
        <v>6</v>
      </c>
    </row>
    <row r="14" spans="1:38" ht="16" x14ac:dyDescent="0.2">
      <c r="A14" s="3" t="s">
        <v>48</v>
      </c>
      <c r="B14" s="86">
        <v>852</v>
      </c>
      <c r="C14" s="86" t="s">
        <v>366</v>
      </c>
      <c r="D14" s="86" t="s">
        <v>367</v>
      </c>
      <c r="E14" s="86" t="s">
        <v>368</v>
      </c>
      <c r="F14" s="19" t="s">
        <v>365</v>
      </c>
      <c r="G14" s="86" t="s">
        <v>243</v>
      </c>
      <c r="H14" s="86"/>
      <c r="I14" s="86">
        <v>2</v>
      </c>
      <c r="J14" s="86">
        <v>49</v>
      </c>
      <c r="K14" s="86">
        <v>18</v>
      </c>
      <c r="L14" s="88">
        <v>342</v>
      </c>
      <c r="M14" s="89">
        <f>(L14*$M$2)</f>
        <v>8.5500000000000007</v>
      </c>
      <c r="N14" s="89"/>
      <c r="O14" s="86" t="s">
        <v>160</v>
      </c>
      <c r="P14" s="86"/>
      <c r="Q14" s="86"/>
      <c r="R14" s="98" t="s">
        <v>91</v>
      </c>
      <c r="S14" s="98" t="s">
        <v>91</v>
      </c>
      <c r="T14" s="86"/>
      <c r="U14" s="86" t="s">
        <v>3</v>
      </c>
      <c r="V14" s="19"/>
      <c r="W14" s="19"/>
      <c r="X14" s="19">
        <v>107152873</v>
      </c>
      <c r="Y14" s="19">
        <v>107152473</v>
      </c>
      <c r="Z14" s="19">
        <v>107152460</v>
      </c>
      <c r="AA14" s="19">
        <v>111658833</v>
      </c>
      <c r="AB14" s="19"/>
      <c r="AC14" s="19"/>
      <c r="AD14" s="135" t="str">
        <f>+INDEX('NGP Chairs CoChairs'!$A$2:$M$53,MATCH('Supersite Working-AW'!$X54,'NGP Chairs CoChairs'!$A$2:$A$53,0),12)</f>
        <v>Joel Smith</v>
      </c>
      <c r="AE14" s="135" t="str">
        <f>+INDEX('NGP Chairs CoChairs'!$A$2:$M$53,MATCH('Supersite Working-AW'!$Y54,'NGP Chairs CoChairs'!$A$2:$A$53,0),12)</f>
        <v>Michael Hart</v>
      </c>
      <c r="AF14" s="135" t="str">
        <f>+INDEX('NGP Chairs CoChairs'!$A$2:$M$53,MATCH('Supersite Working-AW'!$Z54,'NGP Chairs CoChairs'!$A$2:$A$53,0),12)</f>
        <v>Patricia Feeser</v>
      </c>
      <c r="AG14" s="135" t="e">
        <f>+INDEX('NGP Chairs CoChairs'!$A$2:$M$53,MATCH('Supersite Working-AW'!$AA54,'NGP Chairs CoChairs'!$A$2:$A$53,0),12)</f>
        <v>#N/A</v>
      </c>
      <c r="AH14" s="69" t="str">
        <f>+INDEX('NGP Chairs CoChairs'!$A$2:$M$53,MATCH('Supersite Working-AW'!$X54,'NGP Chairs CoChairs'!$A$2:$A$53,0),7)</f>
        <v>3032492204</v>
      </c>
      <c r="AI14" s="69" t="str">
        <f>+INDEX('NGP Chairs CoChairs'!$A$2:$M$53,MATCH('Supersite Working-AW'!$Y54,'NGP Chairs CoChairs'!$A$2:$A$53,0),7)</f>
        <v>3039491542</v>
      </c>
      <c r="AJ14" s="69" t="str">
        <f>+INDEX('NGP Chairs CoChairs'!$A$2:$M$53,MATCH('Supersite Working-AW'!$Z54,'NGP Chairs CoChairs'!$A$2:$A$53,0),7)</f>
        <v>5183307872</v>
      </c>
      <c r="AK14" s="69" t="e">
        <f>+INDEX('NGP Chairs CoChairs'!$A$2:$M$53,MATCH('Supersite Working-AW'!$AA54,'NGP Chairs CoChairs'!$A$2:$A$53,0),7)</f>
        <v>#N/A</v>
      </c>
      <c r="AL14">
        <v>6</v>
      </c>
    </row>
    <row r="15" spans="1:38" ht="16" x14ac:dyDescent="0.2">
      <c r="A15" s="3" t="s">
        <v>48</v>
      </c>
      <c r="B15" s="86">
        <v>853</v>
      </c>
      <c r="C15" s="86" t="s">
        <v>366</v>
      </c>
      <c r="D15" s="86" t="s">
        <v>367</v>
      </c>
      <c r="E15" s="86" t="s">
        <v>368</v>
      </c>
      <c r="F15" s="19" t="s">
        <v>365</v>
      </c>
      <c r="G15" s="86" t="s">
        <v>243</v>
      </c>
      <c r="H15" s="86"/>
      <c r="I15" s="86">
        <v>2</v>
      </c>
      <c r="J15" s="86">
        <v>49</v>
      </c>
      <c r="K15" s="86">
        <v>18</v>
      </c>
      <c r="L15" s="88">
        <v>423</v>
      </c>
      <c r="M15" s="89">
        <f>(L15*$M$2)</f>
        <v>10.575000000000001</v>
      </c>
      <c r="N15" s="89"/>
      <c r="O15" s="86" t="s">
        <v>160</v>
      </c>
      <c r="P15" s="86"/>
      <c r="Q15" s="86"/>
      <c r="R15" s="98" t="s">
        <v>91</v>
      </c>
      <c r="S15" s="98" t="s">
        <v>91</v>
      </c>
      <c r="T15" s="86"/>
      <c r="U15" s="86" t="s">
        <v>3</v>
      </c>
      <c r="V15" s="19"/>
      <c r="W15" s="19"/>
      <c r="X15" s="19">
        <v>107152873</v>
      </c>
      <c r="Y15" s="19">
        <v>107152473</v>
      </c>
      <c r="Z15" s="19">
        <v>107152460</v>
      </c>
      <c r="AA15" s="19">
        <v>111658833</v>
      </c>
      <c r="AB15" s="19"/>
      <c r="AC15" s="19"/>
      <c r="AD15" s="135" t="str">
        <f>+INDEX('NGP Chairs CoChairs'!$A$2:$M$53,MATCH('Supersite Working-AW'!$X55,'NGP Chairs CoChairs'!$A$2:$A$53,0),12)</f>
        <v>Joel Smith</v>
      </c>
      <c r="AE15" s="135" t="str">
        <f>+INDEX('NGP Chairs CoChairs'!$A$2:$M$53,MATCH('Supersite Working-AW'!$Y55,'NGP Chairs CoChairs'!$A$2:$A$53,0),12)</f>
        <v>Michael Hart</v>
      </c>
      <c r="AF15" s="135" t="str">
        <f>+INDEX('NGP Chairs CoChairs'!$A$2:$M$53,MATCH('Supersite Working-AW'!$Z55,'NGP Chairs CoChairs'!$A$2:$A$53,0),12)</f>
        <v>Patricia Feeser</v>
      </c>
      <c r="AG15" s="135" t="e">
        <f>+INDEX('NGP Chairs CoChairs'!$A$2:$M$53,MATCH('Supersite Working-AW'!$AA55,'NGP Chairs CoChairs'!$A$2:$A$53,0),12)</f>
        <v>#N/A</v>
      </c>
      <c r="AH15" s="69" t="str">
        <f>+INDEX('NGP Chairs CoChairs'!$A$2:$M$53,MATCH('Supersite Working-AW'!$X55,'NGP Chairs CoChairs'!$A$2:$A$53,0),7)</f>
        <v>3032492204</v>
      </c>
      <c r="AI15" s="69" t="str">
        <f>+INDEX('NGP Chairs CoChairs'!$A$2:$M$53,MATCH('Supersite Working-AW'!$Y55,'NGP Chairs CoChairs'!$A$2:$A$53,0),7)</f>
        <v>3039491542</v>
      </c>
      <c r="AJ15" s="69" t="str">
        <f>+INDEX('NGP Chairs CoChairs'!$A$2:$M$53,MATCH('Supersite Working-AW'!$Z55,'NGP Chairs CoChairs'!$A$2:$A$53,0),7)</f>
        <v>5183307872</v>
      </c>
      <c r="AK15" s="69" t="e">
        <f>+INDEX('NGP Chairs CoChairs'!$A$2:$M$53,MATCH('Supersite Working-AW'!$AA55,'NGP Chairs CoChairs'!$A$2:$A$53,0),7)</f>
        <v>#N/A</v>
      </c>
      <c r="AL15">
        <v>6</v>
      </c>
    </row>
    <row r="16" spans="1:38" ht="16" x14ac:dyDescent="0.2">
      <c r="A16" s="3" t="s">
        <v>286</v>
      </c>
      <c r="B16" s="86">
        <v>842</v>
      </c>
      <c r="C16" s="86" t="s">
        <v>287</v>
      </c>
      <c r="D16" s="86" t="s">
        <v>288</v>
      </c>
      <c r="E16" s="86" t="s">
        <v>289</v>
      </c>
      <c r="F16" s="86" t="s">
        <v>290</v>
      </c>
      <c r="G16" s="86" t="s">
        <v>243</v>
      </c>
      <c r="H16" s="86"/>
      <c r="I16" s="86">
        <v>2</v>
      </c>
      <c r="J16" s="86">
        <v>10</v>
      </c>
      <c r="K16" s="86">
        <v>18</v>
      </c>
      <c r="L16" s="88">
        <v>524</v>
      </c>
      <c r="M16" s="89">
        <f>(L16*$M$2)</f>
        <v>13.100000000000001</v>
      </c>
      <c r="N16" s="89"/>
      <c r="O16" s="86" t="s">
        <v>160</v>
      </c>
      <c r="P16" s="87" t="s">
        <v>291</v>
      </c>
      <c r="Q16" s="99" t="s">
        <v>292</v>
      </c>
      <c r="R16" s="86" t="s">
        <v>164</v>
      </c>
      <c r="S16" s="86" t="s">
        <v>293</v>
      </c>
      <c r="T16" s="86"/>
      <c r="U16" s="86" t="s">
        <v>246</v>
      </c>
      <c r="V16" s="19"/>
      <c r="W16" s="19"/>
      <c r="X16" s="95">
        <v>107152229</v>
      </c>
      <c r="Y16" s="95">
        <v>107152370</v>
      </c>
      <c r="Z16" s="95"/>
      <c r="AA16" s="95"/>
      <c r="AB16" s="19"/>
      <c r="AC16" s="19"/>
      <c r="AD16" s="135" t="str">
        <f>+INDEX('NGP Chairs CoChairs'!$A$2:$M$53,MATCH('Supersite Working-AW'!$X30,'NGP Chairs CoChairs'!$A$2:$A$53,0),12)</f>
        <v>Guy Errickson</v>
      </c>
      <c r="AE16" s="135" t="str">
        <f>+INDEX('NGP Chairs CoChairs'!$A$2:$M$53,MATCH('Supersite Working-AW'!$Y30,'NGP Chairs CoChairs'!$A$2:$A$53,0),12)</f>
        <v>Katie Malzbender</v>
      </c>
      <c r="AF16" s="135" t="str">
        <f>+INDEX('NGP Chairs CoChairs'!$A$2:$M$53,MATCH('Supersite Working-AW'!$Z30,'NGP Chairs CoChairs'!$A$2:$A$53,0),12)</f>
        <v>Candace Bowie</v>
      </c>
      <c r="AG16" s="135" t="str">
        <f>+INDEX('NGP Chairs CoChairs'!$A$2:$M$53,MATCH('Supersite Working-AW'!$AA30,'NGP Chairs CoChairs'!$A$2:$A$53,0),12)</f>
        <v>Peter Dawson</v>
      </c>
      <c r="AH16" s="69" t="str">
        <f>+INDEX('NGP Chairs CoChairs'!$A$2:$M$53,MATCH('Supersite Working-AW'!$X30,'NGP Chairs CoChairs'!$A$2:$A$53,0),7)</f>
        <v>7202334208</v>
      </c>
      <c r="AI16" s="69" t="str">
        <f>+INDEX('NGP Chairs CoChairs'!$A$2:$M$53,MATCH('Supersite Working-AW'!$Y30,'NGP Chairs CoChairs'!$A$2:$A$53,0),7)</f>
        <v>3038867847</v>
      </c>
      <c r="AJ16" s="69" t="str">
        <f>+INDEX('NGP Chairs CoChairs'!$A$2:$M$53,MATCH('Supersite Working-AW'!$Z30,'NGP Chairs CoChairs'!$A$2:$A$53,0),7)</f>
        <v>7204955088</v>
      </c>
      <c r="AK16" s="69" t="str">
        <f>+INDEX('NGP Chairs CoChairs'!$A$2:$M$53,MATCH('Supersite Working-AW'!$AA30,'NGP Chairs CoChairs'!$A$2:$A$53,0),7)</f>
        <v>3038172531</v>
      </c>
      <c r="AL16">
        <v>3</v>
      </c>
    </row>
    <row r="17" spans="1:38" ht="16" x14ac:dyDescent="0.2">
      <c r="A17" s="3" t="s">
        <v>48</v>
      </c>
      <c r="B17" s="86">
        <v>843</v>
      </c>
      <c r="C17" s="86" t="s">
        <v>287</v>
      </c>
      <c r="D17" s="86" t="s">
        <v>288</v>
      </c>
      <c r="E17" s="86" t="s">
        <v>289</v>
      </c>
      <c r="F17" s="19" t="s">
        <v>365</v>
      </c>
      <c r="G17" s="86" t="s">
        <v>243</v>
      </c>
      <c r="H17" s="86"/>
      <c r="I17" s="86">
        <v>2</v>
      </c>
      <c r="J17" s="86">
        <v>10</v>
      </c>
      <c r="K17" s="86">
        <v>18</v>
      </c>
      <c r="L17" s="88">
        <v>745</v>
      </c>
      <c r="M17" s="89">
        <f>(L17*$M$2)</f>
        <v>18.625</v>
      </c>
      <c r="N17" s="89"/>
      <c r="O17" s="86" t="s">
        <v>160</v>
      </c>
      <c r="P17" s="86"/>
      <c r="Q17" s="86"/>
      <c r="R17" s="98" t="s">
        <v>91</v>
      </c>
      <c r="S17" s="98" t="s">
        <v>91</v>
      </c>
      <c r="T17" s="86"/>
      <c r="U17" s="86" t="s">
        <v>3</v>
      </c>
      <c r="V17" s="19"/>
      <c r="W17" s="19"/>
      <c r="X17" s="19">
        <v>107152873</v>
      </c>
      <c r="Y17" s="19">
        <v>107152473</v>
      </c>
      <c r="Z17" s="19">
        <v>107152460</v>
      </c>
      <c r="AA17" s="19">
        <v>111658833</v>
      </c>
      <c r="AB17" s="19"/>
      <c r="AC17" s="19"/>
      <c r="AD17" s="135" t="str">
        <f>+INDEX('NGP Chairs CoChairs'!$A$2:$M$53,MATCH('Supersite Working-AW'!$X47,'NGP Chairs CoChairs'!$A$2:$A$53,0),12)</f>
        <v>Joel Smith</v>
      </c>
      <c r="AE17" s="135" t="str">
        <f>+INDEX('NGP Chairs CoChairs'!$A$2:$M$53,MATCH('Supersite Working-AW'!$Y47,'NGP Chairs CoChairs'!$A$2:$A$53,0),12)</f>
        <v>Michael Hart</v>
      </c>
      <c r="AF17" s="135" t="str">
        <f>+INDEX('NGP Chairs CoChairs'!$A$2:$M$53,MATCH('Supersite Working-AW'!$Z47,'NGP Chairs CoChairs'!$A$2:$A$53,0),12)</f>
        <v>Patricia Feeser</v>
      </c>
      <c r="AG17" s="135" t="e">
        <f>+INDEX('NGP Chairs CoChairs'!$A$2:$M$53,MATCH('Supersite Working-AW'!$AA47,'NGP Chairs CoChairs'!$A$2:$A$53,0),12)</f>
        <v>#N/A</v>
      </c>
      <c r="AH17" s="69" t="str">
        <f>+INDEX('NGP Chairs CoChairs'!$A$2:$M$53,MATCH('Supersite Working-AW'!$X47,'NGP Chairs CoChairs'!$A$2:$A$53,0),7)</f>
        <v>3032492204</v>
      </c>
      <c r="AI17" s="69" t="str">
        <f>+INDEX('NGP Chairs CoChairs'!$A$2:$M$53,MATCH('Supersite Working-AW'!$Y47,'NGP Chairs CoChairs'!$A$2:$A$53,0),7)</f>
        <v>3039491542</v>
      </c>
      <c r="AJ17" s="69" t="str">
        <f>+INDEX('NGP Chairs CoChairs'!$A$2:$M$53,MATCH('Supersite Working-AW'!$Z47,'NGP Chairs CoChairs'!$A$2:$A$53,0),7)</f>
        <v>5183307872</v>
      </c>
      <c r="AK17" s="69" t="e">
        <f>+INDEX('NGP Chairs CoChairs'!$A$2:$M$53,MATCH('Supersite Working-AW'!$AA47,'NGP Chairs CoChairs'!$A$2:$A$53,0),7)</f>
        <v>#N/A</v>
      </c>
      <c r="AL17">
        <v>6</v>
      </c>
    </row>
    <row r="18" spans="1:38" ht="16" x14ac:dyDescent="0.2">
      <c r="A18" s="3" t="s">
        <v>48</v>
      </c>
      <c r="B18" s="86">
        <v>846</v>
      </c>
      <c r="C18" s="86" t="s">
        <v>287</v>
      </c>
      <c r="D18" s="86" t="s">
        <v>288</v>
      </c>
      <c r="E18" s="86" t="s">
        <v>289</v>
      </c>
      <c r="F18" s="19" t="s">
        <v>365</v>
      </c>
      <c r="G18" s="86" t="s">
        <v>243</v>
      </c>
      <c r="H18" s="86"/>
      <c r="I18" s="86">
        <v>2</v>
      </c>
      <c r="J18" s="86">
        <v>10</v>
      </c>
      <c r="K18" s="86">
        <v>18</v>
      </c>
      <c r="L18" s="88">
        <v>496</v>
      </c>
      <c r="M18" s="89">
        <f>(L18*$M$2)</f>
        <v>12.4</v>
      </c>
      <c r="N18" s="89"/>
      <c r="O18" s="86" t="s">
        <v>160</v>
      </c>
      <c r="P18" s="86"/>
      <c r="Q18" s="86"/>
      <c r="R18" s="98" t="s">
        <v>91</v>
      </c>
      <c r="S18" s="98" t="s">
        <v>91</v>
      </c>
      <c r="T18" s="86"/>
      <c r="U18" s="86" t="s">
        <v>3</v>
      </c>
      <c r="V18" s="19"/>
      <c r="W18" s="19"/>
      <c r="X18" s="19">
        <v>107152873</v>
      </c>
      <c r="Y18" s="19">
        <v>107152473</v>
      </c>
      <c r="Z18" s="19">
        <v>107152460</v>
      </c>
      <c r="AA18" s="19">
        <v>111658833</v>
      </c>
      <c r="AB18" s="19"/>
      <c r="AC18" s="19"/>
      <c r="AD18" s="135" t="str">
        <f>+INDEX('NGP Chairs CoChairs'!$A$2:$M$53,MATCH('Supersite Working-AW'!$X50,'NGP Chairs CoChairs'!$A$2:$A$53,0),12)</f>
        <v>Joel Smith</v>
      </c>
      <c r="AE18" s="135" t="str">
        <f>+INDEX('NGP Chairs CoChairs'!$A$2:$M$53,MATCH('Supersite Working-AW'!$Y50,'NGP Chairs CoChairs'!$A$2:$A$53,0),12)</f>
        <v>Michael Hart</v>
      </c>
      <c r="AF18" s="135" t="str">
        <f>+INDEX('NGP Chairs CoChairs'!$A$2:$M$53,MATCH('Supersite Working-AW'!$Z50,'NGP Chairs CoChairs'!$A$2:$A$53,0),12)</f>
        <v>Patricia Feeser</v>
      </c>
      <c r="AG18" s="135" t="e">
        <f>+INDEX('NGP Chairs CoChairs'!$A$2:$M$53,MATCH('Supersite Working-AW'!$AA50,'NGP Chairs CoChairs'!$A$2:$A$53,0),12)</f>
        <v>#N/A</v>
      </c>
      <c r="AH18" s="69" t="str">
        <f>+INDEX('NGP Chairs CoChairs'!$A$2:$M$53,MATCH('Supersite Working-AW'!$X50,'NGP Chairs CoChairs'!$A$2:$A$53,0),7)</f>
        <v>3032492204</v>
      </c>
      <c r="AI18" s="69" t="str">
        <f>+INDEX('NGP Chairs CoChairs'!$A$2:$M$53,MATCH('Supersite Working-AW'!$Y50,'NGP Chairs CoChairs'!$A$2:$A$53,0),7)</f>
        <v>3039491542</v>
      </c>
      <c r="AJ18" s="69" t="str">
        <f>+INDEX('NGP Chairs CoChairs'!$A$2:$M$53,MATCH('Supersite Working-AW'!$Z50,'NGP Chairs CoChairs'!$A$2:$A$53,0),7)</f>
        <v>5183307872</v>
      </c>
      <c r="AK18" s="69" t="e">
        <f>+INDEX('NGP Chairs CoChairs'!$A$2:$M$53,MATCH('Supersite Working-AW'!$AA50,'NGP Chairs CoChairs'!$A$2:$A$53,0),7)</f>
        <v>#N/A</v>
      </c>
      <c r="AL18">
        <v>6</v>
      </c>
    </row>
    <row r="19" spans="1:38" ht="16" x14ac:dyDescent="0.2">
      <c r="A19" s="3" t="s">
        <v>48</v>
      </c>
      <c r="B19" s="86">
        <v>847</v>
      </c>
      <c r="C19" s="86" t="s">
        <v>287</v>
      </c>
      <c r="D19" s="86" t="s">
        <v>288</v>
      </c>
      <c r="E19" s="86" t="s">
        <v>289</v>
      </c>
      <c r="F19" s="19" t="s">
        <v>365</v>
      </c>
      <c r="G19" s="86" t="s">
        <v>243</v>
      </c>
      <c r="H19" s="86"/>
      <c r="I19" s="86">
        <v>2</v>
      </c>
      <c r="J19" s="86">
        <v>10</v>
      </c>
      <c r="K19" s="86">
        <v>18</v>
      </c>
      <c r="L19" s="88">
        <v>480</v>
      </c>
      <c r="M19" s="89">
        <f>(L19*$M$2)</f>
        <v>12</v>
      </c>
      <c r="N19" s="89"/>
      <c r="O19" s="86" t="s">
        <v>160</v>
      </c>
      <c r="P19" s="86"/>
      <c r="Q19" s="86"/>
      <c r="R19" s="98" t="s">
        <v>91</v>
      </c>
      <c r="S19" s="98" t="s">
        <v>91</v>
      </c>
      <c r="T19" s="86"/>
      <c r="U19" s="86" t="s">
        <v>3</v>
      </c>
      <c r="V19" s="19"/>
      <c r="W19" s="19"/>
      <c r="X19" s="19">
        <v>107152873</v>
      </c>
      <c r="Y19" s="19">
        <v>107152473</v>
      </c>
      <c r="Z19" s="19">
        <v>107152460</v>
      </c>
      <c r="AA19" s="19">
        <v>111658833</v>
      </c>
      <c r="AB19" s="19"/>
      <c r="AC19" s="19"/>
      <c r="AD19" s="135" t="str">
        <f>+INDEX('NGP Chairs CoChairs'!$A$2:$M$53,MATCH('Supersite Working-AW'!$X51,'NGP Chairs CoChairs'!$A$2:$A$53,0),12)</f>
        <v>Joel Smith</v>
      </c>
      <c r="AE19" s="135" t="str">
        <f>+INDEX('NGP Chairs CoChairs'!$A$2:$M$53,MATCH('Supersite Working-AW'!$Y51,'NGP Chairs CoChairs'!$A$2:$A$53,0),12)</f>
        <v>Michael Hart</v>
      </c>
      <c r="AF19" s="135" t="str">
        <f>+INDEX('NGP Chairs CoChairs'!$A$2:$M$53,MATCH('Supersite Working-AW'!$Z51,'NGP Chairs CoChairs'!$A$2:$A$53,0),12)</f>
        <v>Patricia Feeser</v>
      </c>
      <c r="AG19" s="135" t="e">
        <f>+INDEX('NGP Chairs CoChairs'!$A$2:$M$53,MATCH('Supersite Working-AW'!$AA51,'NGP Chairs CoChairs'!$A$2:$A$53,0),12)</f>
        <v>#N/A</v>
      </c>
      <c r="AH19" s="69" t="str">
        <f>+INDEX('NGP Chairs CoChairs'!$A$2:$M$53,MATCH('Supersite Working-AW'!$X51,'NGP Chairs CoChairs'!$A$2:$A$53,0),7)</f>
        <v>3032492204</v>
      </c>
      <c r="AI19" s="69" t="str">
        <f>+INDEX('NGP Chairs CoChairs'!$A$2:$M$53,MATCH('Supersite Working-AW'!$Y51,'NGP Chairs CoChairs'!$A$2:$A$53,0),7)</f>
        <v>3039491542</v>
      </c>
      <c r="AJ19" s="69" t="str">
        <f>+INDEX('NGP Chairs CoChairs'!$A$2:$M$53,MATCH('Supersite Working-AW'!$Z51,'NGP Chairs CoChairs'!$A$2:$A$53,0),7)</f>
        <v>5183307872</v>
      </c>
      <c r="AK19" s="69" t="e">
        <f>+INDEX('NGP Chairs CoChairs'!$A$2:$M$53,MATCH('Supersite Working-AW'!$AA51,'NGP Chairs CoChairs'!$A$2:$A$53,0),7)</f>
        <v>#N/A</v>
      </c>
      <c r="AL19">
        <v>6</v>
      </c>
    </row>
    <row r="20" spans="1:38" ht="16" x14ac:dyDescent="0.2">
      <c r="A20" s="3" t="s">
        <v>48</v>
      </c>
      <c r="B20" s="86">
        <v>850</v>
      </c>
      <c r="C20" s="86" t="s">
        <v>287</v>
      </c>
      <c r="D20" s="86" t="s">
        <v>288</v>
      </c>
      <c r="E20" s="86" t="s">
        <v>289</v>
      </c>
      <c r="F20" s="19" t="s">
        <v>365</v>
      </c>
      <c r="G20" s="86" t="s">
        <v>243</v>
      </c>
      <c r="H20" s="86"/>
      <c r="I20" s="86">
        <v>2</v>
      </c>
      <c r="J20" s="86">
        <v>10</v>
      </c>
      <c r="K20" s="86">
        <v>18</v>
      </c>
      <c r="L20" s="88">
        <v>760</v>
      </c>
      <c r="M20" s="89">
        <f>(L20*$M$2)</f>
        <v>19</v>
      </c>
      <c r="N20" s="89"/>
      <c r="O20" s="86" t="s">
        <v>160</v>
      </c>
      <c r="P20" s="19"/>
      <c r="Q20" s="86"/>
      <c r="R20" s="98" t="s">
        <v>91</v>
      </c>
      <c r="S20" s="98" t="s">
        <v>91</v>
      </c>
      <c r="T20" s="86"/>
      <c r="U20" s="86" t="s">
        <v>3</v>
      </c>
      <c r="V20" s="19"/>
      <c r="W20" s="19"/>
      <c r="X20" s="19">
        <v>107152873</v>
      </c>
      <c r="Y20" s="19">
        <v>107152473</v>
      </c>
      <c r="Z20" s="19">
        <v>107152460</v>
      </c>
      <c r="AA20" s="19">
        <v>111658833</v>
      </c>
      <c r="AB20" s="19"/>
      <c r="AC20" s="19"/>
      <c r="AD20" s="135" t="str">
        <f>+INDEX('NGP Chairs CoChairs'!$A$2:$M$53,MATCH('Supersite Working-AW'!$X52,'NGP Chairs CoChairs'!$A$2:$A$53,0),12)</f>
        <v>Joel Smith</v>
      </c>
      <c r="AE20" s="135" t="str">
        <f>+INDEX('NGP Chairs CoChairs'!$A$2:$M$53,MATCH('Supersite Working-AW'!$Y52,'NGP Chairs CoChairs'!$A$2:$A$53,0),12)</f>
        <v>Michael Hart</v>
      </c>
      <c r="AF20" s="135" t="str">
        <f>+INDEX('NGP Chairs CoChairs'!$A$2:$M$53,MATCH('Supersite Working-AW'!$Z52,'NGP Chairs CoChairs'!$A$2:$A$53,0),12)</f>
        <v>Patricia Feeser</v>
      </c>
      <c r="AG20" s="135" t="e">
        <f>+INDEX('NGP Chairs CoChairs'!$A$2:$M$53,MATCH('Supersite Working-AW'!$AA52,'NGP Chairs CoChairs'!$A$2:$A$53,0),12)</f>
        <v>#N/A</v>
      </c>
      <c r="AH20" s="69" t="str">
        <f>+INDEX('NGP Chairs CoChairs'!$A$2:$M$53,MATCH('Supersite Working-AW'!$X52,'NGP Chairs CoChairs'!$A$2:$A$53,0),7)</f>
        <v>3032492204</v>
      </c>
      <c r="AI20" s="69" t="str">
        <f>+INDEX('NGP Chairs CoChairs'!$A$2:$M$53,MATCH('Supersite Working-AW'!$Y52,'NGP Chairs CoChairs'!$A$2:$A$53,0),7)</f>
        <v>3039491542</v>
      </c>
      <c r="AJ20" s="69" t="str">
        <f>+INDEX('NGP Chairs CoChairs'!$A$2:$M$53,MATCH('Supersite Working-AW'!$Z52,'NGP Chairs CoChairs'!$A$2:$A$53,0),7)</f>
        <v>5183307872</v>
      </c>
      <c r="AK20" s="69" t="e">
        <f>+INDEX('NGP Chairs CoChairs'!$A$2:$M$53,MATCH('Supersite Working-AW'!$AA52,'NGP Chairs CoChairs'!$A$2:$A$53,0),7)</f>
        <v>#N/A</v>
      </c>
      <c r="AL20">
        <v>6</v>
      </c>
    </row>
    <row r="21" spans="1:38" ht="16" x14ac:dyDescent="0.2">
      <c r="A21" s="3" t="s">
        <v>48</v>
      </c>
      <c r="B21" s="86">
        <v>851</v>
      </c>
      <c r="C21" s="86" t="s">
        <v>287</v>
      </c>
      <c r="D21" s="86" t="s">
        <v>288</v>
      </c>
      <c r="E21" s="86" t="s">
        <v>289</v>
      </c>
      <c r="F21" s="19" t="s">
        <v>365</v>
      </c>
      <c r="G21" s="86" t="s">
        <v>243</v>
      </c>
      <c r="H21" s="86"/>
      <c r="I21" s="86">
        <v>2</v>
      </c>
      <c r="J21" s="86">
        <v>10</v>
      </c>
      <c r="K21" s="86">
        <v>18</v>
      </c>
      <c r="L21" s="88">
        <v>329</v>
      </c>
      <c r="M21" s="89">
        <f>(L21*$M$2)</f>
        <v>8.2249999999999996</v>
      </c>
      <c r="N21" s="89">
        <f>SUM(M7:M21)</f>
        <v>209.85</v>
      </c>
      <c r="O21" s="86" t="s">
        <v>160</v>
      </c>
      <c r="P21" s="19"/>
      <c r="Q21" s="86"/>
      <c r="R21" s="98" t="s">
        <v>91</v>
      </c>
      <c r="S21" s="98" t="s">
        <v>91</v>
      </c>
      <c r="T21" s="86"/>
      <c r="U21" s="86" t="s">
        <v>3</v>
      </c>
      <c r="V21" s="19"/>
      <c r="W21" s="19"/>
      <c r="X21" s="19">
        <v>107152873</v>
      </c>
      <c r="Y21" s="19">
        <v>107152473</v>
      </c>
      <c r="Z21" s="19">
        <v>107152460</v>
      </c>
      <c r="AA21" s="19">
        <v>111658833</v>
      </c>
      <c r="AB21" s="19"/>
      <c r="AC21" s="19"/>
      <c r="AD21" s="135" t="str">
        <f>+INDEX('NGP Chairs CoChairs'!$A$2:$M$53,MATCH('Supersite Working-AW'!$X53,'NGP Chairs CoChairs'!$A$2:$A$53,0),12)</f>
        <v>Joel Smith</v>
      </c>
      <c r="AE21" s="135" t="str">
        <f>+INDEX('NGP Chairs CoChairs'!$A$2:$M$53,MATCH('Supersite Working-AW'!$Y53,'NGP Chairs CoChairs'!$A$2:$A$53,0),12)</f>
        <v>Michael Hart</v>
      </c>
      <c r="AF21" s="135" t="str">
        <f>+INDEX('NGP Chairs CoChairs'!$A$2:$M$53,MATCH('Supersite Working-AW'!$Z53,'NGP Chairs CoChairs'!$A$2:$A$53,0),12)</f>
        <v>Patricia Feeser</v>
      </c>
      <c r="AG21" s="135" t="e">
        <f>+INDEX('NGP Chairs CoChairs'!$A$2:$M$53,MATCH('Supersite Working-AW'!$AA53,'NGP Chairs CoChairs'!$A$2:$A$53,0),12)</f>
        <v>#N/A</v>
      </c>
      <c r="AH21" s="69" t="str">
        <f>+INDEX('NGP Chairs CoChairs'!$A$2:$M$53,MATCH('Supersite Working-AW'!$X53,'NGP Chairs CoChairs'!$A$2:$A$53,0),7)</f>
        <v>3032492204</v>
      </c>
      <c r="AI21" s="69" t="str">
        <f>+INDEX('NGP Chairs CoChairs'!$A$2:$M$53,MATCH('Supersite Working-AW'!$Y53,'NGP Chairs CoChairs'!$A$2:$A$53,0),7)</f>
        <v>3039491542</v>
      </c>
      <c r="AJ21" s="69" t="str">
        <f>+INDEX('NGP Chairs CoChairs'!$A$2:$M$53,MATCH('Supersite Working-AW'!$Z53,'NGP Chairs CoChairs'!$A$2:$A$53,0),7)</f>
        <v>5183307872</v>
      </c>
      <c r="AK21" s="69" t="e">
        <f>+INDEX('NGP Chairs CoChairs'!$A$2:$M$53,MATCH('Supersite Working-AW'!$AA53,'NGP Chairs CoChairs'!$A$2:$A$53,0),7)</f>
        <v>#N/A</v>
      </c>
      <c r="AL21">
        <v>6</v>
      </c>
    </row>
    <row r="22" spans="1:38" ht="16" x14ac:dyDescent="0.2">
      <c r="A22" s="3" t="s">
        <v>286</v>
      </c>
      <c r="B22" s="86">
        <v>840</v>
      </c>
      <c r="C22" s="86" t="s">
        <v>294</v>
      </c>
      <c r="D22" s="86" t="s">
        <v>295</v>
      </c>
      <c r="E22" s="86" t="s">
        <v>296</v>
      </c>
      <c r="F22" s="86" t="s">
        <v>290</v>
      </c>
      <c r="G22" s="86" t="s">
        <v>243</v>
      </c>
      <c r="H22" s="86"/>
      <c r="I22" s="86">
        <v>2</v>
      </c>
      <c r="J22" s="86">
        <v>10</v>
      </c>
      <c r="K22" s="86">
        <v>18</v>
      </c>
      <c r="L22" s="88">
        <v>992</v>
      </c>
      <c r="M22" s="89">
        <f>(L22*$M$2)</f>
        <v>24.8</v>
      </c>
      <c r="N22" s="89"/>
      <c r="O22" s="86" t="s">
        <v>160</v>
      </c>
      <c r="P22" s="86" t="s">
        <v>297</v>
      </c>
      <c r="Q22" s="99" t="s">
        <v>292</v>
      </c>
      <c r="R22" s="86" t="s">
        <v>164</v>
      </c>
      <c r="S22" s="86" t="s">
        <v>293</v>
      </c>
      <c r="T22" s="86"/>
      <c r="U22" s="86" t="s">
        <v>246</v>
      </c>
      <c r="V22" s="19"/>
      <c r="W22" s="19"/>
      <c r="X22" s="95">
        <v>107152229</v>
      </c>
      <c r="Y22" s="95">
        <v>107152370</v>
      </c>
      <c r="Z22" s="95"/>
      <c r="AA22" s="95"/>
      <c r="AB22" s="19"/>
      <c r="AC22" s="19"/>
      <c r="AD22" s="135" t="str">
        <f>+INDEX('NGP Chairs CoChairs'!$A$2:$M$53,MATCH('Supersite Working-AW'!$X29,'NGP Chairs CoChairs'!$A$2:$A$53,0),12)</f>
        <v>Guy Errickson</v>
      </c>
      <c r="AE22" s="135" t="str">
        <f>+INDEX('NGP Chairs CoChairs'!$A$2:$M$53,MATCH('Supersite Working-AW'!$Y29,'NGP Chairs CoChairs'!$A$2:$A$53,0),12)</f>
        <v>Katie Malzbender</v>
      </c>
      <c r="AF22" s="135" t="str">
        <f>+INDEX('NGP Chairs CoChairs'!$A$2:$M$53,MATCH('Supersite Working-AW'!$Z29,'NGP Chairs CoChairs'!$A$2:$A$53,0),12)</f>
        <v>Candace Bowie</v>
      </c>
      <c r="AG22" s="135" t="str">
        <f>+INDEX('NGP Chairs CoChairs'!$A$2:$M$53,MATCH('Supersite Working-AW'!$AA29,'NGP Chairs CoChairs'!$A$2:$A$53,0),12)</f>
        <v>Peter Dawson</v>
      </c>
      <c r="AH22" s="69" t="str">
        <f>+INDEX('NGP Chairs CoChairs'!$A$2:$M$53,MATCH('Supersite Working-AW'!$X29,'NGP Chairs CoChairs'!$A$2:$A$53,0),7)</f>
        <v>7202334208</v>
      </c>
      <c r="AI22" s="69" t="str">
        <f>+INDEX('NGP Chairs CoChairs'!$A$2:$M$53,MATCH('Supersite Working-AW'!$Y29,'NGP Chairs CoChairs'!$A$2:$A$53,0),7)</f>
        <v>3038867847</v>
      </c>
      <c r="AJ22" s="69" t="str">
        <f>+INDEX('NGP Chairs CoChairs'!$A$2:$M$53,MATCH('Supersite Working-AW'!$Z29,'NGP Chairs CoChairs'!$A$2:$A$53,0),7)</f>
        <v>7204955088</v>
      </c>
      <c r="AK22" s="69" t="str">
        <f>+INDEX('NGP Chairs CoChairs'!$A$2:$M$53,MATCH('Supersite Working-AW'!$AA29,'NGP Chairs CoChairs'!$A$2:$A$53,0),7)</f>
        <v>3038172531</v>
      </c>
      <c r="AL22">
        <v>3</v>
      </c>
    </row>
    <row r="23" spans="1:38" ht="16" x14ac:dyDescent="0.2">
      <c r="A23" s="3" t="s">
        <v>286</v>
      </c>
      <c r="B23" s="86">
        <v>848</v>
      </c>
      <c r="C23" s="86" t="s">
        <v>294</v>
      </c>
      <c r="D23" s="86" t="s">
        <v>295</v>
      </c>
      <c r="E23" s="86" t="s">
        <v>296</v>
      </c>
      <c r="F23" s="86" t="s">
        <v>290</v>
      </c>
      <c r="G23" s="86" t="s">
        <v>243</v>
      </c>
      <c r="H23" s="19"/>
      <c r="I23" s="86">
        <v>2</v>
      </c>
      <c r="J23" s="86">
        <v>10</v>
      </c>
      <c r="K23" s="86">
        <v>18</v>
      </c>
      <c r="L23" s="88">
        <v>377</v>
      </c>
      <c r="M23" s="89">
        <f>(L23*$M$2)</f>
        <v>9.4250000000000007</v>
      </c>
      <c r="N23" s="89">
        <f>SUM(M21:M23)</f>
        <v>42.45</v>
      </c>
      <c r="O23" s="86" t="s">
        <v>160</v>
      </c>
      <c r="P23" s="86" t="s">
        <v>298</v>
      </c>
      <c r="Q23" s="99" t="s">
        <v>292</v>
      </c>
      <c r="R23" s="86" t="s">
        <v>164</v>
      </c>
      <c r="S23" s="86" t="s">
        <v>293</v>
      </c>
      <c r="T23" s="86"/>
      <c r="U23" s="86" t="s">
        <v>246</v>
      </c>
      <c r="V23" s="19"/>
      <c r="W23" s="19"/>
      <c r="X23" s="95">
        <v>107152229</v>
      </c>
      <c r="Y23" s="95">
        <v>107152370</v>
      </c>
      <c r="Z23" s="95"/>
      <c r="AA23" s="95"/>
      <c r="AB23" s="19"/>
      <c r="AC23" s="19"/>
      <c r="AD23" s="135" t="str">
        <f>+INDEX('NGP Chairs CoChairs'!$A$2:$M$53,MATCH('Supersite Working-AW'!$X31,'NGP Chairs CoChairs'!$A$2:$A$53,0),12)</f>
        <v>Guy Errickson</v>
      </c>
      <c r="AE23" s="135" t="str">
        <f>+INDEX('NGP Chairs CoChairs'!$A$2:$M$53,MATCH('Supersite Working-AW'!$Y31,'NGP Chairs CoChairs'!$A$2:$A$53,0),12)</f>
        <v>Katie Malzbender</v>
      </c>
      <c r="AF23" s="135" t="str">
        <f>+INDEX('NGP Chairs CoChairs'!$A$2:$M$53,MATCH('Supersite Working-AW'!$Z31,'NGP Chairs CoChairs'!$A$2:$A$53,0),12)</f>
        <v>Candace Bowie</v>
      </c>
      <c r="AG23" s="135" t="str">
        <f>+INDEX('NGP Chairs CoChairs'!$A$2:$M$53,MATCH('Supersite Working-AW'!$AA31,'NGP Chairs CoChairs'!$A$2:$A$53,0),12)</f>
        <v>Peter Dawson</v>
      </c>
      <c r="AH23" s="69" t="str">
        <f>+INDEX('NGP Chairs CoChairs'!$A$2:$M$53,MATCH('Supersite Working-AW'!$X31,'NGP Chairs CoChairs'!$A$2:$A$53,0),7)</f>
        <v>7202334208</v>
      </c>
      <c r="AI23" s="69" t="str">
        <f>+INDEX('NGP Chairs CoChairs'!$A$2:$M$53,MATCH('Supersite Working-AW'!$Y31,'NGP Chairs CoChairs'!$A$2:$A$53,0),7)</f>
        <v>3038867847</v>
      </c>
      <c r="AJ23" s="69" t="str">
        <f>+INDEX('NGP Chairs CoChairs'!$A$2:$M$53,MATCH('Supersite Working-AW'!$Z31,'NGP Chairs CoChairs'!$A$2:$A$53,0),7)</f>
        <v>7204955088</v>
      </c>
      <c r="AK23" s="69" t="str">
        <f>+INDEX('NGP Chairs CoChairs'!$A$2:$M$53,MATCH('Supersite Working-AW'!$AA31,'NGP Chairs CoChairs'!$A$2:$A$53,0),7)</f>
        <v>3038172531</v>
      </c>
      <c r="AL23">
        <v>3</v>
      </c>
    </row>
    <row r="24" spans="1:38" ht="16" x14ac:dyDescent="0.2">
      <c r="A24" s="3" t="s">
        <v>336</v>
      </c>
      <c r="B24" s="86">
        <v>834</v>
      </c>
      <c r="C24" s="86" t="s">
        <v>294</v>
      </c>
      <c r="D24" s="86" t="s">
        <v>295</v>
      </c>
      <c r="E24" s="86" t="s">
        <v>296</v>
      </c>
      <c r="F24" s="86" t="s">
        <v>341</v>
      </c>
      <c r="G24" s="86" t="s">
        <v>243</v>
      </c>
      <c r="H24" s="86"/>
      <c r="I24" s="86">
        <v>2</v>
      </c>
      <c r="J24" s="86">
        <v>10</v>
      </c>
      <c r="K24" s="86">
        <v>18</v>
      </c>
      <c r="L24" s="88">
        <v>591</v>
      </c>
      <c r="M24" s="89">
        <f>(L24*$M$2)</f>
        <v>14.775</v>
      </c>
      <c r="N24" s="89"/>
      <c r="O24" s="86" t="s">
        <v>160</v>
      </c>
      <c r="P24" s="87" t="s">
        <v>337</v>
      </c>
      <c r="Q24" s="99" t="s">
        <v>342</v>
      </c>
      <c r="R24" s="86" t="s">
        <v>44</v>
      </c>
      <c r="S24" s="120" t="s">
        <v>343</v>
      </c>
      <c r="T24" s="120"/>
      <c r="U24" s="86" t="s">
        <v>3</v>
      </c>
      <c r="V24" s="19"/>
      <c r="W24" s="19"/>
      <c r="X24" s="95">
        <v>142893063</v>
      </c>
      <c r="Y24" s="95">
        <v>113627156</v>
      </c>
      <c r="Z24" s="95">
        <v>107152229</v>
      </c>
      <c r="AA24" s="95">
        <v>107152370</v>
      </c>
      <c r="AB24" s="19"/>
      <c r="AC24" s="19"/>
      <c r="AD24" s="135" t="str">
        <f>+INDEX('NGP Chairs CoChairs'!$A$2:$M$53,MATCH('Supersite Working-AW'!$X33,'NGP Chairs CoChairs'!$A$2:$A$53,0),12)</f>
        <v>Michael Smith</v>
      </c>
      <c r="AE24" s="135" t="e">
        <f>+INDEX('NGP Chairs CoChairs'!$A$2:$M$53,MATCH('Supersite Working-AW'!$Y33,'NGP Chairs CoChairs'!$A$2:$A$53,0),12)</f>
        <v>#N/A</v>
      </c>
      <c r="AF24" s="135" t="e">
        <f>+INDEX('NGP Chairs CoChairs'!$A$2:$M$53,MATCH('Supersite Working-AW'!$Z33,'NGP Chairs CoChairs'!$A$2:$A$53,0),12)</f>
        <v>#N/A</v>
      </c>
      <c r="AG24" s="135" t="e">
        <f>+INDEX('NGP Chairs CoChairs'!$A$2:$M$53,MATCH('Supersite Working-AW'!$AA33,'NGP Chairs CoChairs'!$A$2:$A$53,0),12)</f>
        <v>#N/A</v>
      </c>
      <c r="AH24" s="69" t="str">
        <f>+INDEX('NGP Chairs CoChairs'!$A$2:$M$53,MATCH('Supersite Working-AW'!$X33,'NGP Chairs CoChairs'!$A$2:$A$53,0),7)</f>
        <v>9525673288</v>
      </c>
      <c r="AI24" s="69" t="e">
        <f>+INDEX('NGP Chairs CoChairs'!$A$2:$M$53,MATCH('Supersite Working-AW'!$Y33,'NGP Chairs CoChairs'!$A$2:$A$53,0),7)</f>
        <v>#N/A</v>
      </c>
      <c r="AJ24" s="69" t="e">
        <f>+INDEX('NGP Chairs CoChairs'!$A$2:$M$53,MATCH('Supersite Working-AW'!$Z33,'NGP Chairs CoChairs'!$A$2:$A$53,0),7)</f>
        <v>#N/A</v>
      </c>
      <c r="AK24" s="69" t="e">
        <f>+INDEX('NGP Chairs CoChairs'!$A$2:$M$53,MATCH('Supersite Working-AW'!$AA33,'NGP Chairs CoChairs'!$A$2:$A$53,0),7)</f>
        <v>#N/A</v>
      </c>
      <c r="AL24">
        <v>4</v>
      </c>
    </row>
    <row r="25" spans="1:38" ht="16" x14ac:dyDescent="0.2">
      <c r="A25" s="3" t="s">
        <v>336</v>
      </c>
      <c r="B25" s="86">
        <v>835</v>
      </c>
      <c r="C25" s="86" t="s">
        <v>294</v>
      </c>
      <c r="D25" s="86" t="s">
        <v>295</v>
      </c>
      <c r="E25" s="86" t="s">
        <v>296</v>
      </c>
      <c r="F25" s="86" t="s">
        <v>341</v>
      </c>
      <c r="G25" s="86" t="s">
        <v>243</v>
      </c>
      <c r="H25" s="86"/>
      <c r="I25" s="86">
        <v>2</v>
      </c>
      <c r="J25" s="86">
        <v>10</v>
      </c>
      <c r="K25" s="86">
        <v>18</v>
      </c>
      <c r="L25" s="88">
        <v>337</v>
      </c>
      <c r="M25" s="89">
        <f>(L25*$M$2)</f>
        <v>8.4250000000000007</v>
      </c>
      <c r="N25" s="89"/>
      <c r="O25" s="86" t="s">
        <v>160</v>
      </c>
      <c r="P25" s="87" t="s">
        <v>337</v>
      </c>
      <c r="Q25" s="99" t="s">
        <v>342</v>
      </c>
      <c r="R25" s="86" t="s">
        <v>44</v>
      </c>
      <c r="S25" s="120" t="s">
        <v>343</v>
      </c>
      <c r="T25" s="120"/>
      <c r="U25" s="86" t="s">
        <v>3</v>
      </c>
      <c r="V25" s="19"/>
      <c r="W25" s="19"/>
      <c r="X25" s="95">
        <v>142893063</v>
      </c>
      <c r="Y25" s="95">
        <v>113627156</v>
      </c>
      <c r="Z25" s="95">
        <v>107152229</v>
      </c>
      <c r="AA25" s="95">
        <v>107152370</v>
      </c>
      <c r="AB25" s="19"/>
      <c r="AC25" s="19"/>
      <c r="AD25" s="135" t="str">
        <f>+INDEX('NGP Chairs CoChairs'!$A$2:$M$53,MATCH('Supersite Working-AW'!$X34,'NGP Chairs CoChairs'!$A$2:$A$53,0),12)</f>
        <v>Michael Smith</v>
      </c>
      <c r="AE25" s="135" t="e">
        <f>+INDEX('NGP Chairs CoChairs'!$A$2:$M$53,MATCH('Supersite Working-AW'!$Y34,'NGP Chairs CoChairs'!$A$2:$A$53,0),12)</f>
        <v>#N/A</v>
      </c>
      <c r="AF25" s="135" t="e">
        <f>+INDEX('NGP Chairs CoChairs'!$A$2:$M$53,MATCH('Supersite Working-AW'!$Z34,'NGP Chairs CoChairs'!$A$2:$A$53,0),12)</f>
        <v>#N/A</v>
      </c>
      <c r="AG25" s="135" t="e">
        <f>+INDEX('NGP Chairs CoChairs'!$A$2:$M$53,MATCH('Supersite Working-AW'!$AA34,'NGP Chairs CoChairs'!$A$2:$A$53,0),12)</f>
        <v>#N/A</v>
      </c>
      <c r="AH25" s="69" t="str">
        <f>+INDEX('NGP Chairs CoChairs'!$A$2:$M$53,MATCH('Supersite Working-AW'!$X34,'NGP Chairs CoChairs'!$A$2:$A$53,0),7)</f>
        <v>9525673288</v>
      </c>
      <c r="AI25" s="69" t="e">
        <f>+INDEX('NGP Chairs CoChairs'!$A$2:$M$53,MATCH('Supersite Working-AW'!$Y34,'NGP Chairs CoChairs'!$A$2:$A$53,0),7)</f>
        <v>#N/A</v>
      </c>
      <c r="AJ25" s="69" t="e">
        <f>+INDEX('NGP Chairs CoChairs'!$A$2:$M$53,MATCH('Supersite Working-AW'!$Z34,'NGP Chairs CoChairs'!$A$2:$A$53,0),7)</f>
        <v>#N/A</v>
      </c>
      <c r="AK25" s="69" t="e">
        <f>+INDEX('NGP Chairs CoChairs'!$A$2:$M$53,MATCH('Supersite Working-AW'!$AA34,'NGP Chairs CoChairs'!$A$2:$A$53,0),7)</f>
        <v>#N/A</v>
      </c>
      <c r="AL25">
        <v>4</v>
      </c>
    </row>
    <row r="26" spans="1:38" ht="16" x14ac:dyDescent="0.2">
      <c r="A26" s="3" t="s">
        <v>336</v>
      </c>
      <c r="B26" s="86">
        <v>836</v>
      </c>
      <c r="C26" s="86" t="s">
        <v>294</v>
      </c>
      <c r="D26" s="86" t="s">
        <v>295</v>
      </c>
      <c r="E26" s="86" t="s">
        <v>296</v>
      </c>
      <c r="F26" s="86" t="s">
        <v>341</v>
      </c>
      <c r="G26" s="86" t="s">
        <v>243</v>
      </c>
      <c r="H26" s="86"/>
      <c r="I26" s="86">
        <v>2</v>
      </c>
      <c r="J26" s="86">
        <v>10</v>
      </c>
      <c r="K26" s="86">
        <v>18</v>
      </c>
      <c r="L26" s="88">
        <v>284</v>
      </c>
      <c r="M26" s="89">
        <f>(L26*$M$2)</f>
        <v>7.1000000000000005</v>
      </c>
      <c r="N26" s="89"/>
      <c r="O26" s="86" t="s">
        <v>160</v>
      </c>
      <c r="P26" s="87" t="s">
        <v>337</v>
      </c>
      <c r="Q26" s="99" t="s">
        <v>342</v>
      </c>
      <c r="R26" s="86" t="s">
        <v>44</v>
      </c>
      <c r="S26" s="120" t="s">
        <v>343</v>
      </c>
      <c r="T26" s="120"/>
      <c r="U26" s="86" t="s">
        <v>3</v>
      </c>
      <c r="V26" s="19"/>
      <c r="W26" s="19"/>
      <c r="X26" s="95">
        <v>142893063</v>
      </c>
      <c r="Y26" s="95">
        <v>113627156</v>
      </c>
      <c r="Z26" s="95">
        <v>107152229</v>
      </c>
      <c r="AA26" s="95">
        <v>107152370</v>
      </c>
      <c r="AB26" s="19"/>
      <c r="AC26" s="19"/>
      <c r="AD26" s="135" t="str">
        <f>+INDEX('NGP Chairs CoChairs'!$A$2:$M$53,MATCH('Supersite Working-AW'!$X35,'NGP Chairs CoChairs'!$A$2:$A$53,0),12)</f>
        <v>Michael Smith</v>
      </c>
      <c r="AE26" s="135" t="e">
        <f>+INDEX('NGP Chairs CoChairs'!$A$2:$M$53,MATCH('Supersite Working-AW'!$Y35,'NGP Chairs CoChairs'!$A$2:$A$53,0),12)</f>
        <v>#N/A</v>
      </c>
      <c r="AF26" s="135" t="e">
        <f>+INDEX('NGP Chairs CoChairs'!$A$2:$M$53,MATCH('Supersite Working-AW'!$Z35,'NGP Chairs CoChairs'!$A$2:$A$53,0),12)</f>
        <v>#N/A</v>
      </c>
      <c r="AG26" s="135" t="e">
        <f>+INDEX('NGP Chairs CoChairs'!$A$2:$M$53,MATCH('Supersite Working-AW'!$AA35,'NGP Chairs CoChairs'!$A$2:$A$53,0),12)</f>
        <v>#N/A</v>
      </c>
      <c r="AH26" s="69" t="str">
        <f>+INDEX('NGP Chairs CoChairs'!$A$2:$M$53,MATCH('Supersite Working-AW'!$X35,'NGP Chairs CoChairs'!$A$2:$A$53,0),7)</f>
        <v>9525673288</v>
      </c>
      <c r="AI26" s="69" t="e">
        <f>+INDEX('NGP Chairs CoChairs'!$A$2:$M$53,MATCH('Supersite Working-AW'!$Y35,'NGP Chairs CoChairs'!$A$2:$A$53,0),7)</f>
        <v>#N/A</v>
      </c>
      <c r="AJ26" s="69" t="e">
        <f>+INDEX('NGP Chairs CoChairs'!$A$2:$M$53,MATCH('Supersite Working-AW'!$Z35,'NGP Chairs CoChairs'!$A$2:$A$53,0),7)</f>
        <v>#N/A</v>
      </c>
      <c r="AK26" s="69" t="e">
        <f>+INDEX('NGP Chairs CoChairs'!$A$2:$M$53,MATCH('Supersite Working-AW'!$AA35,'NGP Chairs CoChairs'!$A$2:$A$53,0),7)</f>
        <v>#N/A</v>
      </c>
      <c r="AL26">
        <v>4</v>
      </c>
    </row>
    <row r="27" spans="1:38" ht="16" x14ac:dyDescent="0.2">
      <c r="A27" s="3" t="s">
        <v>336</v>
      </c>
      <c r="B27" s="86">
        <v>837</v>
      </c>
      <c r="C27" s="86" t="s">
        <v>294</v>
      </c>
      <c r="D27" s="86" t="s">
        <v>295</v>
      </c>
      <c r="E27" s="86" t="s">
        <v>296</v>
      </c>
      <c r="F27" s="86" t="s">
        <v>341</v>
      </c>
      <c r="G27" s="86" t="s">
        <v>243</v>
      </c>
      <c r="H27" s="86"/>
      <c r="I27" s="86">
        <v>2</v>
      </c>
      <c r="J27" s="86">
        <v>10</v>
      </c>
      <c r="K27" s="86">
        <v>18</v>
      </c>
      <c r="L27" s="88">
        <v>386</v>
      </c>
      <c r="M27" s="89">
        <f>(L27*$M$2)</f>
        <v>9.65</v>
      </c>
      <c r="N27" s="89"/>
      <c r="O27" s="86" t="s">
        <v>160</v>
      </c>
      <c r="P27" s="87" t="s">
        <v>337</v>
      </c>
      <c r="Q27" s="99" t="s">
        <v>342</v>
      </c>
      <c r="R27" s="86" t="s">
        <v>44</v>
      </c>
      <c r="S27" s="120" t="s">
        <v>343</v>
      </c>
      <c r="T27" s="120"/>
      <c r="U27" s="86" t="s">
        <v>3</v>
      </c>
      <c r="V27" s="19"/>
      <c r="W27" s="19"/>
      <c r="X27" s="95">
        <v>142893063</v>
      </c>
      <c r="Y27" s="95">
        <v>113627156</v>
      </c>
      <c r="Z27" s="95">
        <v>107152229</v>
      </c>
      <c r="AA27" s="95">
        <v>107152370</v>
      </c>
      <c r="AB27" s="19"/>
      <c r="AC27" s="19"/>
      <c r="AD27" s="135" t="str">
        <f>+INDEX('NGP Chairs CoChairs'!$A$2:$M$53,MATCH('Supersite Working-AW'!$X36,'NGP Chairs CoChairs'!$A$2:$A$53,0),12)</f>
        <v>Michael Smith</v>
      </c>
      <c r="AE27" s="135" t="e">
        <f>+INDEX('NGP Chairs CoChairs'!$A$2:$M$53,MATCH('Supersite Working-AW'!$Y36,'NGP Chairs CoChairs'!$A$2:$A$53,0),12)</f>
        <v>#N/A</v>
      </c>
      <c r="AF27" s="135" t="e">
        <f>+INDEX('NGP Chairs CoChairs'!$A$2:$M$53,MATCH('Supersite Working-AW'!$Z36,'NGP Chairs CoChairs'!$A$2:$A$53,0),12)</f>
        <v>#N/A</v>
      </c>
      <c r="AG27" s="135" t="e">
        <f>+INDEX('NGP Chairs CoChairs'!$A$2:$M$53,MATCH('Supersite Working-AW'!$AA36,'NGP Chairs CoChairs'!$A$2:$A$53,0),12)</f>
        <v>#N/A</v>
      </c>
      <c r="AH27" s="69" t="str">
        <f>+INDEX('NGP Chairs CoChairs'!$A$2:$M$53,MATCH('Supersite Working-AW'!$X36,'NGP Chairs CoChairs'!$A$2:$A$53,0),7)</f>
        <v>9525673288</v>
      </c>
      <c r="AI27" s="69" t="e">
        <f>+INDEX('NGP Chairs CoChairs'!$A$2:$M$53,MATCH('Supersite Working-AW'!$Y36,'NGP Chairs CoChairs'!$A$2:$A$53,0),7)</f>
        <v>#N/A</v>
      </c>
      <c r="AJ27" s="69" t="e">
        <f>+INDEX('NGP Chairs CoChairs'!$A$2:$M$53,MATCH('Supersite Working-AW'!$Z36,'NGP Chairs CoChairs'!$A$2:$A$53,0),7)</f>
        <v>#N/A</v>
      </c>
      <c r="AK27" s="69" t="e">
        <f>+INDEX('NGP Chairs CoChairs'!$A$2:$M$53,MATCH('Supersite Working-AW'!$AA36,'NGP Chairs CoChairs'!$A$2:$A$53,0),7)</f>
        <v>#N/A</v>
      </c>
      <c r="AL27">
        <v>4</v>
      </c>
    </row>
    <row r="28" spans="1:38" ht="16" x14ac:dyDescent="0.2">
      <c r="A28" s="3" t="s">
        <v>336</v>
      </c>
      <c r="B28" s="86">
        <v>838</v>
      </c>
      <c r="C28" s="86" t="s">
        <v>294</v>
      </c>
      <c r="D28" s="86" t="s">
        <v>295</v>
      </c>
      <c r="E28" s="86" t="s">
        <v>296</v>
      </c>
      <c r="F28" s="86" t="s">
        <v>341</v>
      </c>
      <c r="G28" s="86" t="s">
        <v>243</v>
      </c>
      <c r="H28" s="86"/>
      <c r="I28" s="86">
        <v>2</v>
      </c>
      <c r="J28" s="86">
        <v>10</v>
      </c>
      <c r="K28" s="86">
        <v>18</v>
      </c>
      <c r="L28" s="88">
        <v>613</v>
      </c>
      <c r="M28" s="89">
        <f>(L28*$M$2)</f>
        <v>15.325000000000001</v>
      </c>
      <c r="N28" s="89"/>
      <c r="O28" s="86" t="s">
        <v>160</v>
      </c>
      <c r="P28" s="87" t="s">
        <v>337</v>
      </c>
      <c r="Q28" s="99" t="s">
        <v>342</v>
      </c>
      <c r="R28" s="86" t="s">
        <v>44</v>
      </c>
      <c r="S28" s="120" t="s">
        <v>343</v>
      </c>
      <c r="T28" s="120"/>
      <c r="U28" s="86" t="s">
        <v>3</v>
      </c>
      <c r="V28" s="19"/>
      <c r="W28" s="19"/>
      <c r="X28" s="95">
        <v>142893063</v>
      </c>
      <c r="Y28" s="95">
        <v>113627156</v>
      </c>
      <c r="Z28" s="95">
        <v>107152229</v>
      </c>
      <c r="AA28" s="95">
        <v>107152370</v>
      </c>
      <c r="AB28" s="19"/>
      <c r="AC28" s="19"/>
      <c r="AD28" s="135" t="str">
        <f>+INDEX('NGP Chairs CoChairs'!$A$2:$M$53,MATCH('Supersite Working-AW'!$X37,'NGP Chairs CoChairs'!$A$2:$A$53,0),12)</f>
        <v>David Kline</v>
      </c>
      <c r="AE28" s="135" t="str">
        <f>+INDEX('NGP Chairs CoChairs'!$A$2:$M$53,MATCH('Supersite Working-AW'!$Y37,'NGP Chairs CoChairs'!$A$2:$A$53,0),12)</f>
        <v>Geof Cahoon</v>
      </c>
      <c r="AF28" s="135" t="str">
        <f>+INDEX('NGP Chairs CoChairs'!$A$2:$M$53,MATCH('Supersite Working-AW'!$Z37,'NGP Chairs CoChairs'!$A$2:$A$53,0),12)</f>
        <v>Bruce Norikane</v>
      </c>
      <c r="AG28" s="135" t="e">
        <f>+INDEX('NGP Chairs CoChairs'!$A$2:$M$53,MATCH('Supersite Working-AW'!$AA37,'NGP Chairs CoChairs'!$A$2:$A$53,0),12)</f>
        <v>#N/A</v>
      </c>
      <c r="AH28" s="69" t="str">
        <f>+INDEX('NGP Chairs CoChairs'!$A$2:$M$53,MATCH('Supersite Working-AW'!$X37,'NGP Chairs CoChairs'!$A$2:$A$53,0),7)</f>
        <v>7209383466</v>
      </c>
      <c r="AI28" s="69" t="str">
        <f>+INDEX('NGP Chairs CoChairs'!$A$2:$M$53,MATCH('Supersite Working-AW'!$Y37,'NGP Chairs CoChairs'!$A$2:$A$53,0),7)</f>
        <v>7203459803</v>
      </c>
      <c r="AJ28" s="69" t="str">
        <f>+INDEX('NGP Chairs CoChairs'!$A$2:$M$53,MATCH('Supersite Working-AW'!$Z37,'NGP Chairs CoChairs'!$A$2:$A$53,0),7)</f>
        <v>3037752697</v>
      </c>
      <c r="AK28" s="69" t="e">
        <f>+INDEX('NGP Chairs CoChairs'!$A$2:$M$53,MATCH('Supersite Working-AW'!$AA37,'NGP Chairs CoChairs'!$A$2:$A$53,0),7)</f>
        <v>#N/A</v>
      </c>
      <c r="AL28">
        <v>4</v>
      </c>
    </row>
    <row r="29" spans="1:38" ht="16" x14ac:dyDescent="0.2">
      <c r="A29" s="3" t="s">
        <v>336</v>
      </c>
      <c r="B29" s="86">
        <v>839</v>
      </c>
      <c r="C29" s="86" t="s">
        <v>294</v>
      </c>
      <c r="D29" s="86" t="s">
        <v>295</v>
      </c>
      <c r="E29" s="86" t="s">
        <v>296</v>
      </c>
      <c r="F29" s="86" t="s">
        <v>341</v>
      </c>
      <c r="G29" s="86" t="s">
        <v>243</v>
      </c>
      <c r="H29" s="86"/>
      <c r="I29" s="86">
        <v>2</v>
      </c>
      <c r="J29" s="86">
        <v>10</v>
      </c>
      <c r="K29" s="86">
        <v>18</v>
      </c>
      <c r="L29" s="88">
        <v>699</v>
      </c>
      <c r="M29" s="89">
        <f>(L29*$M$2)</f>
        <v>17.475000000000001</v>
      </c>
      <c r="N29" s="89"/>
      <c r="O29" s="86" t="s">
        <v>160</v>
      </c>
      <c r="P29" s="87" t="s">
        <v>337</v>
      </c>
      <c r="Q29" s="99" t="s">
        <v>342</v>
      </c>
      <c r="R29" s="86" t="s">
        <v>44</v>
      </c>
      <c r="S29" s="120" t="s">
        <v>343</v>
      </c>
      <c r="T29" s="120"/>
      <c r="U29" s="86" t="s">
        <v>3</v>
      </c>
      <c r="V29" s="19"/>
      <c r="W29" s="19"/>
      <c r="X29" s="95">
        <v>142893063</v>
      </c>
      <c r="Y29" s="95">
        <v>113627156</v>
      </c>
      <c r="Z29" s="95">
        <v>107152229</v>
      </c>
      <c r="AA29" s="95">
        <v>107152370</v>
      </c>
      <c r="AB29" s="19"/>
      <c r="AC29" s="19"/>
      <c r="AD29" s="135" t="str">
        <f>+INDEX('NGP Chairs CoChairs'!$A$2:$M$53,MATCH('Supersite Working-AW'!$X38,'NGP Chairs CoChairs'!$A$2:$A$53,0),12)</f>
        <v>David Kline</v>
      </c>
      <c r="AE29" s="135" t="str">
        <f>+INDEX('NGP Chairs CoChairs'!$A$2:$M$53,MATCH('Supersite Working-AW'!$Y38,'NGP Chairs CoChairs'!$A$2:$A$53,0),12)</f>
        <v>Geof Cahoon</v>
      </c>
      <c r="AF29" s="135" t="str">
        <f>+INDEX('NGP Chairs CoChairs'!$A$2:$M$53,MATCH('Supersite Working-AW'!$Z38,'NGP Chairs CoChairs'!$A$2:$A$53,0),12)</f>
        <v>Bruce Norikane</v>
      </c>
      <c r="AG29" s="135" t="e">
        <f>+INDEX('NGP Chairs CoChairs'!$A$2:$M$53,MATCH('Supersite Working-AW'!$AA38,'NGP Chairs CoChairs'!$A$2:$A$53,0),12)</f>
        <v>#N/A</v>
      </c>
      <c r="AH29" s="69" t="str">
        <f>+INDEX('NGP Chairs CoChairs'!$A$2:$M$53,MATCH('Supersite Working-AW'!$X38,'NGP Chairs CoChairs'!$A$2:$A$53,0),7)</f>
        <v>7209383466</v>
      </c>
      <c r="AI29" s="69" t="str">
        <f>+INDEX('NGP Chairs CoChairs'!$A$2:$M$53,MATCH('Supersite Working-AW'!$Y38,'NGP Chairs CoChairs'!$A$2:$A$53,0),7)</f>
        <v>7203459803</v>
      </c>
      <c r="AJ29" s="69" t="str">
        <f>+INDEX('NGP Chairs CoChairs'!$A$2:$M$53,MATCH('Supersite Working-AW'!$Z38,'NGP Chairs CoChairs'!$A$2:$A$53,0),7)</f>
        <v>3037752697</v>
      </c>
      <c r="AK29" s="69" t="e">
        <f>+INDEX('NGP Chairs CoChairs'!$A$2:$M$53,MATCH('Supersite Working-AW'!$AA38,'NGP Chairs CoChairs'!$A$2:$A$53,0),7)</f>
        <v>#N/A</v>
      </c>
      <c r="AL29">
        <v>4</v>
      </c>
    </row>
    <row r="30" spans="1:38" ht="16" x14ac:dyDescent="0.2">
      <c r="A30" s="3" t="s">
        <v>336</v>
      </c>
      <c r="B30" s="86">
        <v>841</v>
      </c>
      <c r="C30" s="86" t="s">
        <v>294</v>
      </c>
      <c r="D30" s="86" t="s">
        <v>295</v>
      </c>
      <c r="E30" s="86" t="s">
        <v>296</v>
      </c>
      <c r="F30" s="86" t="s">
        <v>341</v>
      </c>
      <c r="G30" s="86" t="s">
        <v>243</v>
      </c>
      <c r="H30" s="86"/>
      <c r="I30" s="86">
        <v>2</v>
      </c>
      <c r="J30" s="86">
        <v>10</v>
      </c>
      <c r="K30" s="86">
        <v>18</v>
      </c>
      <c r="L30" s="88">
        <v>562</v>
      </c>
      <c r="M30" s="89">
        <f>(L30*$M$2)</f>
        <v>14.05</v>
      </c>
      <c r="N30" s="89"/>
      <c r="O30" s="86" t="s">
        <v>160</v>
      </c>
      <c r="P30" s="87" t="s">
        <v>337</v>
      </c>
      <c r="Q30" s="99" t="s">
        <v>342</v>
      </c>
      <c r="R30" s="86" t="s">
        <v>44</v>
      </c>
      <c r="S30" s="120" t="s">
        <v>343</v>
      </c>
      <c r="T30" s="120"/>
      <c r="U30" s="86" t="s">
        <v>3</v>
      </c>
      <c r="V30" s="19"/>
      <c r="W30" s="19"/>
      <c r="X30" s="95">
        <v>142893063</v>
      </c>
      <c r="Y30" s="95">
        <v>113627156</v>
      </c>
      <c r="Z30" s="95">
        <v>107152229</v>
      </c>
      <c r="AA30" s="95">
        <v>107152370</v>
      </c>
      <c r="AB30" s="19"/>
      <c r="AC30" s="19"/>
      <c r="AD30" s="135" t="str">
        <f>+INDEX('NGP Chairs CoChairs'!$A$2:$M$53,MATCH('Supersite Working-AW'!$X39,'NGP Chairs CoChairs'!$A$2:$A$53,0),12)</f>
        <v>David Kline</v>
      </c>
      <c r="AE30" s="135" t="str">
        <f>+INDEX('NGP Chairs CoChairs'!$A$2:$M$53,MATCH('Supersite Working-AW'!$Y39,'NGP Chairs CoChairs'!$A$2:$A$53,0),12)</f>
        <v>Geof Cahoon</v>
      </c>
      <c r="AF30" s="135" t="str">
        <f>+INDEX('NGP Chairs CoChairs'!$A$2:$M$53,MATCH('Supersite Working-AW'!$Z39,'NGP Chairs CoChairs'!$A$2:$A$53,0),12)</f>
        <v>Bruce Norikane</v>
      </c>
      <c r="AG30" s="135" t="e">
        <f>+INDEX('NGP Chairs CoChairs'!$A$2:$M$53,MATCH('Supersite Working-AW'!$AA39,'NGP Chairs CoChairs'!$A$2:$A$53,0),12)</f>
        <v>#N/A</v>
      </c>
      <c r="AH30" s="69" t="str">
        <f>+INDEX('NGP Chairs CoChairs'!$A$2:$M$53,MATCH('Supersite Working-AW'!$X39,'NGP Chairs CoChairs'!$A$2:$A$53,0),7)</f>
        <v>7209383466</v>
      </c>
      <c r="AI30" s="69" t="str">
        <f>+INDEX('NGP Chairs CoChairs'!$A$2:$M$53,MATCH('Supersite Working-AW'!$Y39,'NGP Chairs CoChairs'!$A$2:$A$53,0),7)</f>
        <v>7203459803</v>
      </c>
      <c r="AJ30" s="69" t="str">
        <f>+INDEX('NGP Chairs CoChairs'!$A$2:$M$53,MATCH('Supersite Working-AW'!$Z39,'NGP Chairs CoChairs'!$A$2:$A$53,0),7)</f>
        <v>3037752697</v>
      </c>
      <c r="AK30" s="69" t="e">
        <f>+INDEX('NGP Chairs CoChairs'!$A$2:$M$53,MATCH('Supersite Working-AW'!$AA39,'NGP Chairs CoChairs'!$A$2:$A$53,0),7)</f>
        <v>#N/A</v>
      </c>
      <c r="AL30">
        <v>4</v>
      </c>
    </row>
    <row r="31" spans="1:38" ht="16" x14ac:dyDescent="0.2">
      <c r="A31" s="3" t="s">
        <v>336</v>
      </c>
      <c r="B31" s="86">
        <v>849</v>
      </c>
      <c r="C31" s="86" t="s">
        <v>294</v>
      </c>
      <c r="D31" s="86" t="s">
        <v>295</v>
      </c>
      <c r="E31" s="86" t="s">
        <v>296</v>
      </c>
      <c r="F31" s="86" t="s">
        <v>341</v>
      </c>
      <c r="G31" s="86" t="s">
        <v>243</v>
      </c>
      <c r="H31" s="86"/>
      <c r="I31" s="86">
        <v>2</v>
      </c>
      <c r="J31" s="86">
        <v>10</v>
      </c>
      <c r="K31" s="86">
        <v>18</v>
      </c>
      <c r="L31" s="88">
        <v>518</v>
      </c>
      <c r="M31" s="89">
        <f>(L31*$M$2)</f>
        <v>12.950000000000001</v>
      </c>
      <c r="N31" s="89">
        <f>SUM(M20:M31)</f>
        <v>161.20000000000002</v>
      </c>
      <c r="O31" s="86" t="s">
        <v>160</v>
      </c>
      <c r="P31" s="87" t="s">
        <v>337</v>
      </c>
      <c r="Q31" s="99" t="s">
        <v>342</v>
      </c>
      <c r="R31" s="86" t="s">
        <v>44</v>
      </c>
      <c r="S31" s="120" t="s">
        <v>343</v>
      </c>
      <c r="T31" s="120"/>
      <c r="U31" s="86" t="s">
        <v>3</v>
      </c>
      <c r="V31" s="19"/>
      <c r="W31" s="19"/>
      <c r="X31" s="95">
        <v>142893063</v>
      </c>
      <c r="Y31" s="95">
        <v>113627156</v>
      </c>
      <c r="Z31" s="95">
        <v>107152229</v>
      </c>
      <c r="AA31" s="95">
        <v>107152370</v>
      </c>
      <c r="AB31" s="19"/>
      <c r="AC31" s="19"/>
      <c r="AD31" s="135" t="str">
        <f>+INDEX('NGP Chairs CoChairs'!$A$2:$M$53,MATCH('Supersite Working-AW'!$X40,'NGP Chairs CoChairs'!$A$2:$A$53,0),12)</f>
        <v>David Kline</v>
      </c>
      <c r="AE31" s="135" t="str">
        <f>+INDEX('NGP Chairs CoChairs'!$A$2:$M$53,MATCH('Supersite Working-AW'!$Y40,'NGP Chairs CoChairs'!$A$2:$A$53,0),12)</f>
        <v>Geof Cahoon</v>
      </c>
      <c r="AF31" s="135" t="str">
        <f>+INDEX('NGP Chairs CoChairs'!$A$2:$M$53,MATCH('Supersite Working-AW'!$Z40,'NGP Chairs CoChairs'!$A$2:$A$53,0),12)</f>
        <v>Bruce Norikane</v>
      </c>
      <c r="AG31" s="135" t="e">
        <f>+INDEX('NGP Chairs CoChairs'!$A$2:$M$53,MATCH('Supersite Working-AW'!$AA40,'NGP Chairs CoChairs'!$A$2:$A$53,0),12)</f>
        <v>#N/A</v>
      </c>
      <c r="AH31" s="69" t="str">
        <f>+INDEX('NGP Chairs CoChairs'!$A$2:$M$53,MATCH('Supersite Working-AW'!$X40,'NGP Chairs CoChairs'!$A$2:$A$53,0),7)</f>
        <v>7209383466</v>
      </c>
      <c r="AI31" s="69" t="str">
        <f>+INDEX('NGP Chairs CoChairs'!$A$2:$M$53,MATCH('Supersite Working-AW'!$Y40,'NGP Chairs CoChairs'!$A$2:$A$53,0),7)</f>
        <v>7203459803</v>
      </c>
      <c r="AJ31" s="69" t="str">
        <f>+INDEX('NGP Chairs CoChairs'!$A$2:$M$53,MATCH('Supersite Working-AW'!$Z40,'NGP Chairs CoChairs'!$A$2:$A$53,0),7)</f>
        <v>3037752697</v>
      </c>
      <c r="AK31" s="69" t="e">
        <f>+INDEX('NGP Chairs CoChairs'!$A$2:$M$53,MATCH('Supersite Working-AW'!$AA40,'NGP Chairs CoChairs'!$A$2:$A$53,0),7)</f>
        <v>#N/A</v>
      </c>
      <c r="AL31">
        <v>4</v>
      </c>
    </row>
    <row r="32" spans="1:38" ht="17" x14ac:dyDescent="0.2">
      <c r="A32" s="3" t="s">
        <v>8</v>
      </c>
      <c r="B32" s="86">
        <v>828</v>
      </c>
      <c r="C32" s="86" t="s">
        <v>247</v>
      </c>
      <c r="D32" s="86" t="s">
        <v>248</v>
      </c>
      <c r="E32" s="90" t="s">
        <v>249</v>
      </c>
      <c r="F32" s="91" t="s">
        <v>250</v>
      </c>
      <c r="G32" s="86" t="s">
        <v>243</v>
      </c>
      <c r="H32" s="86"/>
      <c r="I32" s="86">
        <v>2</v>
      </c>
      <c r="J32" s="86">
        <v>49</v>
      </c>
      <c r="K32" s="86">
        <v>18</v>
      </c>
      <c r="L32" s="88">
        <v>420</v>
      </c>
      <c r="M32" s="89">
        <f>(L32*$M$2)</f>
        <v>10.5</v>
      </c>
      <c r="N32" s="89"/>
      <c r="O32" s="86" t="s">
        <v>160</v>
      </c>
      <c r="P32" s="86"/>
      <c r="Q32" s="86"/>
      <c r="R32" s="92" t="s">
        <v>125</v>
      </c>
      <c r="S32" s="92" t="s">
        <v>8</v>
      </c>
      <c r="T32" s="86"/>
      <c r="U32" s="86" t="s">
        <v>3</v>
      </c>
      <c r="V32" s="19"/>
      <c r="W32" s="19"/>
      <c r="X32" s="19">
        <v>147113970</v>
      </c>
      <c r="Y32" s="19"/>
      <c r="Z32" s="19"/>
      <c r="AA32" s="19"/>
      <c r="AB32" s="19"/>
      <c r="AC32" s="19"/>
      <c r="AD32" s="135" t="str">
        <f>+INDEX('NGP Chairs CoChairs'!$A$2:$M$53,MATCH('Supersite Working-AW'!$X41,'NGP Chairs CoChairs'!$A$2:$A$53,0),12)</f>
        <v>David Kline</v>
      </c>
      <c r="AE32" s="135" t="str">
        <f>+INDEX('NGP Chairs CoChairs'!$A$2:$M$53,MATCH('Supersite Working-AW'!$Y41,'NGP Chairs CoChairs'!$A$2:$A$53,0),12)</f>
        <v>Geof Cahoon</v>
      </c>
      <c r="AF32" s="135" t="str">
        <f>+INDEX('NGP Chairs CoChairs'!$A$2:$M$53,MATCH('Supersite Working-AW'!$Z41,'NGP Chairs CoChairs'!$A$2:$A$53,0),12)</f>
        <v>Bruce Norikane</v>
      </c>
      <c r="AG32" s="135" t="e">
        <f>+INDEX('NGP Chairs CoChairs'!$A$2:$M$53,MATCH('Supersite Working-AW'!$AA41,'NGP Chairs CoChairs'!$A$2:$A$53,0),12)</f>
        <v>#N/A</v>
      </c>
      <c r="AH32" s="69" t="str">
        <f>+INDEX('NGP Chairs CoChairs'!$A$2:$M$53,MATCH('Supersite Working-AW'!$X41,'NGP Chairs CoChairs'!$A$2:$A$53,0),7)</f>
        <v>7209383466</v>
      </c>
      <c r="AI32" s="69" t="str">
        <f>+INDEX('NGP Chairs CoChairs'!$A$2:$M$53,MATCH('Supersite Working-AW'!$Y41,'NGP Chairs CoChairs'!$A$2:$A$53,0),7)</f>
        <v>7203459803</v>
      </c>
      <c r="AJ32" s="69" t="str">
        <f>+INDEX('NGP Chairs CoChairs'!$A$2:$M$53,MATCH('Supersite Working-AW'!$Z41,'NGP Chairs CoChairs'!$A$2:$A$53,0),7)</f>
        <v>3037752697</v>
      </c>
      <c r="AK32" s="69" t="e">
        <f>+INDEX('NGP Chairs CoChairs'!$A$2:$M$53,MATCH('Supersite Working-AW'!$AA41,'NGP Chairs CoChairs'!$A$2:$A$53,0),7)</f>
        <v>#N/A</v>
      </c>
      <c r="AL32">
        <v>5</v>
      </c>
    </row>
    <row r="33" spans="1:38" ht="17" x14ac:dyDescent="0.2">
      <c r="A33" s="3" t="s">
        <v>89</v>
      </c>
      <c r="B33" s="86">
        <v>829</v>
      </c>
      <c r="C33" s="86" t="s">
        <v>247</v>
      </c>
      <c r="D33" s="86" t="s">
        <v>248</v>
      </c>
      <c r="E33" s="86" t="s">
        <v>249</v>
      </c>
      <c r="F33" s="91" t="s">
        <v>250</v>
      </c>
      <c r="G33" s="86" t="s">
        <v>243</v>
      </c>
      <c r="H33" s="86"/>
      <c r="I33" s="86">
        <v>2</v>
      </c>
      <c r="J33" s="86">
        <v>10</v>
      </c>
      <c r="K33" s="86">
        <v>18</v>
      </c>
      <c r="L33" s="88">
        <v>976</v>
      </c>
      <c r="M33" s="89">
        <f>(L33*$M$2)</f>
        <v>24.400000000000002</v>
      </c>
      <c r="N33" s="89"/>
      <c r="O33" s="86" t="s">
        <v>160</v>
      </c>
      <c r="P33" s="86"/>
      <c r="Q33" s="86"/>
      <c r="R33" s="92" t="s">
        <v>125</v>
      </c>
      <c r="S33" s="92" t="s">
        <v>8</v>
      </c>
      <c r="T33" s="86"/>
      <c r="U33" s="86" t="s">
        <v>3</v>
      </c>
      <c r="V33" s="19"/>
      <c r="W33" s="19"/>
      <c r="X33" s="19">
        <v>147113970</v>
      </c>
      <c r="Y33" s="19"/>
      <c r="Z33" s="19"/>
      <c r="AA33" s="19"/>
      <c r="AB33" s="19"/>
      <c r="AC33" s="19"/>
      <c r="AD33" s="135" t="str">
        <f>+INDEX('NGP Chairs CoChairs'!$A$2:$M$53,MATCH('Supersite Working-AW'!$X42,'NGP Chairs CoChairs'!$A$2:$A$53,0),12)</f>
        <v>David Kline</v>
      </c>
      <c r="AE33" s="135" t="str">
        <f>+INDEX('NGP Chairs CoChairs'!$A$2:$M$53,MATCH('Supersite Working-AW'!$Y42,'NGP Chairs CoChairs'!$A$2:$A$53,0),12)</f>
        <v>Geof Cahoon</v>
      </c>
      <c r="AF33" s="135" t="str">
        <f>+INDEX('NGP Chairs CoChairs'!$A$2:$M$53,MATCH('Supersite Working-AW'!$Z42,'NGP Chairs CoChairs'!$A$2:$A$53,0),12)</f>
        <v>Bruce Norikane</v>
      </c>
      <c r="AG33" s="135" t="e">
        <f>+INDEX('NGP Chairs CoChairs'!$A$2:$M$53,MATCH('Supersite Working-AW'!$AA42,'NGP Chairs CoChairs'!$A$2:$A$53,0),12)</f>
        <v>#N/A</v>
      </c>
      <c r="AH33" s="69" t="str">
        <f>+INDEX('NGP Chairs CoChairs'!$A$2:$M$53,MATCH('Supersite Working-AW'!$X42,'NGP Chairs CoChairs'!$A$2:$A$53,0),7)</f>
        <v>7209383466</v>
      </c>
      <c r="AI33" s="69" t="str">
        <f>+INDEX('NGP Chairs CoChairs'!$A$2:$M$53,MATCH('Supersite Working-AW'!$Y42,'NGP Chairs CoChairs'!$A$2:$A$53,0),7)</f>
        <v>7203459803</v>
      </c>
      <c r="AJ33" s="69" t="str">
        <f>+INDEX('NGP Chairs CoChairs'!$A$2:$M$53,MATCH('Supersite Working-AW'!$Z42,'NGP Chairs CoChairs'!$A$2:$A$53,0),7)</f>
        <v>3037752697</v>
      </c>
      <c r="AK33" s="69" t="e">
        <f>+INDEX('NGP Chairs CoChairs'!$A$2:$M$53,MATCH('Supersite Working-AW'!$AA42,'NGP Chairs CoChairs'!$A$2:$A$53,0),7)</f>
        <v>#N/A</v>
      </c>
      <c r="AL33">
        <v>5</v>
      </c>
    </row>
    <row r="34" spans="1:38" ht="17" x14ac:dyDescent="0.2">
      <c r="A34" s="3" t="s">
        <v>89</v>
      </c>
      <c r="B34" s="86">
        <v>831</v>
      </c>
      <c r="C34" s="86" t="s">
        <v>247</v>
      </c>
      <c r="D34" s="86" t="s">
        <v>248</v>
      </c>
      <c r="E34" s="86" t="s">
        <v>249</v>
      </c>
      <c r="F34" s="91" t="s">
        <v>250</v>
      </c>
      <c r="G34" s="86" t="s">
        <v>243</v>
      </c>
      <c r="H34" s="86"/>
      <c r="I34" s="86">
        <v>2</v>
      </c>
      <c r="J34" s="86">
        <v>10</v>
      </c>
      <c r="K34" s="86">
        <v>18</v>
      </c>
      <c r="L34" s="88">
        <v>695</v>
      </c>
      <c r="M34" s="89">
        <f>(L34*$M$2)</f>
        <v>17.375</v>
      </c>
      <c r="N34" s="89"/>
      <c r="O34" s="86" t="s">
        <v>160</v>
      </c>
      <c r="P34" s="86"/>
      <c r="Q34" s="86"/>
      <c r="R34" s="92" t="s">
        <v>125</v>
      </c>
      <c r="S34" s="92" t="s">
        <v>8</v>
      </c>
      <c r="T34" s="86"/>
      <c r="U34" s="86" t="s">
        <v>3</v>
      </c>
      <c r="V34" s="19"/>
      <c r="W34" s="19"/>
      <c r="X34" s="19">
        <v>147113970</v>
      </c>
      <c r="Y34" s="19"/>
      <c r="Z34" s="19"/>
      <c r="AA34" s="19"/>
      <c r="AB34" s="19"/>
      <c r="AC34" s="19"/>
      <c r="AD34" s="135" t="str">
        <f>+INDEX('NGP Chairs CoChairs'!$A$2:$M$53,MATCH('Supersite Working-AW'!$X43,'NGP Chairs CoChairs'!$A$2:$A$53,0),12)</f>
        <v>David Kline</v>
      </c>
      <c r="AE34" s="135" t="str">
        <f>+INDEX('NGP Chairs CoChairs'!$A$2:$M$53,MATCH('Supersite Working-AW'!$Y43,'NGP Chairs CoChairs'!$A$2:$A$53,0),12)</f>
        <v>Geof Cahoon</v>
      </c>
      <c r="AF34" s="135" t="str">
        <f>+INDEX('NGP Chairs CoChairs'!$A$2:$M$53,MATCH('Supersite Working-AW'!$Z43,'NGP Chairs CoChairs'!$A$2:$A$53,0),12)</f>
        <v>Bruce Norikane</v>
      </c>
      <c r="AG34" s="135" t="e">
        <f>+INDEX('NGP Chairs CoChairs'!$A$2:$M$53,MATCH('Supersite Working-AW'!$AA43,'NGP Chairs CoChairs'!$A$2:$A$53,0),12)</f>
        <v>#N/A</v>
      </c>
      <c r="AH34" s="69" t="str">
        <f>+INDEX('NGP Chairs CoChairs'!$A$2:$M$53,MATCH('Supersite Working-AW'!$X43,'NGP Chairs CoChairs'!$A$2:$A$53,0),7)</f>
        <v>7209383466</v>
      </c>
      <c r="AI34" s="69" t="str">
        <f>+INDEX('NGP Chairs CoChairs'!$A$2:$M$53,MATCH('Supersite Working-AW'!$Y43,'NGP Chairs CoChairs'!$A$2:$A$53,0),7)</f>
        <v>7203459803</v>
      </c>
      <c r="AJ34" s="69" t="str">
        <f>+INDEX('NGP Chairs CoChairs'!$A$2:$M$53,MATCH('Supersite Working-AW'!$Z43,'NGP Chairs CoChairs'!$A$2:$A$53,0),7)</f>
        <v>3037752697</v>
      </c>
      <c r="AK34" s="69" t="e">
        <f>+INDEX('NGP Chairs CoChairs'!$A$2:$M$53,MATCH('Supersite Working-AW'!$AA43,'NGP Chairs CoChairs'!$A$2:$A$53,0),7)</f>
        <v>#N/A</v>
      </c>
      <c r="AL34">
        <v>5</v>
      </c>
    </row>
    <row r="35" spans="1:38" ht="17" x14ac:dyDescent="0.2">
      <c r="A35" s="3" t="s">
        <v>89</v>
      </c>
      <c r="B35" s="86">
        <v>832</v>
      </c>
      <c r="C35" s="86" t="s">
        <v>247</v>
      </c>
      <c r="D35" s="86" t="s">
        <v>248</v>
      </c>
      <c r="E35" s="86" t="s">
        <v>249</v>
      </c>
      <c r="F35" s="91" t="s">
        <v>250</v>
      </c>
      <c r="G35" s="86" t="s">
        <v>243</v>
      </c>
      <c r="H35" s="86"/>
      <c r="I35" s="86">
        <v>2</v>
      </c>
      <c r="J35" s="86">
        <v>10</v>
      </c>
      <c r="K35" s="86">
        <v>18</v>
      </c>
      <c r="L35" s="88">
        <v>791</v>
      </c>
      <c r="M35" s="89">
        <f>(L35*$M$2)</f>
        <v>19.775000000000002</v>
      </c>
      <c r="N35" s="89"/>
      <c r="O35" s="86" t="s">
        <v>160</v>
      </c>
      <c r="P35" s="86"/>
      <c r="Q35" s="86"/>
      <c r="R35" s="92" t="s">
        <v>125</v>
      </c>
      <c r="S35" s="92" t="s">
        <v>8</v>
      </c>
      <c r="T35" s="86"/>
      <c r="U35" s="86" t="s">
        <v>3</v>
      </c>
      <c r="V35" s="19"/>
      <c r="W35" s="19"/>
      <c r="X35" s="19">
        <v>147113970</v>
      </c>
      <c r="Y35" s="19"/>
      <c r="Z35" s="19"/>
      <c r="AA35" s="19"/>
      <c r="AB35" s="19"/>
      <c r="AC35" s="19"/>
      <c r="AD35" s="135" t="str">
        <f>+INDEX('NGP Chairs CoChairs'!$A$2:$M$53,MATCH('Supersite Working-AW'!$X44,'NGP Chairs CoChairs'!$A$2:$A$53,0),12)</f>
        <v>David Kline</v>
      </c>
      <c r="AE35" s="135" t="str">
        <f>+INDEX('NGP Chairs CoChairs'!$A$2:$M$53,MATCH('Supersite Working-AW'!$Y44,'NGP Chairs CoChairs'!$A$2:$A$53,0),12)</f>
        <v>Geof Cahoon</v>
      </c>
      <c r="AF35" s="135" t="str">
        <f>+INDEX('NGP Chairs CoChairs'!$A$2:$M$53,MATCH('Supersite Working-AW'!$Z44,'NGP Chairs CoChairs'!$A$2:$A$53,0),12)</f>
        <v>Bruce Norikane</v>
      </c>
      <c r="AG35" s="135" t="e">
        <f>+INDEX('NGP Chairs CoChairs'!$A$2:$M$53,MATCH('Supersite Working-AW'!$AA44,'NGP Chairs CoChairs'!$A$2:$A$53,0),12)</f>
        <v>#N/A</v>
      </c>
      <c r="AH35" s="69" t="str">
        <f>+INDEX('NGP Chairs CoChairs'!$A$2:$M$53,MATCH('Supersite Working-AW'!$X44,'NGP Chairs CoChairs'!$A$2:$A$53,0),7)</f>
        <v>7209383466</v>
      </c>
      <c r="AI35" s="69" t="str">
        <f>+INDEX('NGP Chairs CoChairs'!$A$2:$M$53,MATCH('Supersite Working-AW'!$Y44,'NGP Chairs CoChairs'!$A$2:$A$53,0),7)</f>
        <v>7203459803</v>
      </c>
      <c r="AJ35" s="69" t="str">
        <f>+INDEX('NGP Chairs CoChairs'!$A$2:$M$53,MATCH('Supersite Working-AW'!$Z44,'NGP Chairs CoChairs'!$A$2:$A$53,0),7)</f>
        <v>3037752697</v>
      </c>
      <c r="AK35" s="69" t="e">
        <f>+INDEX('NGP Chairs CoChairs'!$A$2:$M$53,MATCH('Supersite Working-AW'!$AA44,'NGP Chairs CoChairs'!$A$2:$A$53,0),7)</f>
        <v>#N/A</v>
      </c>
      <c r="AL35">
        <v>5</v>
      </c>
    </row>
    <row r="36" spans="1:38" ht="17" x14ac:dyDescent="0.2">
      <c r="A36" s="3" t="s">
        <v>89</v>
      </c>
      <c r="B36" s="86">
        <v>833</v>
      </c>
      <c r="C36" s="86" t="s">
        <v>247</v>
      </c>
      <c r="D36" s="86" t="s">
        <v>248</v>
      </c>
      <c r="E36" s="86" t="s">
        <v>249</v>
      </c>
      <c r="F36" s="91" t="s">
        <v>250</v>
      </c>
      <c r="G36" s="86" t="s">
        <v>243</v>
      </c>
      <c r="H36" s="86"/>
      <c r="I36" s="86">
        <v>2</v>
      </c>
      <c r="J36" s="86">
        <v>10</v>
      </c>
      <c r="K36" s="86">
        <v>18</v>
      </c>
      <c r="L36" s="88">
        <v>788</v>
      </c>
      <c r="M36" s="89">
        <f>(L36*$M$2)</f>
        <v>19.700000000000003</v>
      </c>
      <c r="N36" s="89">
        <f>SUM(M32:M36)</f>
        <v>91.750000000000014</v>
      </c>
      <c r="O36" s="86" t="s">
        <v>160</v>
      </c>
      <c r="P36" s="86"/>
      <c r="Q36" s="86"/>
      <c r="R36" s="92" t="s">
        <v>125</v>
      </c>
      <c r="S36" s="92" t="s">
        <v>8</v>
      </c>
      <c r="T36" s="86"/>
      <c r="U36" s="86" t="s">
        <v>3</v>
      </c>
      <c r="V36" s="19"/>
      <c r="W36" s="19"/>
      <c r="X36" s="19">
        <v>147113970</v>
      </c>
      <c r="Y36" s="19"/>
      <c r="Z36" s="19"/>
      <c r="AA36" s="19"/>
      <c r="AB36" s="19"/>
      <c r="AC36" s="19"/>
      <c r="AD36" s="135" t="str">
        <f>+INDEX('NGP Chairs CoChairs'!$A$2:$M$53,MATCH('Supersite Working-AW'!$X45,'NGP Chairs CoChairs'!$A$2:$A$53,0),12)</f>
        <v>David Kline</v>
      </c>
      <c r="AE36" s="135" t="str">
        <f>+INDEX('NGP Chairs CoChairs'!$A$2:$M$53,MATCH('Supersite Working-AW'!$Y45,'NGP Chairs CoChairs'!$A$2:$A$53,0),12)</f>
        <v>Geof Cahoon</v>
      </c>
      <c r="AF36" s="135" t="str">
        <f>+INDEX('NGP Chairs CoChairs'!$A$2:$M$53,MATCH('Supersite Working-AW'!$Z45,'NGP Chairs CoChairs'!$A$2:$A$53,0),12)</f>
        <v>Bruce Norikane</v>
      </c>
      <c r="AG36" s="135" t="e">
        <f>+INDEX('NGP Chairs CoChairs'!$A$2:$M$53,MATCH('Supersite Working-AW'!$AA45,'NGP Chairs CoChairs'!$A$2:$A$53,0),12)</f>
        <v>#N/A</v>
      </c>
      <c r="AH36" s="69" t="str">
        <f>+INDEX('NGP Chairs CoChairs'!$A$2:$M$53,MATCH('Supersite Working-AW'!$X45,'NGP Chairs CoChairs'!$A$2:$A$53,0),7)</f>
        <v>7209383466</v>
      </c>
      <c r="AI36" s="69" t="str">
        <f>+INDEX('NGP Chairs CoChairs'!$A$2:$M$53,MATCH('Supersite Working-AW'!$Y45,'NGP Chairs CoChairs'!$A$2:$A$53,0),7)</f>
        <v>7203459803</v>
      </c>
      <c r="AJ36" s="69" t="str">
        <f>+INDEX('NGP Chairs CoChairs'!$A$2:$M$53,MATCH('Supersite Working-AW'!$Z45,'NGP Chairs CoChairs'!$A$2:$A$53,0),7)</f>
        <v>3037752697</v>
      </c>
      <c r="AK36" s="69" t="e">
        <f>+INDEX('NGP Chairs CoChairs'!$A$2:$M$53,MATCH('Supersite Working-AW'!$AA45,'NGP Chairs CoChairs'!$A$2:$A$53,0),7)</f>
        <v>#N/A</v>
      </c>
      <c r="AL36">
        <v>5</v>
      </c>
    </row>
    <row r="37" spans="1:38" ht="17" x14ac:dyDescent="0.2">
      <c r="A37" s="3" t="s">
        <v>8</v>
      </c>
      <c r="B37" s="86">
        <v>822</v>
      </c>
      <c r="C37" s="86" t="s">
        <v>256</v>
      </c>
      <c r="D37" s="86" t="s">
        <v>257</v>
      </c>
      <c r="E37" s="86" t="s">
        <v>258</v>
      </c>
      <c r="F37" s="91" t="s">
        <v>254</v>
      </c>
      <c r="G37" s="86" t="s">
        <v>243</v>
      </c>
      <c r="H37" s="86"/>
      <c r="I37" s="86">
        <v>2</v>
      </c>
      <c r="J37" s="86">
        <v>10</v>
      </c>
      <c r="K37" s="86">
        <v>18</v>
      </c>
      <c r="L37" s="88">
        <v>818</v>
      </c>
      <c r="M37" s="89">
        <f>(L37*$M$2)</f>
        <v>20.450000000000003</v>
      </c>
      <c r="N37" s="89"/>
      <c r="O37" s="86" t="s">
        <v>160</v>
      </c>
      <c r="P37" s="86"/>
      <c r="Q37" s="86"/>
      <c r="R37" s="96" t="s">
        <v>8</v>
      </c>
      <c r="S37" s="96" t="s">
        <v>89</v>
      </c>
      <c r="T37" s="86"/>
      <c r="U37" s="86" t="s">
        <v>3</v>
      </c>
      <c r="V37" s="19"/>
      <c r="W37" s="19"/>
      <c r="X37" s="95">
        <v>118591584</v>
      </c>
      <c r="Y37" s="95">
        <v>147521014</v>
      </c>
      <c r="Z37" s="19">
        <v>107152870</v>
      </c>
      <c r="AA37" s="95"/>
      <c r="AB37" s="95"/>
      <c r="AC37" s="19"/>
      <c r="AD37" s="135" t="str">
        <f>+INDEX('NGP Chairs CoChairs'!$A$2:$M$53,MATCH('Supersite Working-AW'!$X9,'NGP Chairs CoChairs'!$A$2:$A$53,0),12)</f>
        <v>Kenneth Nova</v>
      </c>
      <c r="AE37" s="135" t="str">
        <f>+INDEX('NGP Chairs CoChairs'!$A$2:$M$53,MATCH('Supersite Working-AW'!$Y9,'NGP Chairs CoChairs'!$A$2:$A$53,0),12)</f>
        <v>Lilian Francklyn</v>
      </c>
      <c r="AF37" s="135" t="str">
        <f>+INDEX('NGP Chairs CoChairs'!$A$2:$M$53,MATCH('Supersite Working-AW'!$Z9,'NGP Chairs CoChairs'!$A$2:$A$53,0),12)</f>
        <v>Neil Fishman</v>
      </c>
      <c r="AG37" s="135" t="str">
        <f>+INDEX('NGP Chairs CoChairs'!$A$2:$M$53,MATCH('Supersite Working-AW'!$AA9,'NGP Chairs CoChairs'!$A$2:$A$53,0),12)</f>
        <v>Heather Baer</v>
      </c>
      <c r="AH37" s="69" t="str">
        <f>+INDEX('NGP Chairs CoChairs'!$A$2:$M$53,MATCH('Supersite Working-AW'!$X9,'NGP Chairs CoChairs'!$A$2:$A$53,0),7)</f>
        <v>3034786467</v>
      </c>
      <c r="AI37" s="69" t="str">
        <f>+INDEX('NGP Chairs CoChairs'!$A$2:$M$53,MATCH('Supersite Working-AW'!$Y9,'NGP Chairs CoChairs'!$A$2:$A$53,0),7)</f>
        <v>7202728398</v>
      </c>
      <c r="AJ37" s="69" t="str">
        <f>+INDEX('NGP Chairs CoChairs'!$A$2:$M$53,MATCH('Supersite Working-AW'!$Z9,'NGP Chairs CoChairs'!$A$2:$A$53,0),7)</f>
        <v>7209385326</v>
      </c>
      <c r="AK37" s="69" t="str">
        <f>+INDEX('NGP Chairs CoChairs'!$A$2:$M$53,MATCH('Supersite Working-AW'!$AA9,'NGP Chairs CoChairs'!$A$2:$A$53,0),7)</f>
        <v>3039997682</v>
      </c>
      <c r="AL37">
        <v>1</v>
      </c>
    </row>
    <row r="38" spans="1:38" ht="17" x14ac:dyDescent="0.2">
      <c r="A38" s="3" t="s">
        <v>8</v>
      </c>
      <c r="B38" s="86">
        <v>823</v>
      </c>
      <c r="C38" s="86" t="s">
        <v>256</v>
      </c>
      <c r="D38" s="86" t="s">
        <v>257</v>
      </c>
      <c r="E38" s="86" t="s">
        <v>258</v>
      </c>
      <c r="F38" s="91" t="s">
        <v>254</v>
      </c>
      <c r="G38" s="86" t="s">
        <v>243</v>
      </c>
      <c r="H38" s="86"/>
      <c r="I38" s="86">
        <v>2</v>
      </c>
      <c r="J38" s="86">
        <v>10</v>
      </c>
      <c r="K38" s="86">
        <v>18</v>
      </c>
      <c r="L38" s="88">
        <v>621</v>
      </c>
      <c r="M38" s="89">
        <f>(L38*$M$2)</f>
        <v>15.525</v>
      </c>
      <c r="N38" s="89"/>
      <c r="O38" s="86" t="s">
        <v>160</v>
      </c>
      <c r="P38" s="86"/>
      <c r="Q38" s="86"/>
      <c r="R38" s="96" t="s">
        <v>8</v>
      </c>
      <c r="S38" s="96" t="s">
        <v>89</v>
      </c>
      <c r="T38" s="86"/>
      <c r="U38" s="86" t="s">
        <v>3</v>
      </c>
      <c r="V38" s="19"/>
      <c r="W38" s="19"/>
      <c r="X38" s="95">
        <v>118591584</v>
      </c>
      <c r="Y38" s="95">
        <v>147521014</v>
      </c>
      <c r="Z38" s="19">
        <v>107152870</v>
      </c>
      <c r="AA38" s="95"/>
      <c r="AB38" s="95"/>
      <c r="AC38" s="19"/>
      <c r="AD38" s="135" t="str">
        <f>+INDEX('NGP Chairs CoChairs'!$A$2:$M$53,MATCH('Supersite Working-AW'!$X10,'NGP Chairs CoChairs'!$A$2:$A$53,0),12)</f>
        <v>Kenneth Nova</v>
      </c>
      <c r="AE38" s="135" t="str">
        <f>+INDEX('NGP Chairs CoChairs'!$A$2:$M$53,MATCH('Supersite Working-AW'!$Y10,'NGP Chairs CoChairs'!$A$2:$A$53,0),12)</f>
        <v>Lilian Francklyn</v>
      </c>
      <c r="AF38" s="135" t="str">
        <f>+INDEX('NGP Chairs CoChairs'!$A$2:$M$53,MATCH('Supersite Working-AW'!$Z10,'NGP Chairs CoChairs'!$A$2:$A$53,0),12)</f>
        <v>Neil Fishman</v>
      </c>
      <c r="AG38" s="135" t="str">
        <f>+INDEX('NGP Chairs CoChairs'!$A$2:$M$53,MATCH('Supersite Working-AW'!$AA10,'NGP Chairs CoChairs'!$A$2:$A$53,0),12)</f>
        <v>Heather Baer</v>
      </c>
      <c r="AH38" s="69" t="str">
        <f>+INDEX('NGP Chairs CoChairs'!$A$2:$M$53,MATCH('Supersite Working-AW'!$X10,'NGP Chairs CoChairs'!$A$2:$A$53,0),7)</f>
        <v>3034786467</v>
      </c>
      <c r="AI38" s="69" t="str">
        <f>+INDEX('NGP Chairs CoChairs'!$A$2:$M$53,MATCH('Supersite Working-AW'!$Y10,'NGP Chairs CoChairs'!$A$2:$A$53,0),7)</f>
        <v>7202728398</v>
      </c>
      <c r="AJ38" s="69" t="str">
        <f>+INDEX('NGP Chairs CoChairs'!$A$2:$M$53,MATCH('Supersite Working-AW'!$Z10,'NGP Chairs CoChairs'!$A$2:$A$53,0),7)</f>
        <v>7209385326</v>
      </c>
      <c r="AK38" s="69" t="str">
        <f>+INDEX('NGP Chairs CoChairs'!$A$2:$M$53,MATCH('Supersite Working-AW'!$AA10,'NGP Chairs CoChairs'!$A$2:$A$53,0),7)</f>
        <v>3039997682</v>
      </c>
      <c r="AL38">
        <v>1</v>
      </c>
    </row>
    <row r="39" spans="1:38" ht="17" x14ac:dyDescent="0.2">
      <c r="A39" s="3" t="s">
        <v>8</v>
      </c>
      <c r="B39" s="86">
        <v>824</v>
      </c>
      <c r="C39" s="86" t="s">
        <v>256</v>
      </c>
      <c r="D39" s="86" t="s">
        <v>257</v>
      </c>
      <c r="E39" s="86" t="s">
        <v>258</v>
      </c>
      <c r="F39" s="91" t="s">
        <v>254</v>
      </c>
      <c r="G39" s="86" t="s">
        <v>243</v>
      </c>
      <c r="H39" s="86"/>
      <c r="I39" s="86">
        <v>2</v>
      </c>
      <c r="J39" s="86">
        <v>10</v>
      </c>
      <c r="K39" s="86">
        <v>18</v>
      </c>
      <c r="L39" s="88">
        <v>541</v>
      </c>
      <c r="M39" s="89">
        <f>(L39*$M$2)</f>
        <v>13.525</v>
      </c>
      <c r="N39" s="89"/>
      <c r="O39" s="86" t="s">
        <v>160</v>
      </c>
      <c r="P39" s="86"/>
      <c r="Q39" s="86"/>
      <c r="R39" s="96" t="s">
        <v>8</v>
      </c>
      <c r="S39" s="96" t="s">
        <v>89</v>
      </c>
      <c r="T39" s="86"/>
      <c r="U39" s="86" t="s">
        <v>3</v>
      </c>
      <c r="V39" s="19"/>
      <c r="W39" s="19"/>
      <c r="X39" s="95">
        <v>118591584</v>
      </c>
      <c r="Y39" s="95">
        <v>147521014</v>
      </c>
      <c r="Z39" s="19">
        <v>107152870</v>
      </c>
      <c r="AA39" s="95"/>
      <c r="AB39" s="95"/>
      <c r="AC39" s="19"/>
      <c r="AD39" s="135" t="str">
        <f>+INDEX('NGP Chairs CoChairs'!$A$2:$M$53,MATCH('Supersite Working-AW'!$X11,'NGP Chairs CoChairs'!$A$2:$A$53,0),12)</f>
        <v>Kenneth Nova</v>
      </c>
      <c r="AE39" s="135" t="str">
        <f>+INDEX('NGP Chairs CoChairs'!$A$2:$M$53,MATCH('Supersite Working-AW'!$Y11,'NGP Chairs CoChairs'!$A$2:$A$53,0),12)</f>
        <v>Lilian Francklyn</v>
      </c>
      <c r="AF39" s="135" t="str">
        <f>+INDEX('NGP Chairs CoChairs'!$A$2:$M$53,MATCH('Supersite Working-AW'!$Z11,'NGP Chairs CoChairs'!$A$2:$A$53,0),12)</f>
        <v>Neil Fishman</v>
      </c>
      <c r="AG39" s="135" t="str">
        <f>+INDEX('NGP Chairs CoChairs'!$A$2:$M$53,MATCH('Supersite Working-AW'!$AA11,'NGP Chairs CoChairs'!$A$2:$A$53,0),12)</f>
        <v>Heather Baer</v>
      </c>
      <c r="AH39" s="69" t="str">
        <f>+INDEX('NGP Chairs CoChairs'!$A$2:$M$53,MATCH('Supersite Working-AW'!$X11,'NGP Chairs CoChairs'!$A$2:$A$53,0),7)</f>
        <v>3034786467</v>
      </c>
      <c r="AI39" s="69" t="str">
        <f>+INDEX('NGP Chairs CoChairs'!$A$2:$M$53,MATCH('Supersite Working-AW'!$Y11,'NGP Chairs CoChairs'!$A$2:$A$53,0),7)</f>
        <v>7202728398</v>
      </c>
      <c r="AJ39" s="69" t="str">
        <f>+INDEX('NGP Chairs CoChairs'!$A$2:$M$53,MATCH('Supersite Working-AW'!$Z11,'NGP Chairs CoChairs'!$A$2:$A$53,0),7)</f>
        <v>7209385326</v>
      </c>
      <c r="AK39" s="69" t="str">
        <f>+INDEX('NGP Chairs CoChairs'!$A$2:$M$53,MATCH('Supersite Working-AW'!$AA11,'NGP Chairs CoChairs'!$A$2:$A$53,0),7)</f>
        <v>3039997682</v>
      </c>
      <c r="AL39">
        <v>1</v>
      </c>
    </row>
    <row r="40" spans="1:38" ht="17" x14ac:dyDescent="0.2">
      <c r="A40" s="3" t="s">
        <v>8</v>
      </c>
      <c r="B40" s="86">
        <v>825</v>
      </c>
      <c r="C40" s="86" t="s">
        <v>256</v>
      </c>
      <c r="D40" s="86" t="s">
        <v>257</v>
      </c>
      <c r="E40" s="86" t="s">
        <v>258</v>
      </c>
      <c r="F40" s="91" t="s">
        <v>254</v>
      </c>
      <c r="G40" s="86" t="s">
        <v>243</v>
      </c>
      <c r="H40" s="86"/>
      <c r="I40" s="86">
        <v>2</v>
      </c>
      <c r="J40" s="86">
        <v>10</v>
      </c>
      <c r="K40" s="86">
        <v>18</v>
      </c>
      <c r="L40" s="88">
        <v>944</v>
      </c>
      <c r="M40" s="89">
        <f>(L40*$M$2)</f>
        <v>23.6</v>
      </c>
      <c r="N40" s="89"/>
      <c r="O40" s="86" t="s">
        <v>160</v>
      </c>
      <c r="P40" s="86"/>
      <c r="Q40" s="86"/>
      <c r="R40" s="96" t="s">
        <v>8</v>
      </c>
      <c r="S40" s="96" t="s">
        <v>89</v>
      </c>
      <c r="T40" s="86"/>
      <c r="U40" s="86" t="s">
        <v>3</v>
      </c>
      <c r="V40" s="19"/>
      <c r="W40" s="19"/>
      <c r="X40" s="95">
        <v>118591584</v>
      </c>
      <c r="Y40" s="95">
        <v>147521014</v>
      </c>
      <c r="Z40" s="19">
        <v>107152870</v>
      </c>
      <c r="AA40" s="95"/>
      <c r="AB40" s="95"/>
      <c r="AC40" s="19"/>
      <c r="AD40" s="135" t="str">
        <f>+INDEX('NGP Chairs CoChairs'!$A$2:$M$53,MATCH('Supersite Working-AW'!$X12,'NGP Chairs CoChairs'!$A$2:$A$53,0),12)</f>
        <v>Kenneth Nova</v>
      </c>
      <c r="AE40" s="135" t="str">
        <f>+INDEX('NGP Chairs CoChairs'!$A$2:$M$53,MATCH('Supersite Working-AW'!$Y12,'NGP Chairs CoChairs'!$A$2:$A$53,0),12)</f>
        <v>Lilian Francklyn</v>
      </c>
      <c r="AF40" s="135" t="str">
        <f>+INDEX('NGP Chairs CoChairs'!$A$2:$M$53,MATCH('Supersite Working-AW'!$Z12,'NGP Chairs CoChairs'!$A$2:$A$53,0),12)</f>
        <v>Neil Fishman</v>
      </c>
      <c r="AG40" s="135" t="str">
        <f>+INDEX('NGP Chairs CoChairs'!$A$2:$M$53,MATCH('Supersite Working-AW'!$AA12,'NGP Chairs CoChairs'!$A$2:$A$53,0),12)</f>
        <v>Heather Baer</v>
      </c>
      <c r="AH40" s="69" t="str">
        <f>+INDEX('NGP Chairs CoChairs'!$A$2:$M$53,MATCH('Supersite Working-AW'!$X12,'NGP Chairs CoChairs'!$A$2:$A$53,0),7)</f>
        <v>3034786467</v>
      </c>
      <c r="AI40" s="69" t="str">
        <f>+INDEX('NGP Chairs CoChairs'!$A$2:$M$53,MATCH('Supersite Working-AW'!$Y12,'NGP Chairs CoChairs'!$A$2:$A$53,0),7)</f>
        <v>7202728398</v>
      </c>
      <c r="AJ40" s="69" t="str">
        <f>+INDEX('NGP Chairs CoChairs'!$A$2:$M$53,MATCH('Supersite Working-AW'!$Z12,'NGP Chairs CoChairs'!$A$2:$A$53,0),7)</f>
        <v>7209385326</v>
      </c>
      <c r="AK40" s="69" t="str">
        <f>+INDEX('NGP Chairs CoChairs'!$A$2:$M$53,MATCH('Supersite Working-AW'!$AA12,'NGP Chairs CoChairs'!$A$2:$A$53,0),7)</f>
        <v>3039997682</v>
      </c>
      <c r="AL40">
        <v>1</v>
      </c>
    </row>
    <row r="41" spans="1:38" ht="17" x14ac:dyDescent="0.2">
      <c r="A41" s="3" t="s">
        <v>8</v>
      </c>
      <c r="B41" s="86">
        <v>826</v>
      </c>
      <c r="C41" s="86" t="s">
        <v>256</v>
      </c>
      <c r="D41" s="86" t="s">
        <v>257</v>
      </c>
      <c r="E41" s="86" t="s">
        <v>258</v>
      </c>
      <c r="F41" s="91" t="s">
        <v>254</v>
      </c>
      <c r="G41" s="86" t="s">
        <v>243</v>
      </c>
      <c r="H41" s="86"/>
      <c r="I41" s="86">
        <v>2</v>
      </c>
      <c r="J41" s="86">
        <v>10</v>
      </c>
      <c r="K41" s="86">
        <v>18</v>
      </c>
      <c r="L41" s="88">
        <v>488</v>
      </c>
      <c r="M41" s="89">
        <f>(L41*$M$2)</f>
        <v>12.200000000000001</v>
      </c>
      <c r="N41" s="89"/>
      <c r="O41" s="86" t="s">
        <v>160</v>
      </c>
      <c r="P41" s="86"/>
      <c r="Q41" s="86"/>
      <c r="R41" s="96" t="s">
        <v>8</v>
      </c>
      <c r="S41" s="96" t="s">
        <v>89</v>
      </c>
      <c r="T41" s="86"/>
      <c r="U41" s="86" t="s">
        <v>3</v>
      </c>
      <c r="V41" s="19"/>
      <c r="W41" s="19"/>
      <c r="X41" s="95">
        <v>118591584</v>
      </c>
      <c r="Y41" s="95">
        <v>147521014</v>
      </c>
      <c r="Z41" s="19">
        <v>107152870</v>
      </c>
      <c r="AA41" s="95"/>
      <c r="AB41" s="95"/>
      <c r="AC41" s="19"/>
      <c r="AD41" s="135" t="str">
        <f>+INDEX('NGP Chairs CoChairs'!$A$2:$M$53,MATCH('Supersite Working-AW'!$X13,'NGP Chairs CoChairs'!$A$2:$A$53,0),12)</f>
        <v>Kenneth Nova</v>
      </c>
      <c r="AE41" s="135" t="str">
        <f>+INDEX('NGP Chairs CoChairs'!$A$2:$M$53,MATCH('Supersite Working-AW'!$Y13,'NGP Chairs CoChairs'!$A$2:$A$53,0),12)</f>
        <v>Lilian Francklyn</v>
      </c>
      <c r="AF41" s="135" t="str">
        <f>+INDEX('NGP Chairs CoChairs'!$A$2:$M$53,MATCH('Supersite Working-AW'!$Z13,'NGP Chairs CoChairs'!$A$2:$A$53,0),12)</f>
        <v>Neil Fishman</v>
      </c>
      <c r="AG41" s="135" t="str">
        <f>+INDEX('NGP Chairs CoChairs'!$A$2:$M$53,MATCH('Supersite Working-AW'!$AA13,'NGP Chairs CoChairs'!$A$2:$A$53,0),12)</f>
        <v>Heather Baer</v>
      </c>
      <c r="AH41" s="69" t="str">
        <f>+INDEX('NGP Chairs CoChairs'!$A$2:$M$53,MATCH('Supersite Working-AW'!$X13,'NGP Chairs CoChairs'!$A$2:$A$53,0),7)</f>
        <v>3034786467</v>
      </c>
      <c r="AI41" s="69" t="str">
        <f>+INDEX('NGP Chairs CoChairs'!$A$2:$M$53,MATCH('Supersite Working-AW'!$Y13,'NGP Chairs CoChairs'!$A$2:$A$53,0),7)</f>
        <v>7202728398</v>
      </c>
      <c r="AJ41" s="69" t="str">
        <f>+INDEX('NGP Chairs CoChairs'!$A$2:$M$53,MATCH('Supersite Working-AW'!$Z13,'NGP Chairs CoChairs'!$A$2:$A$53,0),7)</f>
        <v>7209385326</v>
      </c>
      <c r="AK41" s="69" t="str">
        <f>+INDEX('NGP Chairs CoChairs'!$A$2:$M$53,MATCH('Supersite Working-AW'!$AA13,'NGP Chairs CoChairs'!$A$2:$A$53,0),7)</f>
        <v>3039997682</v>
      </c>
      <c r="AL41">
        <v>1</v>
      </c>
    </row>
    <row r="42" spans="1:38" ht="17" x14ac:dyDescent="0.2">
      <c r="A42" s="3" t="s">
        <v>89</v>
      </c>
      <c r="B42" s="86">
        <v>810</v>
      </c>
      <c r="C42" s="86" t="s">
        <v>251</v>
      </c>
      <c r="D42" s="86" t="s">
        <v>252</v>
      </c>
      <c r="E42" s="86" t="s">
        <v>253</v>
      </c>
      <c r="F42" s="91" t="s">
        <v>254</v>
      </c>
      <c r="G42" s="86" t="s">
        <v>243</v>
      </c>
      <c r="H42" s="86"/>
      <c r="I42" s="86">
        <v>2</v>
      </c>
      <c r="J42" s="86">
        <v>10</v>
      </c>
      <c r="K42" s="86">
        <v>18</v>
      </c>
      <c r="L42" s="88">
        <v>403</v>
      </c>
      <c r="M42" s="89">
        <f>(L42*$M$2)</f>
        <v>10.075000000000001</v>
      </c>
      <c r="N42" s="89"/>
      <c r="O42" s="86" t="s">
        <v>160</v>
      </c>
      <c r="P42" s="93" t="s">
        <v>255</v>
      </c>
      <c r="Q42" s="93"/>
      <c r="R42" s="94" t="s">
        <v>8</v>
      </c>
      <c r="S42" s="94" t="s">
        <v>8</v>
      </c>
      <c r="T42" s="86"/>
      <c r="U42" s="86" t="s">
        <v>3</v>
      </c>
      <c r="V42" s="19"/>
      <c r="W42" s="19"/>
      <c r="X42" s="95">
        <v>118591584</v>
      </c>
      <c r="Y42" s="95">
        <v>147521014</v>
      </c>
      <c r="Z42" s="19">
        <v>107152870</v>
      </c>
      <c r="AA42" s="95"/>
      <c r="AB42" s="95"/>
      <c r="AC42" s="19"/>
      <c r="AD42" s="135" t="str">
        <f>+INDEX('NGP Chairs CoChairs'!$A$2:$M$53,MATCH('Supersite Working-AW'!$X4,'NGP Chairs CoChairs'!$A$2:$A$53,0),12)</f>
        <v>Guy Errickson</v>
      </c>
      <c r="AE42" s="135" t="str">
        <f>+INDEX('NGP Chairs CoChairs'!$A$2:$M$53,MATCH('Supersite Working-AW'!$Y4,'NGP Chairs CoChairs'!$A$2:$A$53,0),12)</f>
        <v>Katie Malzbender</v>
      </c>
      <c r="AF42" s="135" t="str">
        <f>+INDEX('NGP Chairs CoChairs'!$A$2:$M$53,MATCH('Supersite Working-AW'!$Z4,'NGP Chairs CoChairs'!$A$2:$A$53,0),12)</f>
        <v>Candace Bowie</v>
      </c>
      <c r="AG42" s="135" t="str">
        <f>+INDEX('NGP Chairs CoChairs'!$A$2:$M$53,MATCH('Supersite Working-AW'!$AA4,'NGP Chairs CoChairs'!$A$2:$A$53,0),12)</f>
        <v>Peter Dawson</v>
      </c>
      <c r="AH42" s="69" t="str">
        <f>+INDEX('NGP Chairs CoChairs'!$A$2:$M$53,MATCH('Supersite Working-AW'!$X4,'NGP Chairs CoChairs'!$A$2:$A$53,0),7)</f>
        <v>7202334208</v>
      </c>
      <c r="AI42" s="69" t="str">
        <f>+INDEX('NGP Chairs CoChairs'!$A$2:$M$53,MATCH('Supersite Working-AW'!$Y4,'NGP Chairs CoChairs'!$A$2:$A$53,0),7)</f>
        <v>3038867847</v>
      </c>
      <c r="AJ42" s="69" t="str">
        <f>+INDEX('NGP Chairs CoChairs'!$A$2:$M$53,MATCH('Supersite Working-AW'!$Z4,'NGP Chairs CoChairs'!$A$2:$A$53,0),7)</f>
        <v>7204955088</v>
      </c>
      <c r="AK42" s="69" t="str">
        <f>+INDEX('NGP Chairs CoChairs'!$A$2:$M$53,MATCH('Supersite Working-AW'!$AA4,'NGP Chairs CoChairs'!$A$2:$A$53,0),7)</f>
        <v>3038172531</v>
      </c>
      <c r="AL42">
        <v>1</v>
      </c>
    </row>
    <row r="43" spans="1:38" ht="17" x14ac:dyDescent="0.2">
      <c r="A43" s="3" t="s">
        <v>89</v>
      </c>
      <c r="B43" s="86">
        <v>817</v>
      </c>
      <c r="C43" s="86" t="s">
        <v>251</v>
      </c>
      <c r="D43" s="86" t="s">
        <v>252</v>
      </c>
      <c r="E43" s="86" t="s">
        <v>253</v>
      </c>
      <c r="F43" s="91" t="s">
        <v>254</v>
      </c>
      <c r="G43" s="86" t="s">
        <v>243</v>
      </c>
      <c r="H43" s="86"/>
      <c r="I43" s="86">
        <v>2</v>
      </c>
      <c r="J43" s="86">
        <v>10</v>
      </c>
      <c r="K43" s="86">
        <v>18</v>
      </c>
      <c r="L43" s="88">
        <v>990</v>
      </c>
      <c r="M43" s="89">
        <f>(L43*$M$2)</f>
        <v>24.75</v>
      </c>
      <c r="N43" s="89"/>
      <c r="O43" s="86" t="s">
        <v>160</v>
      </c>
      <c r="P43" s="93"/>
      <c r="Q43" s="93"/>
      <c r="R43" s="94" t="s">
        <v>8</v>
      </c>
      <c r="S43" s="94" t="s">
        <v>8</v>
      </c>
      <c r="T43" s="86"/>
      <c r="U43" s="86" t="s">
        <v>3</v>
      </c>
      <c r="V43" s="19"/>
      <c r="W43" s="19"/>
      <c r="X43" s="95">
        <v>118591584</v>
      </c>
      <c r="Y43" s="95">
        <v>147521014</v>
      </c>
      <c r="Z43" s="19">
        <v>107152870</v>
      </c>
      <c r="AA43" s="95"/>
      <c r="AB43" s="95"/>
      <c r="AC43" s="19"/>
      <c r="AD43" s="135" t="str">
        <f>+INDEX('NGP Chairs CoChairs'!$A$2:$M$53,MATCH('Supersite Working-AW'!$X5,'NGP Chairs CoChairs'!$A$2:$A$53,0),12)</f>
        <v>Kenneth Nova</v>
      </c>
      <c r="AE43" s="135" t="str">
        <f>+INDEX('NGP Chairs CoChairs'!$A$2:$M$53,MATCH('Supersite Working-AW'!$Y5,'NGP Chairs CoChairs'!$A$2:$A$53,0),12)</f>
        <v>Lilian Francklyn</v>
      </c>
      <c r="AF43" s="135" t="str">
        <f>+INDEX('NGP Chairs CoChairs'!$A$2:$M$53,MATCH('Supersite Working-AW'!$Z5,'NGP Chairs CoChairs'!$A$2:$A$53,0),12)</f>
        <v>Neil Fishman</v>
      </c>
      <c r="AG43" s="135" t="str">
        <f>+INDEX('NGP Chairs CoChairs'!$A$2:$M$53,MATCH('Supersite Working-AW'!$AA5,'NGP Chairs CoChairs'!$A$2:$A$53,0),12)</f>
        <v>Heather Baer</v>
      </c>
      <c r="AH43" s="69" t="str">
        <f>+INDEX('NGP Chairs CoChairs'!$A$2:$M$53,MATCH('Supersite Working-AW'!$X5,'NGP Chairs CoChairs'!$A$2:$A$53,0),7)</f>
        <v>3034786467</v>
      </c>
      <c r="AI43" s="69" t="str">
        <f>+INDEX('NGP Chairs CoChairs'!$A$2:$M$53,MATCH('Supersite Working-AW'!$Y5,'NGP Chairs CoChairs'!$A$2:$A$53,0),7)</f>
        <v>7202728398</v>
      </c>
      <c r="AJ43" s="69" t="str">
        <f>+INDEX('NGP Chairs CoChairs'!$A$2:$M$53,MATCH('Supersite Working-AW'!$Z5,'NGP Chairs CoChairs'!$A$2:$A$53,0),7)</f>
        <v>7209385326</v>
      </c>
      <c r="AK43" s="69" t="str">
        <f>+INDEX('NGP Chairs CoChairs'!$A$2:$M$53,MATCH('Supersite Working-AW'!$AA5,'NGP Chairs CoChairs'!$A$2:$A$53,0),7)</f>
        <v>3039997682</v>
      </c>
      <c r="AL43">
        <v>1</v>
      </c>
    </row>
    <row r="44" spans="1:38" ht="17" x14ac:dyDescent="0.2">
      <c r="A44" s="3" t="s">
        <v>89</v>
      </c>
      <c r="B44" s="86">
        <v>818</v>
      </c>
      <c r="C44" s="86" t="s">
        <v>251</v>
      </c>
      <c r="D44" s="86" t="s">
        <v>252</v>
      </c>
      <c r="E44" s="86" t="s">
        <v>253</v>
      </c>
      <c r="F44" s="91" t="s">
        <v>254</v>
      </c>
      <c r="G44" s="86" t="s">
        <v>243</v>
      </c>
      <c r="H44" s="86"/>
      <c r="I44" s="86">
        <v>2</v>
      </c>
      <c r="J44" s="86">
        <v>10</v>
      </c>
      <c r="K44" s="86">
        <v>18</v>
      </c>
      <c r="L44" s="88">
        <v>893</v>
      </c>
      <c r="M44" s="89">
        <f>(L44*$M$2)</f>
        <v>22.325000000000003</v>
      </c>
      <c r="N44" s="89"/>
      <c r="O44" s="86" t="s">
        <v>160</v>
      </c>
      <c r="P44" s="93"/>
      <c r="Q44" s="93"/>
      <c r="R44" s="94" t="s">
        <v>8</v>
      </c>
      <c r="S44" s="94" t="s">
        <v>8</v>
      </c>
      <c r="T44" s="86"/>
      <c r="U44" s="86" t="s">
        <v>3</v>
      </c>
      <c r="V44" s="19"/>
      <c r="W44" s="19"/>
      <c r="X44" s="95">
        <v>118591584</v>
      </c>
      <c r="Y44" s="95">
        <v>147521014</v>
      </c>
      <c r="Z44" s="19">
        <v>107152870</v>
      </c>
      <c r="AA44" s="95"/>
      <c r="AB44" s="95"/>
      <c r="AC44" s="19"/>
      <c r="AD44" s="135" t="str">
        <f>+INDEX('NGP Chairs CoChairs'!$A$2:$M$53,MATCH('Supersite Working-AW'!$X6,'NGP Chairs CoChairs'!$A$2:$A$53,0),12)</f>
        <v>Kenneth Nova</v>
      </c>
      <c r="AE44" s="135" t="str">
        <f>+INDEX('NGP Chairs CoChairs'!$A$2:$M$53,MATCH('Supersite Working-AW'!$Y6,'NGP Chairs CoChairs'!$A$2:$A$53,0),12)</f>
        <v>Lilian Francklyn</v>
      </c>
      <c r="AF44" s="135" t="str">
        <f>+INDEX('NGP Chairs CoChairs'!$A$2:$M$53,MATCH('Supersite Working-AW'!$Z6,'NGP Chairs CoChairs'!$A$2:$A$53,0),12)</f>
        <v>Neil Fishman</v>
      </c>
      <c r="AG44" s="135" t="str">
        <f>+INDEX('NGP Chairs CoChairs'!$A$2:$M$53,MATCH('Supersite Working-AW'!$AA6,'NGP Chairs CoChairs'!$A$2:$A$53,0),12)</f>
        <v>Heather Baer</v>
      </c>
      <c r="AH44" s="69" t="str">
        <f>+INDEX('NGP Chairs CoChairs'!$A$2:$M$53,MATCH('Supersite Working-AW'!$X6,'NGP Chairs CoChairs'!$A$2:$A$53,0),7)</f>
        <v>3034786467</v>
      </c>
      <c r="AI44" s="69" t="str">
        <f>+INDEX('NGP Chairs CoChairs'!$A$2:$M$53,MATCH('Supersite Working-AW'!$Y6,'NGP Chairs CoChairs'!$A$2:$A$53,0),7)</f>
        <v>7202728398</v>
      </c>
      <c r="AJ44" s="69" t="str">
        <f>+INDEX('NGP Chairs CoChairs'!$A$2:$M$53,MATCH('Supersite Working-AW'!$Z6,'NGP Chairs CoChairs'!$A$2:$A$53,0),7)</f>
        <v>7209385326</v>
      </c>
      <c r="AK44" s="69" t="str">
        <f>+INDEX('NGP Chairs CoChairs'!$A$2:$M$53,MATCH('Supersite Working-AW'!$AA6,'NGP Chairs CoChairs'!$A$2:$A$53,0),7)</f>
        <v>3039997682</v>
      </c>
      <c r="AL44">
        <v>1</v>
      </c>
    </row>
    <row r="45" spans="1:38" ht="17" x14ac:dyDescent="0.2">
      <c r="A45" s="3" t="s">
        <v>89</v>
      </c>
      <c r="B45" s="86">
        <v>820</v>
      </c>
      <c r="C45" s="86" t="s">
        <v>251</v>
      </c>
      <c r="D45" s="86" t="s">
        <v>252</v>
      </c>
      <c r="E45" s="86" t="s">
        <v>253</v>
      </c>
      <c r="F45" s="91" t="s">
        <v>254</v>
      </c>
      <c r="G45" s="86" t="s">
        <v>243</v>
      </c>
      <c r="H45" s="86"/>
      <c r="I45" s="86">
        <v>2</v>
      </c>
      <c r="J45" s="86">
        <v>10</v>
      </c>
      <c r="K45" s="86">
        <v>18</v>
      </c>
      <c r="L45" s="88">
        <v>708</v>
      </c>
      <c r="M45" s="89">
        <f>(L45*$M$2)</f>
        <v>17.7</v>
      </c>
      <c r="N45" s="89"/>
      <c r="O45" s="86" t="s">
        <v>160</v>
      </c>
      <c r="P45" s="93"/>
      <c r="Q45" s="93"/>
      <c r="R45" s="94" t="s">
        <v>8</v>
      </c>
      <c r="S45" s="94" t="s">
        <v>8</v>
      </c>
      <c r="T45" s="86"/>
      <c r="U45" s="86" t="s">
        <v>3</v>
      </c>
      <c r="V45" s="19"/>
      <c r="W45" s="19"/>
      <c r="X45" s="95">
        <v>118591584</v>
      </c>
      <c r="Y45" s="95">
        <v>147521014</v>
      </c>
      <c r="Z45" s="19">
        <v>107152870</v>
      </c>
      <c r="AA45" s="95"/>
      <c r="AB45" s="95"/>
      <c r="AC45" s="19"/>
      <c r="AD45" s="135" t="str">
        <f>+INDEX('NGP Chairs CoChairs'!$A$2:$M$53,MATCH('Supersite Working-AW'!$X7,'NGP Chairs CoChairs'!$A$2:$A$53,0),12)</f>
        <v>Kenneth Nova</v>
      </c>
      <c r="AE45" s="135" t="str">
        <f>+INDEX('NGP Chairs CoChairs'!$A$2:$M$53,MATCH('Supersite Working-AW'!$Y7,'NGP Chairs CoChairs'!$A$2:$A$53,0),12)</f>
        <v>Lilian Francklyn</v>
      </c>
      <c r="AF45" s="135" t="str">
        <f>+INDEX('NGP Chairs CoChairs'!$A$2:$M$53,MATCH('Supersite Working-AW'!$Z7,'NGP Chairs CoChairs'!$A$2:$A$53,0),12)</f>
        <v>Neil Fishman</v>
      </c>
      <c r="AG45" s="135" t="str">
        <f>+INDEX('NGP Chairs CoChairs'!$A$2:$M$53,MATCH('Supersite Working-AW'!$AA7,'NGP Chairs CoChairs'!$A$2:$A$53,0),12)</f>
        <v>Heather Baer</v>
      </c>
      <c r="AH45" s="69" t="str">
        <f>+INDEX('NGP Chairs CoChairs'!$A$2:$M$53,MATCH('Supersite Working-AW'!$X7,'NGP Chairs CoChairs'!$A$2:$A$53,0),7)</f>
        <v>3034786467</v>
      </c>
      <c r="AI45" s="69" t="str">
        <f>+INDEX('NGP Chairs CoChairs'!$A$2:$M$53,MATCH('Supersite Working-AW'!$Y7,'NGP Chairs CoChairs'!$A$2:$A$53,0),7)</f>
        <v>7202728398</v>
      </c>
      <c r="AJ45" s="69" t="str">
        <f>+INDEX('NGP Chairs CoChairs'!$A$2:$M$53,MATCH('Supersite Working-AW'!$Z7,'NGP Chairs CoChairs'!$A$2:$A$53,0),7)</f>
        <v>7209385326</v>
      </c>
      <c r="AK45" s="69" t="str">
        <f>+INDEX('NGP Chairs CoChairs'!$A$2:$M$53,MATCH('Supersite Working-AW'!$AA7,'NGP Chairs CoChairs'!$A$2:$A$53,0),7)</f>
        <v>3039997682</v>
      </c>
      <c r="AL45">
        <v>1</v>
      </c>
    </row>
    <row r="46" spans="1:38" ht="17" x14ac:dyDescent="0.2">
      <c r="A46" s="3" t="s">
        <v>89</v>
      </c>
      <c r="B46" s="86">
        <v>821</v>
      </c>
      <c r="C46" s="86" t="s">
        <v>251</v>
      </c>
      <c r="D46" s="86" t="s">
        <v>252</v>
      </c>
      <c r="E46" s="86" t="s">
        <v>253</v>
      </c>
      <c r="F46" s="91" t="s">
        <v>254</v>
      </c>
      <c r="G46" s="86" t="s">
        <v>243</v>
      </c>
      <c r="H46" s="86"/>
      <c r="I46" s="86">
        <v>2</v>
      </c>
      <c r="J46" s="86">
        <v>10</v>
      </c>
      <c r="K46" s="86">
        <v>18</v>
      </c>
      <c r="L46" s="88">
        <v>577</v>
      </c>
      <c r="M46" s="89">
        <f>(L46*$M$2)</f>
        <v>14.425000000000001</v>
      </c>
      <c r="N46" s="89">
        <f>SUM(M42:M46)</f>
        <v>89.275000000000006</v>
      </c>
      <c r="O46" s="86" t="s">
        <v>160</v>
      </c>
      <c r="P46" s="93"/>
      <c r="Q46" s="93"/>
      <c r="R46" s="94" t="s">
        <v>8</v>
      </c>
      <c r="S46" s="94" t="s">
        <v>8</v>
      </c>
      <c r="T46" s="86"/>
      <c r="U46" s="86" t="s">
        <v>3</v>
      </c>
      <c r="V46" s="19"/>
      <c r="W46" s="19"/>
      <c r="X46" s="95">
        <v>118591584</v>
      </c>
      <c r="Y46" s="95">
        <v>147521014</v>
      </c>
      <c r="Z46" s="19">
        <v>107152870</v>
      </c>
      <c r="AA46" s="95"/>
      <c r="AB46" s="95"/>
      <c r="AC46" s="19" t="s">
        <v>97</v>
      </c>
      <c r="AD46" s="135" t="str">
        <f>+INDEX('NGP Chairs CoChairs'!$A$2:$M$53,MATCH('Supersite Working-AW'!$X8,'NGP Chairs CoChairs'!$A$2:$A$53,0),12)</f>
        <v>Kenneth Nova</v>
      </c>
      <c r="AE46" s="135" t="str">
        <f>+INDEX('NGP Chairs CoChairs'!$A$2:$M$53,MATCH('Supersite Working-AW'!$Y8,'NGP Chairs CoChairs'!$A$2:$A$53,0),12)</f>
        <v>Lilian Francklyn</v>
      </c>
      <c r="AF46" s="135" t="str">
        <f>+INDEX('NGP Chairs CoChairs'!$A$2:$M$53,MATCH('Supersite Working-AW'!$Z8,'NGP Chairs CoChairs'!$A$2:$A$53,0),12)</f>
        <v>Neil Fishman</v>
      </c>
      <c r="AG46" s="135" t="str">
        <f>+INDEX('NGP Chairs CoChairs'!$A$2:$M$53,MATCH('Supersite Working-AW'!$AA8,'NGP Chairs CoChairs'!$A$2:$A$53,0),12)</f>
        <v>Heather Baer</v>
      </c>
      <c r="AH46" s="69" t="str">
        <f>+INDEX('NGP Chairs CoChairs'!$A$2:$M$53,MATCH('Supersite Working-AW'!$X8,'NGP Chairs CoChairs'!$A$2:$A$53,0),7)</f>
        <v>3034786467</v>
      </c>
      <c r="AI46" s="69" t="str">
        <f>+INDEX('NGP Chairs CoChairs'!$A$2:$M$53,MATCH('Supersite Working-AW'!$Y8,'NGP Chairs CoChairs'!$A$2:$A$53,0),7)</f>
        <v>7202728398</v>
      </c>
      <c r="AJ46" s="69" t="str">
        <f>+INDEX('NGP Chairs CoChairs'!$A$2:$M$53,MATCH('Supersite Working-AW'!$Z8,'NGP Chairs CoChairs'!$A$2:$A$53,0),7)</f>
        <v>7209385326</v>
      </c>
      <c r="AK46" s="69" t="str">
        <f>+INDEX('NGP Chairs CoChairs'!$A$2:$M$53,MATCH('Supersite Working-AW'!$AA8,'NGP Chairs CoChairs'!$A$2:$A$53,0),7)</f>
        <v>3039997682</v>
      </c>
      <c r="AL46">
        <v>1</v>
      </c>
    </row>
    <row r="47" spans="1:38" ht="16" x14ac:dyDescent="0.2">
      <c r="A47" s="3" t="s">
        <v>132</v>
      </c>
      <c r="B47" s="86">
        <v>811</v>
      </c>
      <c r="C47" s="86" t="s">
        <v>264</v>
      </c>
      <c r="D47" s="86" t="s">
        <v>265</v>
      </c>
      <c r="E47" s="86" t="s">
        <v>266</v>
      </c>
      <c r="F47" s="19" t="s">
        <v>267</v>
      </c>
      <c r="G47" s="86" t="s">
        <v>243</v>
      </c>
      <c r="H47" s="86"/>
      <c r="I47" s="86">
        <v>2</v>
      </c>
      <c r="J47" s="86">
        <v>10</v>
      </c>
      <c r="K47" s="86">
        <v>18</v>
      </c>
      <c r="L47" s="88">
        <v>626</v>
      </c>
      <c r="M47" s="89">
        <f>(L47*$M$2)</f>
        <v>15.65</v>
      </c>
      <c r="N47" s="89"/>
      <c r="O47" s="86" t="s">
        <v>160</v>
      </c>
      <c r="P47" s="86"/>
      <c r="Q47" s="86"/>
      <c r="R47" s="100" t="s">
        <v>132</v>
      </c>
      <c r="S47" s="100" t="s">
        <v>8</v>
      </c>
      <c r="T47" s="86"/>
      <c r="U47" s="86" t="s">
        <v>3</v>
      </c>
      <c r="V47" s="19"/>
      <c r="W47" s="19"/>
      <c r="X47" s="95">
        <v>107153029</v>
      </c>
      <c r="Y47" s="95">
        <v>107152549</v>
      </c>
      <c r="Z47" s="95">
        <v>107152440</v>
      </c>
      <c r="AA47" s="19"/>
      <c r="AB47" s="19"/>
      <c r="AC47" s="19"/>
      <c r="AD47" s="135" t="str">
        <f>+INDEX('NGP Chairs CoChairs'!$A$2:$M$53,MATCH('Supersite Working-AW'!$X21,'NGP Chairs CoChairs'!$A$2:$A$53,0),12)</f>
        <v>Kenneth Nova</v>
      </c>
      <c r="AE47" s="135" t="str">
        <f>+INDEX('NGP Chairs CoChairs'!$A$2:$M$53,MATCH('Supersite Working-AW'!$Y21,'NGP Chairs CoChairs'!$A$2:$A$53,0),12)</f>
        <v>Lilian Francklyn</v>
      </c>
      <c r="AF47" s="135" t="str">
        <f>+INDEX('NGP Chairs CoChairs'!$A$2:$M$53,MATCH('Supersite Working-AW'!$Z21,'NGP Chairs CoChairs'!$A$2:$A$53,0),12)</f>
        <v>Neil Fishman</v>
      </c>
      <c r="AG47" s="135" t="str">
        <f>+INDEX('NGP Chairs CoChairs'!$A$2:$M$53,MATCH('Supersite Working-AW'!$AA21,'NGP Chairs CoChairs'!$A$2:$A$53,0),12)</f>
        <v>Heather Baer</v>
      </c>
      <c r="AH47" s="69" t="str">
        <f>+INDEX('NGP Chairs CoChairs'!$A$2:$M$53,MATCH('Supersite Working-AW'!$X21,'NGP Chairs CoChairs'!$A$2:$A$53,0),7)</f>
        <v>3034786467</v>
      </c>
      <c r="AI47" s="69" t="str">
        <f>+INDEX('NGP Chairs CoChairs'!$A$2:$M$53,MATCH('Supersite Working-AW'!$Y21,'NGP Chairs CoChairs'!$A$2:$A$53,0),7)</f>
        <v>7202728398</v>
      </c>
      <c r="AJ47" s="69" t="str">
        <f>+INDEX('NGP Chairs CoChairs'!$A$2:$M$53,MATCH('Supersite Working-AW'!$Z21,'NGP Chairs CoChairs'!$A$2:$A$53,0),7)</f>
        <v>7209385326</v>
      </c>
      <c r="AK47" s="69" t="str">
        <f>+INDEX('NGP Chairs CoChairs'!$A$2:$M$53,MATCH('Supersite Working-AW'!$AA21,'NGP Chairs CoChairs'!$A$2:$A$53,0),7)</f>
        <v>3039997682</v>
      </c>
      <c r="AL47">
        <v>2</v>
      </c>
    </row>
    <row r="48" spans="1:38" ht="16" x14ac:dyDescent="0.2">
      <c r="A48" s="3" t="s">
        <v>132</v>
      </c>
      <c r="B48" s="86">
        <v>812</v>
      </c>
      <c r="C48" s="86" t="s">
        <v>264</v>
      </c>
      <c r="D48" s="86" t="s">
        <v>265</v>
      </c>
      <c r="E48" s="86" t="s">
        <v>266</v>
      </c>
      <c r="F48" s="19" t="s">
        <v>267</v>
      </c>
      <c r="G48" s="86" t="s">
        <v>243</v>
      </c>
      <c r="H48" s="86"/>
      <c r="I48" s="86">
        <v>2</v>
      </c>
      <c r="J48" s="86">
        <v>10</v>
      </c>
      <c r="K48" s="86">
        <v>18</v>
      </c>
      <c r="L48" s="88">
        <v>434</v>
      </c>
      <c r="M48" s="89">
        <f>(L48*$M$2)</f>
        <v>10.850000000000001</v>
      </c>
      <c r="N48" s="89"/>
      <c r="O48" s="86" t="s">
        <v>160</v>
      </c>
      <c r="P48" s="86"/>
      <c r="Q48" s="86"/>
      <c r="R48" s="100" t="s">
        <v>132</v>
      </c>
      <c r="S48" s="100" t="s">
        <v>8</v>
      </c>
      <c r="T48" s="86"/>
      <c r="U48" s="86" t="s">
        <v>3</v>
      </c>
      <c r="V48" s="19"/>
      <c r="W48" s="19"/>
      <c r="X48" s="95">
        <v>107153029</v>
      </c>
      <c r="Y48" s="95">
        <v>107152549</v>
      </c>
      <c r="Z48" s="95">
        <v>107152440</v>
      </c>
      <c r="AA48" s="19"/>
      <c r="AB48" s="19"/>
      <c r="AC48" s="19"/>
      <c r="AD48" s="135" t="str">
        <f>+INDEX('NGP Chairs CoChairs'!$A$2:$M$53,MATCH('Supersite Working-AW'!$X22,'NGP Chairs CoChairs'!$A$2:$A$53,0),12)</f>
        <v>Candace Bowie</v>
      </c>
      <c r="AE48" s="135" t="str">
        <f>+INDEX('NGP Chairs CoChairs'!$A$2:$M$53,MATCH('Supersite Working-AW'!$Y22,'NGP Chairs CoChairs'!$A$2:$A$53,0),12)</f>
        <v>Peter Dawson</v>
      </c>
      <c r="AF48" s="135" t="e">
        <f>+INDEX('NGP Chairs CoChairs'!$A$2:$M$53,MATCH('Supersite Working-AW'!$Z22,'NGP Chairs CoChairs'!$A$2:$A$53,0),12)</f>
        <v>#N/A</v>
      </c>
      <c r="AG48" s="135" t="e">
        <f>+INDEX('NGP Chairs CoChairs'!$A$2:$M$53,MATCH('Supersite Working-AW'!$AA22,'NGP Chairs CoChairs'!$A$2:$A$53,0),12)</f>
        <v>#N/A</v>
      </c>
      <c r="AH48" s="69" t="str">
        <f>+INDEX('NGP Chairs CoChairs'!$A$2:$M$53,MATCH('Supersite Working-AW'!$X22,'NGP Chairs CoChairs'!$A$2:$A$53,0),7)</f>
        <v>7204955088</v>
      </c>
      <c r="AI48" s="69" t="str">
        <f>+INDEX('NGP Chairs CoChairs'!$A$2:$M$53,MATCH('Supersite Working-AW'!$Y22,'NGP Chairs CoChairs'!$A$2:$A$53,0),7)</f>
        <v>3038172531</v>
      </c>
      <c r="AJ48" s="69" t="e">
        <f>+INDEX('NGP Chairs CoChairs'!$A$2:$M$53,MATCH('Supersite Working-AW'!$Z22,'NGP Chairs CoChairs'!$A$2:$A$53,0),7)</f>
        <v>#N/A</v>
      </c>
      <c r="AK48" s="69" t="e">
        <f>+INDEX('NGP Chairs CoChairs'!$A$2:$M$53,MATCH('Supersite Working-AW'!$AA22,'NGP Chairs CoChairs'!$A$2:$A$53,0),7)</f>
        <v>#N/A</v>
      </c>
      <c r="AL48">
        <v>2</v>
      </c>
    </row>
    <row r="49" spans="1:38" ht="16" x14ac:dyDescent="0.2">
      <c r="A49" s="3" t="s">
        <v>132</v>
      </c>
      <c r="B49" s="86">
        <v>813</v>
      </c>
      <c r="C49" s="86" t="s">
        <v>264</v>
      </c>
      <c r="D49" s="86" t="s">
        <v>265</v>
      </c>
      <c r="E49" s="86" t="s">
        <v>266</v>
      </c>
      <c r="F49" s="19" t="s">
        <v>267</v>
      </c>
      <c r="G49" s="86" t="s">
        <v>243</v>
      </c>
      <c r="H49" s="86"/>
      <c r="I49" s="86">
        <v>2</v>
      </c>
      <c r="J49" s="86">
        <v>10</v>
      </c>
      <c r="K49" s="86">
        <v>18</v>
      </c>
      <c r="L49" s="88">
        <v>586</v>
      </c>
      <c r="M49" s="89">
        <f>(L49*$M$2)</f>
        <v>14.65</v>
      </c>
      <c r="N49" s="89"/>
      <c r="O49" s="86" t="s">
        <v>160</v>
      </c>
      <c r="P49" s="86"/>
      <c r="Q49" s="86"/>
      <c r="R49" s="100" t="s">
        <v>132</v>
      </c>
      <c r="S49" s="100" t="s">
        <v>8</v>
      </c>
      <c r="T49" s="86"/>
      <c r="U49" s="86" t="s">
        <v>3</v>
      </c>
      <c r="V49" s="19"/>
      <c r="W49" s="19"/>
      <c r="X49" s="95">
        <v>107153029</v>
      </c>
      <c r="Y49" s="95">
        <v>107152549</v>
      </c>
      <c r="Z49" s="95">
        <v>107152440</v>
      </c>
      <c r="AA49" s="19"/>
      <c r="AB49" s="19"/>
      <c r="AC49" s="19"/>
      <c r="AD49" s="135" t="str">
        <f>+INDEX('NGP Chairs CoChairs'!$A$2:$M$53,MATCH('Supersite Working-AW'!$X23,'NGP Chairs CoChairs'!$A$2:$A$53,0),12)</f>
        <v>Candace Bowie</v>
      </c>
      <c r="AE49" s="135" t="str">
        <f>+INDEX('NGP Chairs CoChairs'!$A$2:$M$53,MATCH('Supersite Working-AW'!$Y23,'NGP Chairs CoChairs'!$A$2:$A$53,0),12)</f>
        <v>Peter Dawson</v>
      </c>
      <c r="AF49" s="135" t="e">
        <f>+INDEX('NGP Chairs CoChairs'!$A$2:$M$53,MATCH('Supersite Working-AW'!$Z23,'NGP Chairs CoChairs'!$A$2:$A$53,0),12)</f>
        <v>#N/A</v>
      </c>
      <c r="AG49" s="135" t="e">
        <f>+INDEX('NGP Chairs CoChairs'!$A$2:$M$53,MATCH('Supersite Working-AW'!$AA23,'NGP Chairs CoChairs'!$A$2:$A$53,0),12)</f>
        <v>#N/A</v>
      </c>
      <c r="AH49" s="69" t="str">
        <f>+INDEX('NGP Chairs CoChairs'!$A$2:$M$53,MATCH('Supersite Working-AW'!$X23,'NGP Chairs CoChairs'!$A$2:$A$53,0),7)</f>
        <v>7204955088</v>
      </c>
      <c r="AI49" s="69" t="str">
        <f>+INDEX('NGP Chairs CoChairs'!$A$2:$M$53,MATCH('Supersite Working-AW'!$Y23,'NGP Chairs CoChairs'!$A$2:$A$53,0),7)</f>
        <v>3038172531</v>
      </c>
      <c r="AJ49" s="69" t="e">
        <f>+INDEX('NGP Chairs CoChairs'!$A$2:$M$53,MATCH('Supersite Working-AW'!$Z23,'NGP Chairs CoChairs'!$A$2:$A$53,0),7)</f>
        <v>#N/A</v>
      </c>
      <c r="AK49" s="69" t="e">
        <f>+INDEX('NGP Chairs CoChairs'!$A$2:$M$53,MATCH('Supersite Working-AW'!$AA23,'NGP Chairs CoChairs'!$A$2:$A$53,0),7)</f>
        <v>#N/A</v>
      </c>
      <c r="AL49">
        <v>2</v>
      </c>
    </row>
    <row r="50" spans="1:38" ht="16" x14ac:dyDescent="0.2">
      <c r="A50" s="3" t="s">
        <v>132</v>
      </c>
      <c r="B50" s="86">
        <v>816</v>
      </c>
      <c r="C50" s="86" t="s">
        <v>264</v>
      </c>
      <c r="D50" s="86" t="s">
        <v>265</v>
      </c>
      <c r="E50" s="86" t="s">
        <v>266</v>
      </c>
      <c r="F50" s="19" t="s">
        <v>267</v>
      </c>
      <c r="G50" s="86" t="s">
        <v>243</v>
      </c>
      <c r="H50" s="86"/>
      <c r="I50" s="86">
        <v>2</v>
      </c>
      <c r="J50" s="86">
        <v>10</v>
      </c>
      <c r="K50" s="86">
        <v>18</v>
      </c>
      <c r="L50" s="88">
        <v>741</v>
      </c>
      <c r="M50" s="89">
        <f>(L50*$M$2)</f>
        <v>18.525000000000002</v>
      </c>
      <c r="N50" s="89"/>
      <c r="O50" s="86" t="s">
        <v>160</v>
      </c>
      <c r="P50" s="19"/>
      <c r="Q50" s="19"/>
      <c r="R50" s="100" t="s">
        <v>132</v>
      </c>
      <c r="S50" s="100" t="s">
        <v>8</v>
      </c>
      <c r="T50" s="86"/>
      <c r="U50" s="86" t="s">
        <v>3</v>
      </c>
      <c r="V50" s="19"/>
      <c r="W50" s="19"/>
      <c r="X50" s="95">
        <v>107153029</v>
      </c>
      <c r="Y50" s="95">
        <v>107152549</v>
      </c>
      <c r="Z50" s="95">
        <v>107152440</v>
      </c>
      <c r="AA50" s="19"/>
      <c r="AB50" s="19"/>
      <c r="AC50" s="19"/>
      <c r="AD50" s="135" t="str">
        <f>+INDEX('NGP Chairs CoChairs'!$A$2:$M$53,MATCH('Supersite Working-AW'!$X26,'NGP Chairs CoChairs'!$A$2:$A$53,0),12)</f>
        <v>Guy Errickson</v>
      </c>
      <c r="AE50" s="135" t="str">
        <f>+INDEX('NGP Chairs CoChairs'!$A$2:$M$53,MATCH('Supersite Working-AW'!$Y26,'NGP Chairs CoChairs'!$A$2:$A$53,0),12)</f>
        <v>Katie Malzbender</v>
      </c>
      <c r="AF50" s="135" t="str">
        <f>+INDEX('NGP Chairs CoChairs'!$A$2:$M$53,MATCH('Supersite Working-AW'!$Z26,'NGP Chairs CoChairs'!$A$2:$A$53,0),12)</f>
        <v>Candace Bowie</v>
      </c>
      <c r="AG50" s="135" t="str">
        <f>+INDEX('NGP Chairs CoChairs'!$A$2:$M$53,MATCH('Supersite Working-AW'!$AA26,'NGP Chairs CoChairs'!$A$2:$A$53,0),12)</f>
        <v>Peter Dawson</v>
      </c>
      <c r="AH50" s="69" t="str">
        <f>+INDEX('NGP Chairs CoChairs'!$A$2:$M$53,MATCH('Supersite Working-AW'!$X26,'NGP Chairs CoChairs'!$A$2:$A$53,0),7)</f>
        <v>7202334208</v>
      </c>
      <c r="AI50" s="69" t="str">
        <f>+INDEX('NGP Chairs CoChairs'!$A$2:$M$53,MATCH('Supersite Working-AW'!$Y26,'NGP Chairs CoChairs'!$A$2:$A$53,0),7)</f>
        <v>3038867847</v>
      </c>
      <c r="AJ50" s="69" t="str">
        <f>+INDEX('NGP Chairs CoChairs'!$A$2:$M$53,MATCH('Supersite Working-AW'!$Z26,'NGP Chairs CoChairs'!$A$2:$A$53,0),7)</f>
        <v>7204955088</v>
      </c>
      <c r="AK50" s="69" t="str">
        <f>+INDEX('NGP Chairs CoChairs'!$A$2:$M$53,MATCH('Supersite Working-AW'!$AA26,'NGP Chairs CoChairs'!$A$2:$A$53,0),7)</f>
        <v>3038172531</v>
      </c>
      <c r="AL50">
        <v>2</v>
      </c>
    </row>
    <row r="51" spans="1:38" ht="17" x14ac:dyDescent="0.2">
      <c r="A51" s="3" t="s">
        <v>132</v>
      </c>
      <c r="B51" s="86">
        <v>803</v>
      </c>
      <c r="C51" s="86" t="s">
        <v>268</v>
      </c>
      <c r="D51" s="86" t="s">
        <v>269</v>
      </c>
      <c r="E51" s="86" t="s">
        <v>270</v>
      </c>
      <c r="F51" s="19" t="s">
        <v>267</v>
      </c>
      <c r="G51" s="86" t="s">
        <v>243</v>
      </c>
      <c r="H51" s="101" t="s">
        <v>273</v>
      </c>
      <c r="I51" s="86">
        <v>2</v>
      </c>
      <c r="J51" s="86">
        <v>10</v>
      </c>
      <c r="K51" s="86">
        <v>18</v>
      </c>
      <c r="L51" s="88">
        <v>1010</v>
      </c>
      <c r="M51" s="89">
        <f>(L51*$M$2)</f>
        <v>25.25</v>
      </c>
      <c r="N51" s="89"/>
      <c r="O51" s="86" t="s">
        <v>160</v>
      </c>
      <c r="P51" s="86" t="s">
        <v>274</v>
      </c>
      <c r="Q51" s="86"/>
      <c r="R51" s="102" t="s">
        <v>132</v>
      </c>
      <c r="S51" s="102" t="s">
        <v>8</v>
      </c>
      <c r="T51" s="86"/>
      <c r="U51" s="86" t="s">
        <v>3</v>
      </c>
      <c r="V51" s="19"/>
      <c r="W51" s="19"/>
      <c r="X51" s="95">
        <v>107153029</v>
      </c>
      <c r="Y51" s="95">
        <v>107152549</v>
      </c>
      <c r="Z51" s="95">
        <v>107152440</v>
      </c>
      <c r="AA51" s="19"/>
      <c r="AB51" s="19"/>
      <c r="AC51" s="19"/>
      <c r="AD51" s="135" t="str">
        <f>+INDEX('NGP Chairs CoChairs'!$A$2:$M$53,MATCH('Supersite Working-AW'!$X16,'NGP Chairs CoChairs'!$A$2:$A$53,0),12)</f>
        <v>Candace Bowie</v>
      </c>
      <c r="AE51" s="135" t="str">
        <f>+INDEX('NGP Chairs CoChairs'!$A$2:$M$53,MATCH('Supersite Working-AW'!$Y16,'NGP Chairs CoChairs'!$A$2:$A$53,0),12)</f>
        <v>Peter Dawson</v>
      </c>
      <c r="AF51" s="135" t="e">
        <f>+INDEX('NGP Chairs CoChairs'!$A$2:$M$53,MATCH('Supersite Working-AW'!$Z16,'NGP Chairs CoChairs'!$A$2:$A$53,0),12)</f>
        <v>#N/A</v>
      </c>
      <c r="AG51" s="135" t="e">
        <f>+INDEX('NGP Chairs CoChairs'!$A$2:$M$53,MATCH('Supersite Working-AW'!$AA16,'NGP Chairs CoChairs'!$A$2:$A$53,0),12)</f>
        <v>#N/A</v>
      </c>
      <c r="AH51" s="69" t="str">
        <f>+INDEX('NGP Chairs CoChairs'!$A$2:$M$53,MATCH('Supersite Working-AW'!$X16,'NGP Chairs CoChairs'!$A$2:$A$53,0),7)</f>
        <v>7204955088</v>
      </c>
      <c r="AI51" s="69" t="str">
        <f>+INDEX('NGP Chairs CoChairs'!$A$2:$M$53,MATCH('Supersite Working-AW'!$Y16,'NGP Chairs CoChairs'!$A$2:$A$53,0),7)</f>
        <v>3038172531</v>
      </c>
      <c r="AJ51" s="69" t="e">
        <f>+INDEX('NGP Chairs CoChairs'!$A$2:$M$53,MATCH('Supersite Working-AW'!$Z16,'NGP Chairs CoChairs'!$A$2:$A$53,0),7)</f>
        <v>#N/A</v>
      </c>
      <c r="AK51" s="69" t="e">
        <f>+INDEX('NGP Chairs CoChairs'!$A$2:$M$53,MATCH('Supersite Working-AW'!$AA16,'NGP Chairs CoChairs'!$A$2:$A$53,0),7)</f>
        <v>#N/A</v>
      </c>
      <c r="AL51">
        <v>2</v>
      </c>
    </row>
    <row r="52" spans="1:38" ht="16" x14ac:dyDescent="0.2">
      <c r="A52" s="3" t="s">
        <v>132</v>
      </c>
      <c r="B52" s="86">
        <v>804</v>
      </c>
      <c r="C52" s="86" t="s">
        <v>268</v>
      </c>
      <c r="D52" s="86" t="s">
        <v>269</v>
      </c>
      <c r="E52" s="86" t="s">
        <v>270</v>
      </c>
      <c r="F52" s="19" t="s">
        <v>267</v>
      </c>
      <c r="G52" s="86" t="s">
        <v>243</v>
      </c>
      <c r="H52" s="86"/>
      <c r="I52" s="86">
        <v>2</v>
      </c>
      <c r="J52" s="86">
        <v>49</v>
      </c>
      <c r="K52" s="86">
        <v>18</v>
      </c>
      <c r="L52" s="88">
        <v>711</v>
      </c>
      <c r="M52" s="89">
        <f>(L52*$M$2)</f>
        <v>17.775000000000002</v>
      </c>
      <c r="N52" s="89"/>
      <c r="O52" s="86" t="s">
        <v>160</v>
      </c>
      <c r="P52" s="86"/>
      <c r="Q52" s="86"/>
      <c r="R52" s="102" t="s">
        <v>132</v>
      </c>
      <c r="S52" s="102" t="s">
        <v>8</v>
      </c>
      <c r="T52" s="86"/>
      <c r="U52" s="86" t="s">
        <v>3</v>
      </c>
      <c r="V52" s="19"/>
      <c r="W52" s="19"/>
      <c r="X52" s="95">
        <v>107153029</v>
      </c>
      <c r="Y52" s="95">
        <v>107152549</v>
      </c>
      <c r="Z52" s="95">
        <v>107152440</v>
      </c>
      <c r="AA52" s="19"/>
      <c r="AB52" s="19"/>
      <c r="AC52" s="19"/>
      <c r="AD52" s="135" t="str">
        <f>+INDEX('NGP Chairs CoChairs'!$A$2:$M$53,MATCH('Supersite Working-AW'!$X17,'NGP Chairs CoChairs'!$A$2:$A$53,0),12)</f>
        <v>Kenneth Nova</v>
      </c>
      <c r="AE52" s="135" t="str">
        <f>+INDEX('NGP Chairs CoChairs'!$A$2:$M$53,MATCH('Supersite Working-AW'!$Y17,'NGP Chairs CoChairs'!$A$2:$A$53,0),12)</f>
        <v>Lilian Francklyn</v>
      </c>
      <c r="AF52" s="135" t="str">
        <f>+INDEX('NGP Chairs CoChairs'!$A$2:$M$53,MATCH('Supersite Working-AW'!$Z17,'NGP Chairs CoChairs'!$A$2:$A$53,0),12)</f>
        <v>Neil Fishman</v>
      </c>
      <c r="AG52" s="135" t="str">
        <f>+INDEX('NGP Chairs CoChairs'!$A$2:$M$53,MATCH('Supersite Working-AW'!$AA17,'NGP Chairs CoChairs'!$A$2:$A$53,0),12)</f>
        <v>Heather Baer</v>
      </c>
      <c r="AH52" s="69" t="str">
        <f>+INDEX('NGP Chairs CoChairs'!$A$2:$M$53,MATCH('Supersite Working-AW'!$X17,'NGP Chairs CoChairs'!$A$2:$A$53,0),7)</f>
        <v>3034786467</v>
      </c>
      <c r="AI52" s="69" t="str">
        <f>+INDEX('NGP Chairs CoChairs'!$A$2:$M$53,MATCH('Supersite Working-AW'!$Y17,'NGP Chairs CoChairs'!$A$2:$A$53,0),7)</f>
        <v>7202728398</v>
      </c>
      <c r="AJ52" s="69" t="str">
        <f>+INDEX('NGP Chairs CoChairs'!$A$2:$M$53,MATCH('Supersite Working-AW'!$Z17,'NGP Chairs CoChairs'!$A$2:$A$53,0),7)</f>
        <v>7209385326</v>
      </c>
      <c r="AK52" s="69" t="str">
        <f>+INDEX('NGP Chairs CoChairs'!$A$2:$M$53,MATCH('Supersite Working-AW'!$AA17,'NGP Chairs CoChairs'!$A$2:$A$53,0),7)</f>
        <v>3039997682</v>
      </c>
      <c r="AL52">
        <v>2</v>
      </c>
    </row>
    <row r="53" spans="1:38" ht="16" x14ac:dyDescent="0.2">
      <c r="A53" s="3" t="s">
        <v>132</v>
      </c>
      <c r="B53" s="86">
        <v>805</v>
      </c>
      <c r="C53" s="86" t="s">
        <v>268</v>
      </c>
      <c r="D53" s="86" t="s">
        <v>269</v>
      </c>
      <c r="E53" s="86" t="s">
        <v>270</v>
      </c>
      <c r="F53" s="19" t="s">
        <v>267</v>
      </c>
      <c r="G53" s="86" t="s">
        <v>243</v>
      </c>
      <c r="H53" s="86"/>
      <c r="I53" s="86">
        <v>2</v>
      </c>
      <c r="J53" s="86">
        <v>49</v>
      </c>
      <c r="K53" s="86">
        <v>18</v>
      </c>
      <c r="L53" s="88">
        <v>684</v>
      </c>
      <c r="M53" s="89">
        <f>(L53*$M$2)</f>
        <v>17.100000000000001</v>
      </c>
      <c r="N53" s="89"/>
      <c r="O53" s="86" t="s">
        <v>160</v>
      </c>
      <c r="P53" s="86"/>
      <c r="Q53" s="86"/>
      <c r="R53" s="102" t="s">
        <v>132</v>
      </c>
      <c r="S53" s="102" t="s">
        <v>8</v>
      </c>
      <c r="T53" s="86"/>
      <c r="U53" s="86" t="s">
        <v>3</v>
      </c>
      <c r="V53" s="19"/>
      <c r="W53" s="19"/>
      <c r="X53" s="95">
        <v>107153029</v>
      </c>
      <c r="Y53" s="95">
        <v>107152549</v>
      </c>
      <c r="Z53" s="95">
        <v>107152440</v>
      </c>
      <c r="AA53" s="19"/>
      <c r="AB53" s="19"/>
      <c r="AC53" s="19"/>
      <c r="AD53" s="135" t="str">
        <f>+INDEX('NGP Chairs CoChairs'!$A$2:$M$53,MATCH('Supersite Working-AW'!$X18,'NGP Chairs CoChairs'!$A$2:$A$53,0),12)</f>
        <v>Kenneth Nova</v>
      </c>
      <c r="AE53" s="135" t="str">
        <f>+INDEX('NGP Chairs CoChairs'!$A$2:$M$53,MATCH('Supersite Working-AW'!$Y18,'NGP Chairs CoChairs'!$A$2:$A$53,0),12)</f>
        <v>Lilian Francklyn</v>
      </c>
      <c r="AF53" s="135" t="str">
        <f>+INDEX('NGP Chairs CoChairs'!$A$2:$M$53,MATCH('Supersite Working-AW'!$Z18,'NGP Chairs CoChairs'!$A$2:$A$53,0),12)</f>
        <v>Neil Fishman</v>
      </c>
      <c r="AG53" s="135" t="str">
        <f>+INDEX('NGP Chairs CoChairs'!$A$2:$M$53,MATCH('Supersite Working-AW'!$AA18,'NGP Chairs CoChairs'!$A$2:$A$53,0),12)</f>
        <v>Heather Baer</v>
      </c>
      <c r="AH53" s="69" t="str">
        <f>+INDEX('NGP Chairs CoChairs'!$A$2:$M$53,MATCH('Supersite Working-AW'!$X18,'NGP Chairs CoChairs'!$A$2:$A$53,0),7)</f>
        <v>3034786467</v>
      </c>
      <c r="AI53" s="69" t="str">
        <f>+INDEX('NGP Chairs CoChairs'!$A$2:$M$53,MATCH('Supersite Working-AW'!$Y18,'NGP Chairs CoChairs'!$A$2:$A$53,0),7)</f>
        <v>7202728398</v>
      </c>
      <c r="AJ53" s="69" t="str">
        <f>+INDEX('NGP Chairs CoChairs'!$A$2:$M$53,MATCH('Supersite Working-AW'!$Z18,'NGP Chairs CoChairs'!$A$2:$A$53,0),7)</f>
        <v>7209385326</v>
      </c>
      <c r="AK53" s="69" t="str">
        <f>+INDEX('NGP Chairs CoChairs'!$A$2:$M$53,MATCH('Supersite Working-AW'!$AA18,'NGP Chairs CoChairs'!$A$2:$A$53,0),7)</f>
        <v>3039997682</v>
      </c>
      <c r="AL53">
        <v>2</v>
      </c>
    </row>
    <row r="54" spans="1:38" ht="16" x14ac:dyDescent="0.2">
      <c r="A54" s="3" t="s">
        <v>132</v>
      </c>
      <c r="B54" s="86">
        <v>806</v>
      </c>
      <c r="C54" s="86" t="s">
        <v>268</v>
      </c>
      <c r="D54" s="86" t="s">
        <v>269</v>
      </c>
      <c r="E54" s="86" t="s">
        <v>270</v>
      </c>
      <c r="F54" s="19" t="s">
        <v>267</v>
      </c>
      <c r="G54" s="86" t="s">
        <v>243</v>
      </c>
      <c r="H54" s="86"/>
      <c r="I54" s="86">
        <v>2</v>
      </c>
      <c r="J54" s="86">
        <v>10</v>
      </c>
      <c r="K54" s="86">
        <v>18</v>
      </c>
      <c r="L54" s="88">
        <v>720</v>
      </c>
      <c r="M54" s="89">
        <f>(L54*$M$2)</f>
        <v>18</v>
      </c>
      <c r="N54" s="89"/>
      <c r="O54" s="86" t="s">
        <v>160</v>
      </c>
      <c r="P54" s="86"/>
      <c r="Q54" s="86"/>
      <c r="R54" s="102" t="s">
        <v>132</v>
      </c>
      <c r="S54" s="102" t="s">
        <v>8</v>
      </c>
      <c r="T54" s="86"/>
      <c r="U54" s="86" t="s">
        <v>3</v>
      </c>
      <c r="V54" s="19"/>
      <c r="W54" s="19"/>
      <c r="X54" s="95">
        <v>107153029</v>
      </c>
      <c r="Y54" s="95">
        <v>107152549</v>
      </c>
      <c r="Z54" s="95">
        <v>107152440</v>
      </c>
      <c r="AA54" s="19"/>
      <c r="AB54" s="19"/>
      <c r="AC54" s="19"/>
      <c r="AD54" s="135" t="str">
        <f>+INDEX('NGP Chairs CoChairs'!$A$2:$M$53,MATCH('Supersite Working-AW'!$X19,'NGP Chairs CoChairs'!$A$2:$A$53,0),12)</f>
        <v>Kenneth Nova</v>
      </c>
      <c r="AE54" s="135" t="str">
        <f>+INDEX('NGP Chairs CoChairs'!$A$2:$M$53,MATCH('Supersite Working-AW'!$Y19,'NGP Chairs CoChairs'!$A$2:$A$53,0),12)</f>
        <v>Lilian Francklyn</v>
      </c>
      <c r="AF54" s="135" t="str">
        <f>+INDEX('NGP Chairs CoChairs'!$A$2:$M$53,MATCH('Supersite Working-AW'!$Z19,'NGP Chairs CoChairs'!$A$2:$A$53,0),12)</f>
        <v>Neil Fishman</v>
      </c>
      <c r="AG54" s="135" t="str">
        <f>+INDEX('NGP Chairs CoChairs'!$A$2:$M$53,MATCH('Supersite Working-AW'!$AA19,'NGP Chairs CoChairs'!$A$2:$A$53,0),12)</f>
        <v>Heather Baer</v>
      </c>
      <c r="AH54" s="69" t="str">
        <f>+INDEX('NGP Chairs CoChairs'!$A$2:$M$53,MATCH('Supersite Working-AW'!$X19,'NGP Chairs CoChairs'!$A$2:$A$53,0),7)</f>
        <v>3034786467</v>
      </c>
      <c r="AI54" s="69" t="str">
        <f>+INDEX('NGP Chairs CoChairs'!$A$2:$M$53,MATCH('Supersite Working-AW'!$Y19,'NGP Chairs CoChairs'!$A$2:$A$53,0),7)</f>
        <v>7202728398</v>
      </c>
      <c r="AJ54" s="69" t="str">
        <f>+INDEX('NGP Chairs CoChairs'!$A$2:$M$53,MATCH('Supersite Working-AW'!$Z19,'NGP Chairs CoChairs'!$A$2:$A$53,0),7)</f>
        <v>7209385326</v>
      </c>
      <c r="AK54" s="69" t="str">
        <f>+INDEX('NGP Chairs CoChairs'!$A$2:$M$53,MATCH('Supersite Working-AW'!$AA19,'NGP Chairs CoChairs'!$A$2:$A$53,0),7)</f>
        <v>3039997682</v>
      </c>
      <c r="AL54">
        <v>2</v>
      </c>
    </row>
    <row r="55" spans="1:38" ht="16" x14ac:dyDescent="0.2">
      <c r="A55" s="3" t="s">
        <v>132</v>
      </c>
      <c r="B55" s="86">
        <v>807</v>
      </c>
      <c r="C55" s="86" t="s">
        <v>268</v>
      </c>
      <c r="D55" s="86" t="s">
        <v>269</v>
      </c>
      <c r="E55" s="86" t="s">
        <v>270</v>
      </c>
      <c r="F55" s="19" t="s">
        <v>267</v>
      </c>
      <c r="G55" s="86" t="s">
        <v>243</v>
      </c>
      <c r="H55" s="86"/>
      <c r="I55" s="86">
        <v>2</v>
      </c>
      <c r="J55" s="86">
        <v>10</v>
      </c>
      <c r="K55" s="86">
        <v>18</v>
      </c>
      <c r="L55" s="88">
        <v>615</v>
      </c>
      <c r="M55" s="89">
        <f>(L55*$M$2)</f>
        <v>15.375</v>
      </c>
      <c r="N55" s="89"/>
      <c r="O55" s="86" t="s">
        <v>160</v>
      </c>
      <c r="P55" s="86"/>
      <c r="Q55" s="86"/>
      <c r="R55" s="102" t="s">
        <v>132</v>
      </c>
      <c r="S55" s="102" t="s">
        <v>8</v>
      </c>
      <c r="T55" s="86"/>
      <c r="U55" s="86" t="s">
        <v>3</v>
      </c>
      <c r="V55" s="19"/>
      <c r="W55" s="19"/>
      <c r="X55" s="95">
        <v>107153029</v>
      </c>
      <c r="Y55" s="95">
        <v>107152549</v>
      </c>
      <c r="Z55" s="95">
        <v>107152440</v>
      </c>
      <c r="AA55" s="19"/>
      <c r="AB55" s="19"/>
      <c r="AC55" s="19"/>
      <c r="AD55" s="135" t="str">
        <f>+INDEX('NGP Chairs CoChairs'!$A$2:$M$53,MATCH('Supersite Working-AW'!$X20,'NGP Chairs CoChairs'!$A$2:$A$53,0),12)</f>
        <v>Kenneth Nova</v>
      </c>
      <c r="AE55" s="135" t="str">
        <f>+INDEX('NGP Chairs CoChairs'!$A$2:$M$53,MATCH('Supersite Working-AW'!$Y20,'NGP Chairs CoChairs'!$A$2:$A$53,0),12)</f>
        <v>Lilian Francklyn</v>
      </c>
      <c r="AF55" s="135" t="str">
        <f>+INDEX('NGP Chairs CoChairs'!$A$2:$M$53,MATCH('Supersite Working-AW'!$Z20,'NGP Chairs CoChairs'!$A$2:$A$53,0),12)</f>
        <v>Neil Fishman</v>
      </c>
      <c r="AG55" s="135" t="str">
        <f>+INDEX('NGP Chairs CoChairs'!$A$2:$M$53,MATCH('Supersite Working-AW'!$AA20,'NGP Chairs CoChairs'!$A$2:$A$53,0),12)</f>
        <v>Heather Baer</v>
      </c>
      <c r="AH55" s="69" t="str">
        <f>+INDEX('NGP Chairs CoChairs'!$A$2:$M$53,MATCH('Supersite Working-AW'!$X20,'NGP Chairs CoChairs'!$A$2:$A$53,0),7)</f>
        <v>3034786467</v>
      </c>
      <c r="AI55" s="69" t="str">
        <f>+INDEX('NGP Chairs CoChairs'!$A$2:$M$53,MATCH('Supersite Working-AW'!$Y20,'NGP Chairs CoChairs'!$A$2:$A$53,0),7)</f>
        <v>7202728398</v>
      </c>
      <c r="AJ55" s="69" t="str">
        <f>+INDEX('NGP Chairs CoChairs'!$A$2:$M$53,MATCH('Supersite Working-AW'!$Z20,'NGP Chairs CoChairs'!$A$2:$A$53,0),7)</f>
        <v>7209385326</v>
      </c>
      <c r="AK55" s="69" t="str">
        <f>+INDEX('NGP Chairs CoChairs'!$A$2:$M$53,MATCH('Supersite Working-AW'!$AA20,'NGP Chairs CoChairs'!$A$2:$A$53,0),7)</f>
        <v>3039997682</v>
      </c>
      <c r="AL55">
        <v>2</v>
      </c>
    </row>
    <row r="56" spans="1:38" ht="16" x14ac:dyDescent="0.2">
      <c r="A56" s="3" t="s">
        <v>8</v>
      </c>
      <c r="B56" s="86">
        <v>814</v>
      </c>
      <c r="C56" s="97" t="s">
        <v>268</v>
      </c>
      <c r="D56" s="86" t="s">
        <v>269</v>
      </c>
      <c r="E56" s="90" t="s">
        <v>270</v>
      </c>
      <c r="F56" s="19" t="s">
        <v>267</v>
      </c>
      <c r="G56" s="86" t="s">
        <v>243</v>
      </c>
      <c r="H56" s="86"/>
      <c r="I56" s="86">
        <v>2</v>
      </c>
      <c r="J56" s="86">
        <v>49</v>
      </c>
      <c r="K56" s="86">
        <v>18</v>
      </c>
      <c r="L56" s="88">
        <v>483</v>
      </c>
      <c r="M56" s="89">
        <f>(L56*$M$2)</f>
        <v>12.075000000000001</v>
      </c>
      <c r="N56" s="89"/>
      <c r="O56" s="86" t="s">
        <v>160</v>
      </c>
      <c r="P56" s="86"/>
      <c r="Q56" s="86"/>
      <c r="R56" s="100" t="s">
        <v>132</v>
      </c>
      <c r="S56" s="98" t="s">
        <v>89</v>
      </c>
      <c r="T56" s="86"/>
      <c r="U56" s="86" t="s">
        <v>3</v>
      </c>
      <c r="V56" s="19"/>
      <c r="W56" s="19"/>
      <c r="X56" s="95">
        <v>107153029</v>
      </c>
      <c r="Y56" s="95">
        <v>107152549</v>
      </c>
      <c r="Z56" s="95">
        <v>107152440</v>
      </c>
      <c r="AA56" s="19"/>
      <c r="AB56" s="19"/>
      <c r="AC56" s="19"/>
      <c r="AD56" s="135" t="str">
        <f>+INDEX('NGP Chairs CoChairs'!$A$2:$M$53,MATCH('Supersite Working-AW'!$X24,'NGP Chairs CoChairs'!$A$2:$A$53,0),12)</f>
        <v>Guy Errickson</v>
      </c>
      <c r="AE56" s="135" t="str">
        <f>+INDEX('NGP Chairs CoChairs'!$A$2:$M$53,MATCH('Supersite Working-AW'!$Y24,'NGP Chairs CoChairs'!$A$2:$A$53,0),12)</f>
        <v>Katie Malzbender</v>
      </c>
      <c r="AF56" s="135" t="str">
        <f>+INDEX('NGP Chairs CoChairs'!$A$2:$M$53,MATCH('Supersite Working-AW'!$Z24,'NGP Chairs CoChairs'!$A$2:$A$53,0),12)</f>
        <v>Candace Bowie</v>
      </c>
      <c r="AG56" s="135" t="str">
        <f>+INDEX('NGP Chairs CoChairs'!$A$2:$M$53,MATCH('Supersite Working-AW'!$AA24,'NGP Chairs CoChairs'!$A$2:$A$53,0),12)</f>
        <v>Peter Dawson</v>
      </c>
      <c r="AH56" s="69" t="str">
        <f>+INDEX('NGP Chairs CoChairs'!$A$2:$M$53,MATCH('Supersite Working-AW'!$X24,'NGP Chairs CoChairs'!$A$2:$A$53,0),7)</f>
        <v>7202334208</v>
      </c>
      <c r="AI56" s="69" t="str">
        <f>+INDEX('NGP Chairs CoChairs'!$A$2:$M$53,MATCH('Supersite Working-AW'!$Y24,'NGP Chairs CoChairs'!$A$2:$A$53,0),7)</f>
        <v>3038867847</v>
      </c>
      <c r="AJ56" s="69" t="str">
        <f>+INDEX('NGP Chairs CoChairs'!$A$2:$M$53,MATCH('Supersite Working-AW'!$Z24,'NGP Chairs CoChairs'!$A$2:$A$53,0),7)</f>
        <v>7204955088</v>
      </c>
      <c r="AK56" s="69" t="str">
        <f>+INDEX('NGP Chairs CoChairs'!$A$2:$M$53,MATCH('Supersite Working-AW'!$AA24,'NGP Chairs CoChairs'!$A$2:$A$53,0),7)</f>
        <v>3038172531</v>
      </c>
      <c r="AL56">
        <v>2</v>
      </c>
    </row>
    <row r="57" spans="1:38" ht="17" x14ac:dyDescent="0.2">
      <c r="A57" s="3" t="s">
        <v>132</v>
      </c>
      <c r="B57" s="123">
        <v>808</v>
      </c>
      <c r="C57" s="123" t="s">
        <v>268</v>
      </c>
      <c r="D57" s="123" t="s">
        <v>269</v>
      </c>
      <c r="E57" s="123" t="s">
        <v>364</v>
      </c>
      <c r="F57" s="86" t="s">
        <v>355</v>
      </c>
      <c r="G57" s="86" t="s">
        <v>243</v>
      </c>
      <c r="H57" s="86"/>
      <c r="I57" s="86">
        <v>2</v>
      </c>
      <c r="J57" s="86">
        <v>10</v>
      </c>
      <c r="K57" s="86">
        <v>18</v>
      </c>
      <c r="L57" s="88">
        <v>705</v>
      </c>
      <c r="M57" s="89">
        <f>(L57*$M$2)</f>
        <v>17.625</v>
      </c>
      <c r="N57" s="89">
        <f>SUM(M1:M57)</f>
        <v>822.95</v>
      </c>
      <c r="O57" s="86" t="s">
        <v>160</v>
      </c>
      <c r="P57" s="86"/>
      <c r="Q57" s="101" t="s">
        <v>356</v>
      </c>
      <c r="R57" s="121" t="s">
        <v>94</v>
      </c>
      <c r="S57" s="122" t="s">
        <v>132</v>
      </c>
      <c r="T57" s="86" t="s">
        <v>357</v>
      </c>
      <c r="U57" s="106" t="s">
        <v>358</v>
      </c>
      <c r="V57" s="19"/>
      <c r="W57" s="19"/>
      <c r="X57" s="95">
        <v>107152131</v>
      </c>
      <c r="Y57" s="19">
        <v>122989657</v>
      </c>
      <c r="Z57" s="19">
        <v>114937506</v>
      </c>
      <c r="AA57" s="19"/>
      <c r="AB57" s="19"/>
      <c r="AC57" s="19"/>
      <c r="AD57" s="135" t="str">
        <f>+INDEX('NGP Chairs CoChairs'!$A$2:$M$53,MATCH('Supersite Working-AW'!$X82,'NGP Chairs CoChairs'!$A$2:$A$53,0),12)</f>
        <v>Jennifer Bales</v>
      </c>
      <c r="AE57" s="135" t="e">
        <f>+INDEX('NGP Chairs CoChairs'!$A$2:$M$53,MATCH('Supersite Working-AW'!$Y82,'NGP Chairs CoChairs'!$A$2:$A$53,0),12)</f>
        <v>#N/A</v>
      </c>
      <c r="AF57" s="135" t="e">
        <f>+INDEX('NGP Chairs CoChairs'!$A$2:$M$53,MATCH('Supersite Working-AW'!$Z82,'NGP Chairs CoChairs'!$A$2:$A$53,0),12)</f>
        <v>#N/A</v>
      </c>
      <c r="AG57" s="135" t="e">
        <f>+INDEX('NGP Chairs CoChairs'!$A$2:$M$53,MATCH('Supersite Working-AW'!$AA82,'NGP Chairs CoChairs'!$A$2:$A$53,0),12)</f>
        <v>#N/A</v>
      </c>
      <c r="AH57" s="69" t="str">
        <f>+INDEX('NGP Chairs CoChairs'!$A$2:$M$53,MATCH('Supersite Working-AW'!$X82,'NGP Chairs CoChairs'!$A$2:$A$53,0),7)</f>
        <v>3039479447</v>
      </c>
      <c r="AI57" s="69" t="e">
        <f>+INDEX('NGP Chairs CoChairs'!$A$2:$M$53,MATCH('Supersite Working-AW'!$Y82,'NGP Chairs CoChairs'!$A$2:$A$53,0),7)</f>
        <v>#N/A</v>
      </c>
      <c r="AJ57" s="69" t="e">
        <f>+INDEX('NGP Chairs CoChairs'!$A$2:$M$53,MATCH('Supersite Working-AW'!$Z82,'NGP Chairs CoChairs'!$A$2:$A$53,0),7)</f>
        <v>#N/A</v>
      </c>
      <c r="AK57" s="69" t="e">
        <f>+INDEX('NGP Chairs CoChairs'!$A$2:$M$53,MATCH('Supersite Working-AW'!$AA82,'NGP Chairs CoChairs'!$A$2:$A$53,0),7)</f>
        <v>#N/A</v>
      </c>
      <c r="AL57">
        <v>8</v>
      </c>
    </row>
    <row r="58" spans="1:38" ht="17" x14ac:dyDescent="0.2">
      <c r="A58" s="3" t="s">
        <v>351</v>
      </c>
      <c r="B58" s="86">
        <v>503</v>
      </c>
      <c r="C58" s="86" t="s">
        <v>360</v>
      </c>
      <c r="D58" s="86" t="s">
        <v>361</v>
      </c>
      <c r="E58" s="86" t="s">
        <v>362</v>
      </c>
      <c r="F58" s="86" t="s">
        <v>355</v>
      </c>
      <c r="G58" s="86" t="s">
        <v>243</v>
      </c>
      <c r="H58" s="86"/>
      <c r="I58" s="86">
        <v>2</v>
      </c>
      <c r="J58" s="86">
        <v>12</v>
      </c>
      <c r="K58" s="86">
        <v>18</v>
      </c>
      <c r="L58" s="88">
        <v>253</v>
      </c>
      <c r="M58" s="89">
        <f>(L58*$M$2)</f>
        <v>6.3250000000000002</v>
      </c>
      <c r="N58" s="89"/>
      <c r="O58" s="86" t="s">
        <v>160</v>
      </c>
      <c r="P58" s="86"/>
      <c r="Q58" s="101" t="s">
        <v>356</v>
      </c>
      <c r="R58" s="121" t="s">
        <v>94</v>
      </c>
      <c r="S58" s="122" t="s">
        <v>132</v>
      </c>
      <c r="T58" s="86" t="s">
        <v>357</v>
      </c>
      <c r="U58" s="106" t="s">
        <v>358</v>
      </c>
      <c r="V58" s="19"/>
      <c r="W58" s="19"/>
      <c r="X58" s="95">
        <v>107152131</v>
      </c>
      <c r="Y58" s="19">
        <v>122989657</v>
      </c>
      <c r="Z58" s="19">
        <v>114937506</v>
      </c>
      <c r="AA58" s="19"/>
      <c r="AB58" s="19"/>
      <c r="AC58" s="19"/>
      <c r="AD58" s="135" t="str">
        <f>+INDEX('NGP Chairs CoChairs'!$A$2:$M$53,MATCH('Supersite Working-AW'!$X71,'NGP Chairs CoChairs'!$A$2:$A$53,0),12)</f>
        <v>Nancy George</v>
      </c>
      <c r="AE58" s="135" t="str">
        <f>+INDEX('NGP Chairs CoChairs'!$A$2:$M$53,MATCH('Supersite Working-AW'!$Y71,'NGP Chairs CoChairs'!$A$2:$A$53,0),12)</f>
        <v>Pamela Teixeira</v>
      </c>
      <c r="AF58" s="135" t="str">
        <f>+INDEX('NGP Chairs CoChairs'!$A$2:$M$53,MATCH('Supersite Working-AW'!$Z71,'NGP Chairs CoChairs'!$A$2:$A$53,0),12)</f>
        <v>Timm Bryson</v>
      </c>
      <c r="AG58" s="135" t="e">
        <f>+INDEX('NGP Chairs CoChairs'!$A$2:$M$53,MATCH('Supersite Working-AW'!$AA71,'NGP Chairs CoChairs'!$A$2:$A$53,0),12)</f>
        <v>#N/A</v>
      </c>
      <c r="AH58" s="69" t="str">
        <f>+INDEX('NGP Chairs CoChairs'!$A$2:$M$53,MATCH('Supersite Working-AW'!$X71,'NGP Chairs CoChairs'!$A$2:$A$53,0),7)</f>
        <v>7207327496</v>
      </c>
      <c r="AI58" s="69" t="str">
        <f>+INDEX('NGP Chairs CoChairs'!$A$2:$M$53,MATCH('Supersite Working-AW'!$Y71,'NGP Chairs CoChairs'!$A$2:$A$53,0),7)</f>
        <v>7326737007</v>
      </c>
      <c r="AJ58" s="69" t="str">
        <f>+INDEX('NGP Chairs CoChairs'!$A$2:$M$53,MATCH('Supersite Working-AW'!$Z71,'NGP Chairs CoChairs'!$A$2:$A$53,0),7)</f>
        <v>7192515246</v>
      </c>
      <c r="AK58" s="69" t="e">
        <f>+INDEX('NGP Chairs CoChairs'!$A$2:$M$53,MATCH('Supersite Working-AW'!$AA71,'NGP Chairs CoChairs'!$A$2:$A$53,0),7)</f>
        <v>#N/A</v>
      </c>
      <c r="AL58">
        <v>8</v>
      </c>
    </row>
    <row r="59" spans="1:38" ht="17" x14ac:dyDescent="0.2">
      <c r="A59" s="3" t="s">
        <v>351</v>
      </c>
      <c r="B59" s="86">
        <v>504</v>
      </c>
      <c r="C59" s="86" t="s">
        <v>360</v>
      </c>
      <c r="D59" s="86" t="s">
        <v>361</v>
      </c>
      <c r="E59" s="86" t="s">
        <v>362</v>
      </c>
      <c r="F59" s="86" t="s">
        <v>355</v>
      </c>
      <c r="G59" s="86" t="s">
        <v>243</v>
      </c>
      <c r="H59" s="86" t="s">
        <v>363</v>
      </c>
      <c r="I59" s="86">
        <v>2</v>
      </c>
      <c r="J59" s="86">
        <v>12</v>
      </c>
      <c r="K59" s="86">
        <v>18</v>
      </c>
      <c r="L59" s="88">
        <v>1254</v>
      </c>
      <c r="M59" s="89">
        <f>(L59*$M$2)</f>
        <v>31.35</v>
      </c>
      <c r="N59" s="89"/>
      <c r="O59" s="86" t="s">
        <v>160</v>
      </c>
      <c r="P59" s="86"/>
      <c r="Q59" s="101" t="s">
        <v>356</v>
      </c>
      <c r="R59" s="121" t="s">
        <v>94</v>
      </c>
      <c r="S59" s="122" t="s">
        <v>132</v>
      </c>
      <c r="T59" s="86" t="s">
        <v>357</v>
      </c>
      <c r="U59" s="106" t="s">
        <v>358</v>
      </c>
      <c r="V59" s="19"/>
      <c r="W59" s="19"/>
      <c r="X59" s="95">
        <v>107152131</v>
      </c>
      <c r="Y59" s="19">
        <v>122989657</v>
      </c>
      <c r="Z59" s="19">
        <v>114937506</v>
      </c>
      <c r="AA59" s="19"/>
      <c r="AB59" s="19"/>
      <c r="AC59" s="19"/>
      <c r="AD59" s="135" t="str">
        <f>+INDEX('NGP Chairs CoChairs'!$A$2:$M$53,MATCH('Supersite Working-AW'!$X72,'NGP Chairs CoChairs'!$A$2:$A$53,0),12)</f>
        <v>Nancy George</v>
      </c>
      <c r="AE59" s="135" t="str">
        <f>+INDEX('NGP Chairs CoChairs'!$A$2:$M$53,MATCH('Supersite Working-AW'!$Y72,'NGP Chairs CoChairs'!$A$2:$A$53,0),12)</f>
        <v>Pamela Teixeira</v>
      </c>
      <c r="AF59" s="135" t="str">
        <f>+INDEX('NGP Chairs CoChairs'!$A$2:$M$53,MATCH('Supersite Working-AW'!$Z72,'NGP Chairs CoChairs'!$A$2:$A$53,0),12)</f>
        <v>Timm Bryson</v>
      </c>
      <c r="AG59" s="135" t="e">
        <f>+INDEX('NGP Chairs CoChairs'!$A$2:$M$53,MATCH('Supersite Working-AW'!$AA72,'NGP Chairs CoChairs'!$A$2:$A$53,0),12)</f>
        <v>#N/A</v>
      </c>
      <c r="AH59" s="69" t="str">
        <f>+INDEX('NGP Chairs CoChairs'!$A$2:$M$53,MATCH('Supersite Working-AW'!$X72,'NGP Chairs CoChairs'!$A$2:$A$53,0),7)</f>
        <v>7207327496</v>
      </c>
      <c r="AI59" s="69" t="str">
        <f>+INDEX('NGP Chairs CoChairs'!$A$2:$M$53,MATCH('Supersite Working-AW'!$Y72,'NGP Chairs CoChairs'!$A$2:$A$53,0),7)</f>
        <v>7326737007</v>
      </c>
      <c r="AJ59" s="69" t="str">
        <f>+INDEX('NGP Chairs CoChairs'!$A$2:$M$53,MATCH('Supersite Working-AW'!$Z72,'NGP Chairs CoChairs'!$A$2:$A$53,0),7)</f>
        <v>7192515246</v>
      </c>
      <c r="AK59" s="69" t="e">
        <f>+INDEX('NGP Chairs CoChairs'!$A$2:$M$53,MATCH('Supersite Working-AW'!$AA72,'NGP Chairs CoChairs'!$A$2:$A$53,0),7)</f>
        <v>#N/A</v>
      </c>
      <c r="AL59">
        <v>8</v>
      </c>
    </row>
    <row r="60" spans="1:38" ht="17" x14ac:dyDescent="0.2">
      <c r="A60" s="3" t="s">
        <v>351</v>
      </c>
      <c r="B60" s="86">
        <v>505</v>
      </c>
      <c r="C60" s="86" t="s">
        <v>360</v>
      </c>
      <c r="D60" s="86" t="s">
        <v>361</v>
      </c>
      <c r="E60" s="86" t="s">
        <v>362</v>
      </c>
      <c r="F60" s="86" t="s">
        <v>355</v>
      </c>
      <c r="G60" s="86" t="s">
        <v>243</v>
      </c>
      <c r="H60" s="86"/>
      <c r="I60" s="86">
        <v>2</v>
      </c>
      <c r="J60" s="86">
        <v>12</v>
      </c>
      <c r="K60" s="86">
        <v>18</v>
      </c>
      <c r="L60" s="88">
        <v>422</v>
      </c>
      <c r="M60" s="89">
        <f>(L60*$M$2)</f>
        <v>10.55</v>
      </c>
      <c r="N60" s="89"/>
      <c r="O60" s="86" t="s">
        <v>160</v>
      </c>
      <c r="P60" s="86"/>
      <c r="Q60" s="101" t="s">
        <v>356</v>
      </c>
      <c r="R60" s="121" t="s">
        <v>94</v>
      </c>
      <c r="S60" s="122" t="s">
        <v>132</v>
      </c>
      <c r="T60" s="86" t="s">
        <v>357</v>
      </c>
      <c r="U60" s="106" t="s">
        <v>358</v>
      </c>
      <c r="V60" s="19"/>
      <c r="W60" s="19"/>
      <c r="X60" s="95">
        <v>107152131</v>
      </c>
      <c r="Y60" s="19">
        <v>122989657</v>
      </c>
      <c r="Z60" s="19">
        <v>114937506</v>
      </c>
      <c r="AA60" s="19"/>
      <c r="AB60" s="19"/>
      <c r="AC60" s="19"/>
      <c r="AD60" s="135" t="str">
        <f>+INDEX('NGP Chairs CoChairs'!$A$2:$M$53,MATCH('Supersite Working-AW'!$X73,'NGP Chairs CoChairs'!$A$2:$A$53,0),12)</f>
        <v>Nancy George</v>
      </c>
      <c r="AE60" s="135" t="str">
        <f>+INDEX('NGP Chairs CoChairs'!$A$2:$M$53,MATCH('Supersite Working-AW'!$Y73,'NGP Chairs CoChairs'!$A$2:$A$53,0),12)</f>
        <v>Pamela Teixeira</v>
      </c>
      <c r="AF60" s="135" t="str">
        <f>+INDEX('NGP Chairs CoChairs'!$A$2:$M$53,MATCH('Supersite Working-AW'!$Z73,'NGP Chairs CoChairs'!$A$2:$A$53,0),12)</f>
        <v>Timm Bryson</v>
      </c>
      <c r="AG60" s="135" t="e">
        <f>+INDEX('NGP Chairs CoChairs'!$A$2:$M$53,MATCH('Supersite Working-AW'!$AA73,'NGP Chairs CoChairs'!$A$2:$A$53,0),12)</f>
        <v>#N/A</v>
      </c>
      <c r="AH60" s="69" t="str">
        <f>+INDEX('NGP Chairs CoChairs'!$A$2:$M$53,MATCH('Supersite Working-AW'!$X73,'NGP Chairs CoChairs'!$A$2:$A$53,0),7)</f>
        <v>7207327496</v>
      </c>
      <c r="AI60" s="69" t="str">
        <f>+INDEX('NGP Chairs CoChairs'!$A$2:$M$53,MATCH('Supersite Working-AW'!$Y73,'NGP Chairs CoChairs'!$A$2:$A$53,0),7)</f>
        <v>7326737007</v>
      </c>
      <c r="AJ60" s="69" t="str">
        <f>+INDEX('NGP Chairs CoChairs'!$A$2:$M$53,MATCH('Supersite Working-AW'!$Z73,'NGP Chairs CoChairs'!$A$2:$A$53,0),7)</f>
        <v>7192515246</v>
      </c>
      <c r="AK60" s="69" t="e">
        <f>+INDEX('NGP Chairs CoChairs'!$A$2:$M$53,MATCH('Supersite Working-AW'!$AA73,'NGP Chairs CoChairs'!$A$2:$A$53,0),7)</f>
        <v>#N/A</v>
      </c>
      <c r="AL60">
        <v>8</v>
      </c>
    </row>
    <row r="61" spans="1:38" ht="17" x14ac:dyDescent="0.2">
      <c r="A61" s="3" t="s">
        <v>351</v>
      </c>
      <c r="B61" s="86">
        <v>802</v>
      </c>
      <c r="C61" s="86" t="s">
        <v>360</v>
      </c>
      <c r="D61" s="86" t="s">
        <v>361</v>
      </c>
      <c r="E61" s="86" t="s">
        <v>362</v>
      </c>
      <c r="F61" s="86" t="s">
        <v>355</v>
      </c>
      <c r="G61" s="86" t="s">
        <v>243</v>
      </c>
      <c r="H61" s="86"/>
      <c r="I61" s="86">
        <v>2</v>
      </c>
      <c r="J61" s="86">
        <v>10</v>
      </c>
      <c r="K61" s="86">
        <v>18</v>
      </c>
      <c r="L61" s="88">
        <v>593</v>
      </c>
      <c r="M61" s="89">
        <f>(L61*$M$2)</f>
        <v>14.825000000000001</v>
      </c>
      <c r="N61" s="89"/>
      <c r="O61" s="86" t="s">
        <v>160</v>
      </c>
      <c r="P61" s="86"/>
      <c r="Q61" s="101" t="s">
        <v>356</v>
      </c>
      <c r="R61" s="121" t="s">
        <v>94</v>
      </c>
      <c r="S61" s="122" t="s">
        <v>132</v>
      </c>
      <c r="T61" s="86" t="s">
        <v>357</v>
      </c>
      <c r="U61" s="106" t="s">
        <v>358</v>
      </c>
      <c r="V61" s="19"/>
      <c r="W61" s="19"/>
      <c r="X61" s="95">
        <v>107152131</v>
      </c>
      <c r="Y61" s="19">
        <v>122989657</v>
      </c>
      <c r="Z61" s="19">
        <v>114937506</v>
      </c>
      <c r="AA61" s="19"/>
      <c r="AB61" s="19"/>
      <c r="AC61" s="19"/>
      <c r="AD61" s="135" t="str">
        <f>+INDEX('NGP Chairs CoChairs'!$A$2:$M$53,MATCH('Supersite Working-AW'!$X81,'NGP Chairs CoChairs'!$A$2:$A$53,0),12)</f>
        <v>Michael Altenbern</v>
      </c>
      <c r="AE61" s="135" t="str">
        <f>+INDEX('NGP Chairs CoChairs'!$A$2:$M$53,MATCH('Supersite Working-AW'!$Y81,'NGP Chairs CoChairs'!$A$2:$A$53,0),12)</f>
        <v>Mark Flett</v>
      </c>
      <c r="AF61" s="135" t="str">
        <f>+INDEX('NGP Chairs CoChairs'!$A$2:$M$53,MATCH('Supersite Working-AW'!$Z81,'NGP Chairs CoChairs'!$A$2:$A$53,0),12)</f>
        <v>Susan Winter</v>
      </c>
      <c r="AG61" s="135" t="e">
        <f>+INDEX('NGP Chairs CoChairs'!$A$2:$M$53,MATCH('Supersite Working-AW'!$AA81,'NGP Chairs CoChairs'!$A$2:$A$53,0),12)</f>
        <v>#N/A</v>
      </c>
      <c r="AH61" s="69" t="str">
        <f>+INDEX('NGP Chairs CoChairs'!$A$2:$M$53,MATCH('Supersite Working-AW'!$X81,'NGP Chairs CoChairs'!$A$2:$A$53,0),7)</f>
        <v>3039097201</v>
      </c>
      <c r="AI61" s="69" t="str">
        <f>+INDEX('NGP Chairs CoChairs'!$A$2:$M$53,MATCH('Supersite Working-AW'!$Y81,'NGP Chairs CoChairs'!$A$2:$A$53,0),7)</f>
        <v>3032291024</v>
      </c>
      <c r="AJ61" s="69" t="str">
        <f>+INDEX('NGP Chairs CoChairs'!$A$2:$M$53,MATCH('Supersite Working-AW'!$Z81,'NGP Chairs CoChairs'!$A$2:$A$53,0),7)</f>
        <v>3035810783</v>
      </c>
      <c r="AK61" s="69" t="e">
        <f>+INDEX('NGP Chairs CoChairs'!$A$2:$M$53,MATCH('Supersite Working-AW'!$AA81,'NGP Chairs CoChairs'!$A$2:$A$53,0),7)</f>
        <v>#N/A</v>
      </c>
      <c r="AL61">
        <v>8</v>
      </c>
    </row>
    <row r="62" spans="1:38" ht="17" x14ac:dyDescent="0.2">
      <c r="A62" s="3" t="s">
        <v>351</v>
      </c>
      <c r="B62" s="86">
        <v>809</v>
      </c>
      <c r="C62" s="86" t="s">
        <v>360</v>
      </c>
      <c r="D62" s="86" t="s">
        <v>361</v>
      </c>
      <c r="E62" s="86" t="s">
        <v>362</v>
      </c>
      <c r="F62" s="86" t="s">
        <v>355</v>
      </c>
      <c r="G62" s="86" t="s">
        <v>243</v>
      </c>
      <c r="H62" s="86"/>
      <c r="I62" s="86">
        <v>2</v>
      </c>
      <c r="J62" s="86">
        <v>10</v>
      </c>
      <c r="K62" s="86">
        <v>18</v>
      </c>
      <c r="L62" s="88">
        <v>712</v>
      </c>
      <c r="M62" s="89">
        <f>(L62*$M$2)</f>
        <v>17.8</v>
      </c>
      <c r="N62" s="89"/>
      <c r="O62" s="86" t="s">
        <v>160</v>
      </c>
      <c r="P62" s="86"/>
      <c r="Q62" s="101" t="s">
        <v>356</v>
      </c>
      <c r="R62" s="121" t="s">
        <v>94</v>
      </c>
      <c r="S62" s="122" t="s">
        <v>132</v>
      </c>
      <c r="T62" s="86" t="s">
        <v>357</v>
      </c>
      <c r="U62" s="106" t="s">
        <v>358</v>
      </c>
      <c r="V62" s="19"/>
      <c r="W62" s="19"/>
      <c r="X62" s="95">
        <v>107152131</v>
      </c>
      <c r="Y62" s="19">
        <v>122989657</v>
      </c>
      <c r="Z62" s="19">
        <v>114937506</v>
      </c>
      <c r="AA62" s="19"/>
      <c r="AB62" s="19"/>
      <c r="AC62" s="19"/>
      <c r="AD62" s="135" t="str">
        <f>+INDEX('NGP Chairs CoChairs'!$A$2:$M$53,MATCH('Supersite Working-AW'!$X83,'NGP Chairs CoChairs'!$A$2:$A$53,0),12)</f>
        <v>Jennifer Bales</v>
      </c>
      <c r="AE62" s="135" t="e">
        <f>+INDEX('NGP Chairs CoChairs'!$A$2:$M$53,MATCH('Supersite Working-AW'!$Y83,'NGP Chairs CoChairs'!$A$2:$A$53,0),12)</f>
        <v>#N/A</v>
      </c>
      <c r="AF62" s="135" t="e">
        <f>+INDEX('NGP Chairs CoChairs'!$A$2:$M$53,MATCH('Supersite Working-AW'!$Z83,'NGP Chairs CoChairs'!$A$2:$A$53,0),12)</f>
        <v>#N/A</v>
      </c>
      <c r="AG62" s="135" t="e">
        <f>+INDEX('NGP Chairs CoChairs'!$A$2:$M$53,MATCH('Supersite Working-AW'!$AA83,'NGP Chairs CoChairs'!$A$2:$A$53,0),12)</f>
        <v>#N/A</v>
      </c>
      <c r="AH62" s="69" t="str">
        <f>+INDEX('NGP Chairs CoChairs'!$A$2:$M$53,MATCH('Supersite Working-AW'!$X83,'NGP Chairs CoChairs'!$A$2:$A$53,0),7)</f>
        <v>3039479447</v>
      </c>
      <c r="AI62" s="69" t="e">
        <f>+INDEX('NGP Chairs CoChairs'!$A$2:$M$53,MATCH('Supersite Working-AW'!$Y83,'NGP Chairs CoChairs'!$A$2:$A$53,0),7)</f>
        <v>#N/A</v>
      </c>
      <c r="AJ62" s="69" t="e">
        <f>+INDEX('NGP Chairs CoChairs'!$A$2:$M$53,MATCH('Supersite Working-AW'!$Z83,'NGP Chairs CoChairs'!$A$2:$A$53,0),7)</f>
        <v>#N/A</v>
      </c>
      <c r="AK62" s="69" t="e">
        <f>+INDEX('NGP Chairs CoChairs'!$A$2:$M$53,MATCH('Supersite Working-AW'!$AA83,'NGP Chairs CoChairs'!$A$2:$A$53,0),7)</f>
        <v>#N/A</v>
      </c>
      <c r="AL62">
        <v>8</v>
      </c>
    </row>
    <row r="63" spans="1:38" ht="17" x14ac:dyDescent="0.2">
      <c r="A63" s="3" t="s">
        <v>351</v>
      </c>
      <c r="B63" s="86">
        <v>819</v>
      </c>
      <c r="C63" s="86" t="s">
        <v>360</v>
      </c>
      <c r="D63" s="86" t="s">
        <v>361</v>
      </c>
      <c r="E63" s="86" t="s">
        <v>362</v>
      </c>
      <c r="F63" s="86" t="s">
        <v>355</v>
      </c>
      <c r="G63" s="86" t="s">
        <v>243</v>
      </c>
      <c r="H63" s="86"/>
      <c r="I63" s="86">
        <v>2</v>
      </c>
      <c r="J63" s="86">
        <v>10</v>
      </c>
      <c r="K63" s="86">
        <v>18</v>
      </c>
      <c r="L63" s="88">
        <v>796</v>
      </c>
      <c r="M63" s="89">
        <f>(L63*$M$2)</f>
        <v>19.900000000000002</v>
      </c>
      <c r="N63" s="89">
        <f>SUM(M50:M63)</f>
        <v>242.47500000000002</v>
      </c>
      <c r="O63" s="86" t="s">
        <v>160</v>
      </c>
      <c r="P63" s="86"/>
      <c r="Q63" s="101" t="s">
        <v>356</v>
      </c>
      <c r="R63" s="121" t="s">
        <v>94</v>
      </c>
      <c r="S63" s="122" t="s">
        <v>132</v>
      </c>
      <c r="T63" s="86" t="s">
        <v>357</v>
      </c>
      <c r="U63" s="106" t="s">
        <v>358</v>
      </c>
      <c r="V63" s="19"/>
      <c r="W63" s="19"/>
      <c r="X63" s="95">
        <v>107152131</v>
      </c>
      <c r="Y63" s="19">
        <v>122989657</v>
      </c>
      <c r="Z63" s="19">
        <v>114937506</v>
      </c>
      <c r="AA63" s="19"/>
      <c r="AB63" s="19"/>
      <c r="AC63" s="19"/>
      <c r="AD63" s="135" t="str">
        <f>+INDEX('NGP Chairs CoChairs'!$A$2:$M$53,MATCH('Supersite Working-AW'!$X84,'NGP Chairs CoChairs'!$A$2:$A$53,0),12)</f>
        <v>Jennifer Bales</v>
      </c>
      <c r="AE63" s="135" t="e">
        <f>+INDEX('NGP Chairs CoChairs'!$A$2:$M$53,MATCH('Supersite Working-AW'!$Y84,'NGP Chairs CoChairs'!$A$2:$A$53,0),12)</f>
        <v>#N/A</v>
      </c>
      <c r="AF63" s="135" t="e">
        <f>+INDEX('NGP Chairs CoChairs'!$A$2:$M$53,MATCH('Supersite Working-AW'!$Z84,'NGP Chairs CoChairs'!$A$2:$A$53,0),12)</f>
        <v>#N/A</v>
      </c>
      <c r="AG63" s="135" t="e">
        <f>+INDEX('NGP Chairs CoChairs'!$A$2:$M$53,MATCH('Supersite Working-AW'!$AA84,'NGP Chairs CoChairs'!$A$2:$A$53,0),12)</f>
        <v>#N/A</v>
      </c>
      <c r="AH63" s="69" t="str">
        <f>+INDEX('NGP Chairs CoChairs'!$A$2:$M$53,MATCH('Supersite Working-AW'!$X84,'NGP Chairs CoChairs'!$A$2:$A$53,0),7)</f>
        <v>3039479447</v>
      </c>
      <c r="AI63" s="69" t="e">
        <f>+INDEX('NGP Chairs CoChairs'!$A$2:$M$53,MATCH('Supersite Working-AW'!$Y84,'NGP Chairs CoChairs'!$A$2:$A$53,0),7)</f>
        <v>#N/A</v>
      </c>
      <c r="AJ63" s="69" t="e">
        <f>+INDEX('NGP Chairs CoChairs'!$A$2:$M$53,MATCH('Supersite Working-AW'!$Z84,'NGP Chairs CoChairs'!$A$2:$A$53,0),7)</f>
        <v>#N/A</v>
      </c>
      <c r="AK63" s="69" t="e">
        <f>+INDEX('NGP Chairs CoChairs'!$A$2:$M$53,MATCH('Supersite Working-AW'!$AA84,'NGP Chairs CoChairs'!$A$2:$A$53,0),7)</f>
        <v>#N/A</v>
      </c>
      <c r="AL63">
        <v>8</v>
      </c>
    </row>
    <row r="64" spans="1:38" ht="17" x14ac:dyDescent="0.2">
      <c r="A64" s="3" t="s">
        <v>8</v>
      </c>
      <c r="B64" s="86">
        <v>827</v>
      </c>
      <c r="C64" s="97" t="s">
        <v>259</v>
      </c>
      <c r="D64" s="86" t="s">
        <v>260</v>
      </c>
      <c r="E64" s="90" t="s">
        <v>258</v>
      </c>
      <c r="F64" s="91" t="s">
        <v>254</v>
      </c>
      <c r="G64" s="86" t="s">
        <v>243</v>
      </c>
      <c r="H64" s="86"/>
      <c r="I64" s="86">
        <v>2</v>
      </c>
      <c r="J64" s="86">
        <v>49</v>
      </c>
      <c r="K64" s="86">
        <v>18</v>
      </c>
      <c r="L64" s="88">
        <v>951</v>
      </c>
      <c r="M64" s="89">
        <f>(L64*$M$2)</f>
        <v>23.775000000000002</v>
      </c>
      <c r="N64" s="89"/>
      <c r="O64" s="86" t="s">
        <v>160</v>
      </c>
      <c r="P64" s="86"/>
      <c r="Q64" s="86"/>
      <c r="R64" s="98" t="s">
        <v>8</v>
      </c>
      <c r="S64" s="98" t="s">
        <v>89</v>
      </c>
      <c r="T64" s="86"/>
      <c r="U64" s="86" t="s">
        <v>3</v>
      </c>
      <c r="V64" s="19"/>
      <c r="W64" s="19"/>
      <c r="X64" s="95">
        <v>118591584</v>
      </c>
      <c r="Y64" s="95">
        <v>147521014</v>
      </c>
      <c r="Z64" s="19">
        <v>107152870</v>
      </c>
      <c r="AA64" s="95"/>
      <c r="AB64" s="95"/>
      <c r="AC64" s="19"/>
      <c r="AD64" s="135" t="str">
        <f>+INDEX('NGP Chairs CoChairs'!$A$2:$M$53,MATCH('Supersite Working-AW'!$X14,'NGP Chairs CoChairs'!$A$2:$A$53,0),12)</f>
        <v>Kenneth Nova</v>
      </c>
      <c r="AE64" s="135" t="str">
        <f>+INDEX('NGP Chairs CoChairs'!$A$2:$M$53,MATCH('Supersite Working-AW'!$Y14,'NGP Chairs CoChairs'!$A$2:$A$53,0),12)</f>
        <v>Lilian Francklyn</v>
      </c>
      <c r="AF64" s="135" t="str">
        <f>+INDEX('NGP Chairs CoChairs'!$A$2:$M$53,MATCH('Supersite Working-AW'!$Z14,'NGP Chairs CoChairs'!$A$2:$A$53,0),12)</f>
        <v>Neil Fishman</v>
      </c>
      <c r="AG64" s="135" t="str">
        <f>+INDEX('NGP Chairs CoChairs'!$A$2:$M$53,MATCH('Supersite Working-AW'!$AA14,'NGP Chairs CoChairs'!$A$2:$A$53,0),12)</f>
        <v>Heather Baer</v>
      </c>
      <c r="AH64" s="69" t="str">
        <f>+INDEX('NGP Chairs CoChairs'!$A$2:$M$53,MATCH('Supersite Working-AW'!$X14,'NGP Chairs CoChairs'!$A$2:$A$53,0),7)</f>
        <v>3034786467</v>
      </c>
      <c r="AI64" s="69" t="str">
        <f>+INDEX('NGP Chairs CoChairs'!$A$2:$M$53,MATCH('Supersite Working-AW'!$Y14,'NGP Chairs CoChairs'!$A$2:$A$53,0),7)</f>
        <v>7202728398</v>
      </c>
      <c r="AJ64" s="69" t="str">
        <f>+INDEX('NGP Chairs CoChairs'!$A$2:$M$53,MATCH('Supersite Working-AW'!$Z14,'NGP Chairs CoChairs'!$A$2:$A$53,0),7)</f>
        <v>7209385326</v>
      </c>
      <c r="AK64" s="69" t="str">
        <f>+INDEX('NGP Chairs CoChairs'!$A$2:$M$53,MATCH('Supersite Working-AW'!$AA14,'NGP Chairs CoChairs'!$A$2:$A$53,0),7)</f>
        <v>3039997682</v>
      </c>
      <c r="AL64">
        <v>1</v>
      </c>
    </row>
    <row r="65" spans="1:38" ht="16" x14ac:dyDescent="0.2">
      <c r="A65" s="3" t="s">
        <v>8</v>
      </c>
      <c r="B65" s="86">
        <v>815</v>
      </c>
      <c r="C65" s="97" t="s">
        <v>271</v>
      </c>
      <c r="D65" s="86" t="s">
        <v>272</v>
      </c>
      <c r="E65" s="90" t="s">
        <v>266</v>
      </c>
      <c r="F65" s="19" t="s">
        <v>267</v>
      </c>
      <c r="G65" s="86" t="s">
        <v>243</v>
      </c>
      <c r="H65" s="86"/>
      <c r="I65" s="86">
        <v>2</v>
      </c>
      <c r="J65" s="86">
        <v>49</v>
      </c>
      <c r="K65" s="86">
        <v>18</v>
      </c>
      <c r="L65" s="88">
        <v>928</v>
      </c>
      <c r="M65" s="89">
        <f>(L65*$M$2)</f>
        <v>23.200000000000003</v>
      </c>
      <c r="N65" s="89"/>
      <c r="O65" s="86" t="s">
        <v>160</v>
      </c>
      <c r="P65" s="86"/>
      <c r="Q65" s="86"/>
      <c r="R65" s="100" t="s">
        <v>132</v>
      </c>
      <c r="S65" s="98" t="s">
        <v>89</v>
      </c>
      <c r="T65" s="86"/>
      <c r="U65" s="86" t="s">
        <v>3</v>
      </c>
      <c r="V65" s="19"/>
      <c r="W65" s="19"/>
      <c r="X65" s="95">
        <v>107153029</v>
      </c>
      <c r="Y65" s="95">
        <v>107152549</v>
      </c>
      <c r="Z65" s="95">
        <v>107152440</v>
      </c>
      <c r="AA65" s="19"/>
      <c r="AB65" s="19"/>
      <c r="AC65" s="19"/>
      <c r="AD65" s="135" t="str">
        <f>+INDEX('NGP Chairs CoChairs'!$A$2:$M$53,MATCH('Supersite Working-AW'!$X25,'NGP Chairs CoChairs'!$A$2:$A$53,0),12)</f>
        <v>Guy Errickson</v>
      </c>
      <c r="AE65" s="135" t="str">
        <f>+INDEX('NGP Chairs CoChairs'!$A$2:$M$53,MATCH('Supersite Working-AW'!$Y25,'NGP Chairs CoChairs'!$A$2:$A$53,0),12)</f>
        <v>Katie Malzbender</v>
      </c>
      <c r="AF65" s="135" t="str">
        <f>+INDEX('NGP Chairs CoChairs'!$A$2:$M$53,MATCH('Supersite Working-AW'!$Z25,'NGP Chairs CoChairs'!$A$2:$A$53,0),12)</f>
        <v>Candace Bowie</v>
      </c>
      <c r="AG65" s="135" t="str">
        <f>+INDEX('NGP Chairs CoChairs'!$A$2:$M$53,MATCH('Supersite Working-AW'!$AA25,'NGP Chairs CoChairs'!$A$2:$A$53,0),12)</f>
        <v>Peter Dawson</v>
      </c>
      <c r="AH65" s="69" t="str">
        <f>+INDEX('NGP Chairs CoChairs'!$A$2:$M$53,MATCH('Supersite Working-AW'!$X25,'NGP Chairs CoChairs'!$A$2:$A$53,0),7)</f>
        <v>7202334208</v>
      </c>
      <c r="AI65" s="69" t="str">
        <f>+INDEX('NGP Chairs CoChairs'!$A$2:$M$53,MATCH('Supersite Working-AW'!$Y25,'NGP Chairs CoChairs'!$A$2:$A$53,0),7)</f>
        <v>3038867847</v>
      </c>
      <c r="AJ65" s="69" t="str">
        <f>+INDEX('NGP Chairs CoChairs'!$A$2:$M$53,MATCH('Supersite Working-AW'!$Z25,'NGP Chairs CoChairs'!$A$2:$A$53,0),7)</f>
        <v>7204955088</v>
      </c>
      <c r="AK65" s="69" t="str">
        <f>+INDEX('NGP Chairs CoChairs'!$A$2:$M$53,MATCH('Supersite Working-AW'!$AA25,'NGP Chairs CoChairs'!$A$2:$A$53,0),7)</f>
        <v>3038172531</v>
      </c>
      <c r="AL65">
        <v>2</v>
      </c>
    </row>
    <row r="66" spans="1:38" ht="16" x14ac:dyDescent="0.2">
      <c r="A66" s="3" t="s">
        <v>172</v>
      </c>
      <c r="B66" s="86">
        <v>400</v>
      </c>
      <c r="C66" s="86" t="s">
        <v>281</v>
      </c>
      <c r="D66" s="86" t="s">
        <v>282</v>
      </c>
      <c r="E66" s="86" t="s">
        <v>283</v>
      </c>
      <c r="F66" s="104" t="s">
        <v>284</v>
      </c>
      <c r="G66" s="86" t="s">
        <v>243</v>
      </c>
      <c r="H66" s="86"/>
      <c r="I66" s="86">
        <v>2</v>
      </c>
      <c r="J66" s="86">
        <v>19</v>
      </c>
      <c r="K66" s="86">
        <v>17</v>
      </c>
      <c r="L66" s="88">
        <v>641</v>
      </c>
      <c r="M66" s="89">
        <f>(L66*$M$2)</f>
        <v>16.025000000000002</v>
      </c>
      <c r="N66" s="89"/>
      <c r="O66" s="86" t="s">
        <v>172</v>
      </c>
      <c r="P66" s="86"/>
      <c r="Q66" s="86"/>
      <c r="R66" s="105" t="s">
        <v>1798</v>
      </c>
      <c r="S66" s="105" t="s">
        <v>94</v>
      </c>
      <c r="T66" s="86"/>
      <c r="U66" s="106" t="s">
        <v>56</v>
      </c>
      <c r="V66" s="19"/>
      <c r="W66" s="19"/>
      <c r="X66" s="19">
        <v>107152500</v>
      </c>
      <c r="Y66" s="19">
        <v>144328289</v>
      </c>
      <c r="Z66" s="19">
        <v>107152262</v>
      </c>
      <c r="AA66" s="19"/>
      <c r="AB66" s="19"/>
      <c r="AC66" s="19"/>
      <c r="AD66" s="135" t="str">
        <f>+INDEX('NGP Chairs CoChairs'!$A$2:$M$53,MATCH('Supersite Working-AW'!$X62,'NGP Chairs CoChairs'!$A$2:$A$53,0),12)</f>
        <v>Michael Altenbern</v>
      </c>
      <c r="AE66" s="135" t="str">
        <f>+INDEX('NGP Chairs CoChairs'!$A$2:$M$53,MATCH('Supersite Working-AW'!$Y62,'NGP Chairs CoChairs'!$A$2:$A$53,0),12)</f>
        <v>Mark Flett</v>
      </c>
      <c r="AF66" s="135" t="str">
        <f>+INDEX('NGP Chairs CoChairs'!$A$2:$M$53,MATCH('Supersite Working-AW'!$Z62,'NGP Chairs CoChairs'!$A$2:$A$53,0),12)</f>
        <v>Susan Winter</v>
      </c>
      <c r="AG66" s="135" t="e">
        <f>+INDEX('NGP Chairs CoChairs'!$A$2:$M$53,MATCH('Supersite Working-AW'!$AA62,'NGP Chairs CoChairs'!$A$2:$A$53,0),12)</f>
        <v>#N/A</v>
      </c>
      <c r="AH66" s="69" t="str">
        <f>+INDEX('NGP Chairs CoChairs'!$A$2:$M$53,MATCH('Supersite Working-AW'!$X62,'NGP Chairs CoChairs'!$A$2:$A$53,0),7)</f>
        <v>3039097201</v>
      </c>
      <c r="AI66" s="69" t="str">
        <f>+INDEX('NGP Chairs CoChairs'!$A$2:$M$53,MATCH('Supersite Working-AW'!$Y62,'NGP Chairs CoChairs'!$A$2:$A$53,0),7)</f>
        <v>3032291024</v>
      </c>
      <c r="AJ66" s="69" t="str">
        <f>+INDEX('NGP Chairs CoChairs'!$A$2:$M$53,MATCH('Supersite Working-AW'!$Z62,'NGP Chairs CoChairs'!$A$2:$A$53,0),7)</f>
        <v>3035810783</v>
      </c>
      <c r="AK66" s="69" t="e">
        <f>+INDEX('NGP Chairs CoChairs'!$A$2:$M$53,MATCH('Supersite Working-AW'!$AA62,'NGP Chairs CoChairs'!$A$2:$A$53,0),7)</f>
        <v>#N/A</v>
      </c>
      <c r="AL66">
        <v>7</v>
      </c>
    </row>
    <row r="67" spans="1:38" ht="16" x14ac:dyDescent="0.2">
      <c r="A67" s="3" t="s">
        <v>172</v>
      </c>
      <c r="B67" s="86">
        <v>401</v>
      </c>
      <c r="C67" s="86" t="s">
        <v>281</v>
      </c>
      <c r="D67" s="86" t="s">
        <v>282</v>
      </c>
      <c r="E67" s="86" t="s">
        <v>283</v>
      </c>
      <c r="F67" s="104" t="s">
        <v>284</v>
      </c>
      <c r="G67" s="86" t="s">
        <v>243</v>
      </c>
      <c r="H67" s="86"/>
      <c r="I67" s="86">
        <v>2</v>
      </c>
      <c r="J67" s="86">
        <v>19</v>
      </c>
      <c r="K67" s="86">
        <v>17</v>
      </c>
      <c r="L67" s="88">
        <v>539</v>
      </c>
      <c r="M67" s="89">
        <f>(L67*$M$2)</f>
        <v>13.475000000000001</v>
      </c>
      <c r="N67" s="89"/>
      <c r="O67" s="86" t="s">
        <v>172</v>
      </c>
      <c r="P67" s="86"/>
      <c r="Q67" s="86"/>
      <c r="R67" s="105" t="s">
        <v>1798</v>
      </c>
      <c r="S67" s="105" t="s">
        <v>94</v>
      </c>
      <c r="T67" s="86"/>
      <c r="U67" s="106" t="s">
        <v>56</v>
      </c>
      <c r="V67" s="19"/>
      <c r="W67" s="19"/>
      <c r="X67" s="19">
        <v>107152500</v>
      </c>
      <c r="Y67" s="19">
        <v>144328289</v>
      </c>
      <c r="Z67" s="19">
        <v>107152262</v>
      </c>
      <c r="AA67" s="19"/>
      <c r="AB67" s="19"/>
      <c r="AC67" s="19"/>
      <c r="AD67" s="135" t="str">
        <f>+INDEX('NGP Chairs CoChairs'!$A$2:$M$53,MATCH('Supersite Working-AW'!$X63,'NGP Chairs CoChairs'!$A$2:$A$53,0),12)</f>
        <v>Michael Altenbern</v>
      </c>
      <c r="AE67" s="135" t="str">
        <f>+INDEX('NGP Chairs CoChairs'!$A$2:$M$53,MATCH('Supersite Working-AW'!$Y63,'NGP Chairs CoChairs'!$A$2:$A$53,0),12)</f>
        <v>Mark Flett</v>
      </c>
      <c r="AF67" s="135" t="str">
        <f>+INDEX('NGP Chairs CoChairs'!$A$2:$M$53,MATCH('Supersite Working-AW'!$Z63,'NGP Chairs CoChairs'!$A$2:$A$53,0),12)</f>
        <v>Susan Winter</v>
      </c>
      <c r="AG67" s="135" t="e">
        <f>+INDEX('NGP Chairs CoChairs'!$A$2:$M$53,MATCH('Supersite Working-AW'!$AA63,'NGP Chairs CoChairs'!$A$2:$A$53,0),12)</f>
        <v>#N/A</v>
      </c>
      <c r="AH67" s="69" t="str">
        <f>+INDEX('NGP Chairs CoChairs'!$A$2:$M$53,MATCH('Supersite Working-AW'!$X63,'NGP Chairs CoChairs'!$A$2:$A$53,0),7)</f>
        <v>3039097201</v>
      </c>
      <c r="AI67" s="69" t="str">
        <f>+INDEX('NGP Chairs CoChairs'!$A$2:$M$53,MATCH('Supersite Working-AW'!$Y63,'NGP Chairs CoChairs'!$A$2:$A$53,0),7)</f>
        <v>3032291024</v>
      </c>
      <c r="AJ67" s="69" t="str">
        <f>+INDEX('NGP Chairs CoChairs'!$A$2:$M$53,MATCH('Supersite Working-AW'!$Z63,'NGP Chairs CoChairs'!$A$2:$A$53,0),7)</f>
        <v>3035810783</v>
      </c>
      <c r="AK67" s="69" t="e">
        <f>+INDEX('NGP Chairs CoChairs'!$A$2:$M$53,MATCH('Supersite Working-AW'!$AA63,'NGP Chairs CoChairs'!$A$2:$A$53,0),7)</f>
        <v>#N/A</v>
      </c>
      <c r="AL67">
        <v>7</v>
      </c>
    </row>
    <row r="68" spans="1:38" ht="16" x14ac:dyDescent="0.2">
      <c r="A68" s="3" t="s">
        <v>172</v>
      </c>
      <c r="B68" s="86">
        <v>402</v>
      </c>
      <c r="C68" s="86" t="s">
        <v>281</v>
      </c>
      <c r="D68" s="86" t="s">
        <v>282</v>
      </c>
      <c r="E68" s="86" t="s">
        <v>283</v>
      </c>
      <c r="F68" s="104" t="s">
        <v>284</v>
      </c>
      <c r="G68" s="86" t="s">
        <v>243</v>
      </c>
      <c r="H68" s="86"/>
      <c r="I68" s="86">
        <v>2</v>
      </c>
      <c r="J68" s="86">
        <v>19</v>
      </c>
      <c r="K68" s="86">
        <v>17</v>
      </c>
      <c r="L68" s="88">
        <v>451</v>
      </c>
      <c r="M68" s="89">
        <f>(L68*$M$2)</f>
        <v>11.275</v>
      </c>
      <c r="N68" s="89"/>
      <c r="O68" s="86" t="s">
        <v>172</v>
      </c>
      <c r="P68" s="86"/>
      <c r="Q68" s="86"/>
      <c r="R68" s="105" t="s">
        <v>1798</v>
      </c>
      <c r="S68" s="105" t="s">
        <v>94</v>
      </c>
      <c r="T68" s="86"/>
      <c r="U68" s="106" t="s">
        <v>56</v>
      </c>
      <c r="V68" s="19"/>
      <c r="W68" s="19"/>
      <c r="X68" s="19">
        <v>107152500</v>
      </c>
      <c r="Y68" s="19">
        <v>144328289</v>
      </c>
      <c r="Z68" s="19">
        <v>107152262</v>
      </c>
      <c r="AA68" s="19"/>
      <c r="AB68" s="19"/>
      <c r="AC68" s="19"/>
      <c r="AD68" s="135" t="str">
        <f>+INDEX('NGP Chairs CoChairs'!$A$2:$M$53,MATCH('Supersite Working-AW'!$X64,'NGP Chairs CoChairs'!$A$2:$A$53,0),12)</f>
        <v>David Kline</v>
      </c>
      <c r="AE68" s="135" t="str">
        <f>+INDEX('NGP Chairs CoChairs'!$A$2:$M$53,MATCH('Supersite Working-AW'!$Y64,'NGP Chairs CoChairs'!$A$2:$A$53,0),12)</f>
        <v>Geof Cahoon</v>
      </c>
      <c r="AF68" s="135" t="str">
        <f>+INDEX('NGP Chairs CoChairs'!$A$2:$M$53,MATCH('Supersite Working-AW'!$Z64,'NGP Chairs CoChairs'!$A$2:$A$53,0),12)</f>
        <v>Bruce Norikane</v>
      </c>
      <c r="AG68" s="135" t="e">
        <f>+INDEX('NGP Chairs CoChairs'!$A$2:$M$53,MATCH('Supersite Working-AW'!$AA64,'NGP Chairs CoChairs'!$A$2:$A$53,0),12)</f>
        <v>#N/A</v>
      </c>
      <c r="AH68" s="69" t="str">
        <f>+INDEX('NGP Chairs CoChairs'!$A$2:$M$53,MATCH('Supersite Working-AW'!$X64,'NGP Chairs CoChairs'!$A$2:$A$53,0),7)</f>
        <v>7209383466</v>
      </c>
      <c r="AI68" s="69" t="str">
        <f>+INDEX('NGP Chairs CoChairs'!$A$2:$M$53,MATCH('Supersite Working-AW'!$Y64,'NGP Chairs CoChairs'!$A$2:$A$53,0),7)</f>
        <v>7203459803</v>
      </c>
      <c r="AJ68" s="69" t="str">
        <f>+INDEX('NGP Chairs CoChairs'!$A$2:$M$53,MATCH('Supersite Working-AW'!$Z64,'NGP Chairs CoChairs'!$A$2:$A$53,0),7)</f>
        <v>3037752697</v>
      </c>
      <c r="AK68" s="69" t="e">
        <f>+INDEX('NGP Chairs CoChairs'!$A$2:$M$53,MATCH('Supersite Working-AW'!$AA64,'NGP Chairs CoChairs'!$A$2:$A$53,0),7)</f>
        <v>#N/A</v>
      </c>
      <c r="AL68">
        <v>7</v>
      </c>
    </row>
    <row r="69" spans="1:38" ht="16" x14ac:dyDescent="0.2">
      <c r="A69" s="3" t="s">
        <v>172</v>
      </c>
      <c r="B69" s="86">
        <v>403</v>
      </c>
      <c r="C69" s="86" t="s">
        <v>281</v>
      </c>
      <c r="D69" s="86" t="s">
        <v>282</v>
      </c>
      <c r="E69" s="86" t="s">
        <v>283</v>
      </c>
      <c r="F69" s="104" t="s">
        <v>284</v>
      </c>
      <c r="G69" s="86" t="s">
        <v>243</v>
      </c>
      <c r="H69" s="86"/>
      <c r="I69" s="86">
        <v>2</v>
      </c>
      <c r="J69" s="86">
        <v>19</v>
      </c>
      <c r="K69" s="86">
        <v>17</v>
      </c>
      <c r="L69" s="88">
        <v>472</v>
      </c>
      <c r="M69" s="89">
        <f>(L69*$M$2)</f>
        <v>11.8</v>
      </c>
      <c r="N69" s="89"/>
      <c r="O69" s="86" t="s">
        <v>172</v>
      </c>
      <c r="P69" s="86"/>
      <c r="Q69" s="86"/>
      <c r="R69" s="105" t="s">
        <v>1798</v>
      </c>
      <c r="S69" s="105" t="s">
        <v>94</v>
      </c>
      <c r="T69" s="86"/>
      <c r="U69" s="106" t="s">
        <v>56</v>
      </c>
      <c r="V69" s="19"/>
      <c r="W69" s="19"/>
      <c r="X69" s="19">
        <v>107152500</v>
      </c>
      <c r="Y69" s="19">
        <v>144328289</v>
      </c>
      <c r="Z69" s="19">
        <v>107152262</v>
      </c>
      <c r="AA69" s="19"/>
      <c r="AB69" s="19"/>
      <c r="AC69" s="19"/>
      <c r="AD69" s="135" t="str">
        <f>+INDEX('NGP Chairs CoChairs'!$A$2:$M$53,MATCH('Supersite Working-AW'!$X65,'NGP Chairs CoChairs'!$A$2:$A$53,0),12)</f>
        <v>Joel Smith</v>
      </c>
      <c r="AE69" s="135" t="str">
        <f>+INDEX('NGP Chairs CoChairs'!$A$2:$M$53,MATCH('Supersite Working-AW'!$Y65,'NGP Chairs CoChairs'!$A$2:$A$53,0),12)</f>
        <v>Michael Hart</v>
      </c>
      <c r="AF69" s="135" t="str">
        <f>+INDEX('NGP Chairs CoChairs'!$A$2:$M$53,MATCH('Supersite Working-AW'!$Z65,'NGP Chairs CoChairs'!$A$2:$A$53,0),12)</f>
        <v>Patricia Feeser</v>
      </c>
      <c r="AG69" s="135" t="e">
        <f>+INDEX('NGP Chairs CoChairs'!$A$2:$M$53,MATCH('Supersite Working-AW'!$AA65,'NGP Chairs CoChairs'!$A$2:$A$53,0),12)</f>
        <v>#N/A</v>
      </c>
      <c r="AH69" s="69" t="str">
        <f>+INDEX('NGP Chairs CoChairs'!$A$2:$M$53,MATCH('Supersite Working-AW'!$X65,'NGP Chairs CoChairs'!$A$2:$A$53,0),7)</f>
        <v>3032492204</v>
      </c>
      <c r="AI69" s="69" t="str">
        <f>+INDEX('NGP Chairs CoChairs'!$A$2:$M$53,MATCH('Supersite Working-AW'!$Y65,'NGP Chairs CoChairs'!$A$2:$A$53,0),7)</f>
        <v>3039491542</v>
      </c>
      <c r="AJ69" s="69" t="str">
        <f>+INDEX('NGP Chairs CoChairs'!$A$2:$M$53,MATCH('Supersite Working-AW'!$Z65,'NGP Chairs CoChairs'!$A$2:$A$53,0),7)</f>
        <v>5183307872</v>
      </c>
      <c r="AK69" s="69" t="e">
        <f>+INDEX('NGP Chairs CoChairs'!$A$2:$M$53,MATCH('Supersite Working-AW'!$AA65,'NGP Chairs CoChairs'!$A$2:$A$53,0),7)</f>
        <v>#N/A</v>
      </c>
      <c r="AL69">
        <v>7</v>
      </c>
    </row>
    <row r="70" spans="1:38" ht="16" x14ac:dyDescent="0.2">
      <c r="A70" s="3" t="s">
        <v>172</v>
      </c>
      <c r="B70" s="86">
        <v>404</v>
      </c>
      <c r="C70" s="86" t="s">
        <v>281</v>
      </c>
      <c r="D70" s="86" t="s">
        <v>282</v>
      </c>
      <c r="E70" s="86" t="s">
        <v>283</v>
      </c>
      <c r="F70" s="104" t="s">
        <v>284</v>
      </c>
      <c r="G70" s="86" t="s">
        <v>243</v>
      </c>
      <c r="H70" s="86"/>
      <c r="I70" s="86">
        <v>2</v>
      </c>
      <c r="J70" s="86">
        <v>19</v>
      </c>
      <c r="K70" s="86">
        <v>17</v>
      </c>
      <c r="L70" s="88">
        <v>633</v>
      </c>
      <c r="M70" s="89">
        <f>(L70*$M$2)</f>
        <v>15.825000000000001</v>
      </c>
      <c r="N70" s="89"/>
      <c r="O70" s="86" t="s">
        <v>172</v>
      </c>
      <c r="P70" s="86"/>
      <c r="Q70" s="86"/>
      <c r="R70" s="105" t="s">
        <v>1798</v>
      </c>
      <c r="S70" s="105" t="s">
        <v>94</v>
      </c>
      <c r="T70" s="86"/>
      <c r="U70" s="106" t="s">
        <v>56</v>
      </c>
      <c r="V70" s="19"/>
      <c r="W70" s="19"/>
      <c r="X70" s="19">
        <v>107152500</v>
      </c>
      <c r="Y70" s="19">
        <v>144328289</v>
      </c>
      <c r="Z70" s="19">
        <v>107152262</v>
      </c>
      <c r="AA70" s="19"/>
      <c r="AB70" s="19"/>
      <c r="AC70" s="19"/>
      <c r="AD70" s="135" t="str">
        <f>+INDEX('NGP Chairs CoChairs'!$A$2:$M$53,MATCH('Supersite Working-AW'!$X66,'NGP Chairs CoChairs'!$A$2:$A$53,0),12)</f>
        <v>Nancy George</v>
      </c>
      <c r="AE70" s="135" t="str">
        <f>+INDEX('NGP Chairs CoChairs'!$A$2:$M$53,MATCH('Supersite Working-AW'!$Y66,'NGP Chairs CoChairs'!$A$2:$A$53,0),12)</f>
        <v>Pamela Teixeira</v>
      </c>
      <c r="AF70" s="135" t="str">
        <f>+INDEX('NGP Chairs CoChairs'!$A$2:$M$53,MATCH('Supersite Working-AW'!$Z66,'NGP Chairs CoChairs'!$A$2:$A$53,0),12)</f>
        <v>Timm Bryson</v>
      </c>
      <c r="AG70" s="135" t="e">
        <f>+INDEX('NGP Chairs CoChairs'!$A$2:$M$53,MATCH('Supersite Working-AW'!$AA66,'NGP Chairs CoChairs'!$A$2:$A$53,0),12)</f>
        <v>#N/A</v>
      </c>
      <c r="AH70" s="69" t="str">
        <f>+INDEX('NGP Chairs CoChairs'!$A$2:$M$53,MATCH('Supersite Working-AW'!$X66,'NGP Chairs CoChairs'!$A$2:$A$53,0),7)</f>
        <v>7207327496</v>
      </c>
      <c r="AI70" s="69" t="str">
        <f>+INDEX('NGP Chairs CoChairs'!$A$2:$M$53,MATCH('Supersite Working-AW'!$Y66,'NGP Chairs CoChairs'!$A$2:$A$53,0),7)</f>
        <v>7326737007</v>
      </c>
      <c r="AJ70" s="69" t="str">
        <f>+INDEX('NGP Chairs CoChairs'!$A$2:$M$53,MATCH('Supersite Working-AW'!$Z66,'NGP Chairs CoChairs'!$A$2:$A$53,0),7)</f>
        <v>7192515246</v>
      </c>
      <c r="AK70" s="69" t="e">
        <f>+INDEX('NGP Chairs CoChairs'!$A$2:$M$53,MATCH('Supersite Working-AW'!$AA66,'NGP Chairs CoChairs'!$A$2:$A$53,0),7)</f>
        <v>#N/A</v>
      </c>
      <c r="AL70">
        <v>7</v>
      </c>
    </row>
    <row r="71" spans="1:38" ht="16" x14ac:dyDescent="0.2">
      <c r="A71" s="3" t="s">
        <v>172</v>
      </c>
      <c r="B71" s="86">
        <v>405</v>
      </c>
      <c r="C71" s="86" t="s">
        <v>281</v>
      </c>
      <c r="D71" s="86" t="s">
        <v>282</v>
      </c>
      <c r="E71" s="86" t="s">
        <v>283</v>
      </c>
      <c r="F71" s="104" t="s">
        <v>284</v>
      </c>
      <c r="G71" s="86" t="s">
        <v>243</v>
      </c>
      <c r="H71" s="86"/>
      <c r="I71" s="86">
        <v>2</v>
      </c>
      <c r="J71" s="86">
        <v>19</v>
      </c>
      <c r="K71" s="86">
        <v>17</v>
      </c>
      <c r="L71" s="88">
        <v>391</v>
      </c>
      <c r="M71" s="89">
        <f>(L71*$M$2)</f>
        <v>9.7750000000000004</v>
      </c>
      <c r="N71" s="89"/>
      <c r="O71" s="86" t="s">
        <v>172</v>
      </c>
      <c r="P71" s="86"/>
      <c r="Q71" s="86"/>
      <c r="R71" s="105" t="s">
        <v>1798</v>
      </c>
      <c r="S71" s="105" t="s">
        <v>94</v>
      </c>
      <c r="T71" s="86"/>
      <c r="U71" s="106" t="s">
        <v>56</v>
      </c>
      <c r="V71" s="19"/>
      <c r="W71" s="19"/>
      <c r="X71" s="19">
        <v>107152500</v>
      </c>
      <c r="Y71" s="19">
        <v>144328289</v>
      </c>
      <c r="Z71" s="19">
        <v>107152262</v>
      </c>
      <c r="AA71" s="19"/>
      <c r="AB71" s="19"/>
      <c r="AC71" s="19"/>
      <c r="AD71" s="135" t="str">
        <f>+INDEX('NGP Chairs CoChairs'!$A$2:$M$53,MATCH('Supersite Working-AW'!$X67,'NGP Chairs CoChairs'!$A$2:$A$53,0),12)</f>
        <v>Nancy George</v>
      </c>
      <c r="AE71" s="135" t="str">
        <f>+INDEX('NGP Chairs CoChairs'!$A$2:$M$53,MATCH('Supersite Working-AW'!$Y67,'NGP Chairs CoChairs'!$A$2:$A$53,0),12)</f>
        <v>Pamela Teixeira</v>
      </c>
      <c r="AF71" s="135" t="str">
        <f>+INDEX('NGP Chairs CoChairs'!$A$2:$M$53,MATCH('Supersite Working-AW'!$Z67,'NGP Chairs CoChairs'!$A$2:$A$53,0),12)</f>
        <v>Timm Bryson</v>
      </c>
      <c r="AG71" s="135" t="e">
        <f>+INDEX('NGP Chairs CoChairs'!$A$2:$M$53,MATCH('Supersite Working-AW'!$AA67,'NGP Chairs CoChairs'!$A$2:$A$53,0),12)</f>
        <v>#N/A</v>
      </c>
      <c r="AH71" s="69" t="str">
        <f>+INDEX('NGP Chairs CoChairs'!$A$2:$M$53,MATCH('Supersite Working-AW'!$X67,'NGP Chairs CoChairs'!$A$2:$A$53,0),7)</f>
        <v>7207327496</v>
      </c>
      <c r="AI71" s="69" t="str">
        <f>+INDEX('NGP Chairs CoChairs'!$A$2:$M$53,MATCH('Supersite Working-AW'!$Y67,'NGP Chairs CoChairs'!$A$2:$A$53,0),7)</f>
        <v>7326737007</v>
      </c>
      <c r="AJ71" s="69" t="str">
        <f>+INDEX('NGP Chairs CoChairs'!$A$2:$M$53,MATCH('Supersite Working-AW'!$Z67,'NGP Chairs CoChairs'!$A$2:$A$53,0),7)</f>
        <v>7192515246</v>
      </c>
      <c r="AK71" s="69" t="e">
        <f>+INDEX('NGP Chairs CoChairs'!$A$2:$M$53,MATCH('Supersite Working-AW'!$AA67,'NGP Chairs CoChairs'!$A$2:$A$53,0),7)</f>
        <v>#N/A</v>
      </c>
      <c r="AL71">
        <v>7</v>
      </c>
    </row>
    <row r="72" spans="1:38" ht="16" x14ac:dyDescent="0.2">
      <c r="A72" s="3" t="s">
        <v>172</v>
      </c>
      <c r="B72" s="86">
        <v>406</v>
      </c>
      <c r="C72" s="86" t="s">
        <v>281</v>
      </c>
      <c r="D72" s="86" t="s">
        <v>282</v>
      </c>
      <c r="E72" s="86" t="s">
        <v>283</v>
      </c>
      <c r="F72" s="104" t="s">
        <v>284</v>
      </c>
      <c r="G72" s="86" t="s">
        <v>243</v>
      </c>
      <c r="H72" s="86"/>
      <c r="I72" s="86">
        <v>2</v>
      </c>
      <c r="J72" s="86">
        <v>19</v>
      </c>
      <c r="K72" s="86">
        <v>17</v>
      </c>
      <c r="L72" s="88">
        <v>490</v>
      </c>
      <c r="M72" s="89">
        <f>(L72*$M$2)</f>
        <v>12.25</v>
      </c>
      <c r="N72" s="89"/>
      <c r="O72" s="86" t="s">
        <v>172</v>
      </c>
      <c r="P72" s="86"/>
      <c r="Q72" s="86"/>
      <c r="R72" s="105" t="s">
        <v>1798</v>
      </c>
      <c r="S72" s="105" t="s">
        <v>94</v>
      </c>
      <c r="T72" s="86"/>
      <c r="U72" s="106" t="s">
        <v>56</v>
      </c>
      <c r="V72" s="19"/>
      <c r="W72" s="19"/>
      <c r="X72" s="19">
        <v>107152500</v>
      </c>
      <c r="Y72" s="19">
        <v>144328289</v>
      </c>
      <c r="Z72" s="19">
        <v>107152262</v>
      </c>
      <c r="AA72" s="19"/>
      <c r="AB72" s="19"/>
      <c r="AC72" s="19"/>
      <c r="AD72" s="135" t="str">
        <f>+INDEX('NGP Chairs CoChairs'!$A$2:$M$53,MATCH('Supersite Working-AW'!$X68,'NGP Chairs CoChairs'!$A$2:$A$53,0),12)</f>
        <v>Nancy George</v>
      </c>
      <c r="AE72" s="135" t="str">
        <f>+INDEX('NGP Chairs CoChairs'!$A$2:$M$53,MATCH('Supersite Working-AW'!$Y68,'NGP Chairs CoChairs'!$A$2:$A$53,0),12)</f>
        <v>Pamela Teixeira</v>
      </c>
      <c r="AF72" s="135" t="str">
        <f>+INDEX('NGP Chairs CoChairs'!$A$2:$M$53,MATCH('Supersite Working-AW'!$Z68,'NGP Chairs CoChairs'!$A$2:$A$53,0),12)</f>
        <v>Timm Bryson</v>
      </c>
      <c r="AG72" s="135" t="e">
        <f>+INDEX('NGP Chairs CoChairs'!$A$2:$M$53,MATCH('Supersite Working-AW'!$AA68,'NGP Chairs CoChairs'!$A$2:$A$53,0),12)</f>
        <v>#N/A</v>
      </c>
      <c r="AH72" s="69" t="str">
        <f>+INDEX('NGP Chairs CoChairs'!$A$2:$M$53,MATCH('Supersite Working-AW'!$X68,'NGP Chairs CoChairs'!$A$2:$A$53,0),7)</f>
        <v>7207327496</v>
      </c>
      <c r="AI72" s="69" t="str">
        <f>+INDEX('NGP Chairs CoChairs'!$A$2:$M$53,MATCH('Supersite Working-AW'!$Y68,'NGP Chairs CoChairs'!$A$2:$A$53,0),7)</f>
        <v>7326737007</v>
      </c>
      <c r="AJ72" s="69" t="str">
        <f>+INDEX('NGP Chairs CoChairs'!$A$2:$M$53,MATCH('Supersite Working-AW'!$Z68,'NGP Chairs CoChairs'!$A$2:$A$53,0),7)</f>
        <v>7192515246</v>
      </c>
      <c r="AK72" s="69" t="e">
        <f>+INDEX('NGP Chairs CoChairs'!$A$2:$M$53,MATCH('Supersite Working-AW'!$AA68,'NGP Chairs CoChairs'!$A$2:$A$53,0),7)</f>
        <v>#N/A</v>
      </c>
      <c r="AL72">
        <v>7</v>
      </c>
    </row>
    <row r="73" spans="1:38" ht="17" x14ac:dyDescent="0.2">
      <c r="A73" s="3" t="s">
        <v>172</v>
      </c>
      <c r="B73" s="107">
        <v>407</v>
      </c>
      <c r="C73" s="107" t="s">
        <v>281</v>
      </c>
      <c r="D73" s="107" t="s">
        <v>282</v>
      </c>
      <c r="E73" s="87" t="s">
        <v>283</v>
      </c>
      <c r="F73" s="104" t="s">
        <v>284</v>
      </c>
      <c r="G73" s="107" t="s">
        <v>243</v>
      </c>
      <c r="H73" s="107"/>
      <c r="I73" s="107">
        <v>2</v>
      </c>
      <c r="J73" s="107">
        <v>19</v>
      </c>
      <c r="K73" s="107">
        <v>17</v>
      </c>
      <c r="L73" s="108">
        <v>144</v>
      </c>
      <c r="M73" s="89">
        <f>(L73*$M$2)</f>
        <v>3.6</v>
      </c>
      <c r="N73" s="89"/>
      <c r="O73" s="86" t="s">
        <v>172</v>
      </c>
      <c r="P73" s="86"/>
      <c r="Q73" s="109" t="s">
        <v>285</v>
      </c>
      <c r="R73" s="105" t="s">
        <v>1798</v>
      </c>
      <c r="S73" s="105" t="s">
        <v>94</v>
      </c>
      <c r="T73" s="107"/>
      <c r="U73" s="106" t="s">
        <v>56</v>
      </c>
      <c r="V73" s="19"/>
      <c r="W73" s="19"/>
      <c r="X73" s="19">
        <v>107152500</v>
      </c>
      <c r="Y73" s="19">
        <v>144328289</v>
      </c>
      <c r="Z73" s="19">
        <v>107152262</v>
      </c>
      <c r="AA73" s="19"/>
      <c r="AB73" s="19"/>
      <c r="AC73" s="19"/>
      <c r="AD73" s="135" t="str">
        <f>+INDEX('NGP Chairs CoChairs'!$A$2:$M$53,MATCH('Supersite Working-AW'!$X69,'NGP Chairs CoChairs'!$A$2:$A$53,0),12)</f>
        <v>Nancy George</v>
      </c>
      <c r="AE73" s="135" t="str">
        <f>+INDEX('NGP Chairs CoChairs'!$A$2:$M$53,MATCH('Supersite Working-AW'!$Y69,'NGP Chairs CoChairs'!$A$2:$A$53,0),12)</f>
        <v>Pamela Teixeira</v>
      </c>
      <c r="AF73" s="135" t="str">
        <f>+INDEX('NGP Chairs CoChairs'!$A$2:$M$53,MATCH('Supersite Working-AW'!$Z69,'NGP Chairs CoChairs'!$A$2:$A$53,0),12)</f>
        <v>Timm Bryson</v>
      </c>
      <c r="AG73" s="135" t="e">
        <f>+INDEX('NGP Chairs CoChairs'!$A$2:$M$53,MATCH('Supersite Working-AW'!$AA69,'NGP Chairs CoChairs'!$A$2:$A$53,0),12)</f>
        <v>#N/A</v>
      </c>
      <c r="AH73" s="69" t="str">
        <f>+INDEX('NGP Chairs CoChairs'!$A$2:$M$53,MATCH('Supersite Working-AW'!$X69,'NGP Chairs CoChairs'!$A$2:$A$53,0),7)</f>
        <v>7207327496</v>
      </c>
      <c r="AI73" s="69" t="str">
        <f>+INDEX('NGP Chairs CoChairs'!$A$2:$M$53,MATCH('Supersite Working-AW'!$Y69,'NGP Chairs CoChairs'!$A$2:$A$53,0),7)</f>
        <v>7326737007</v>
      </c>
      <c r="AJ73" s="69" t="str">
        <f>+INDEX('NGP Chairs CoChairs'!$A$2:$M$53,MATCH('Supersite Working-AW'!$Z69,'NGP Chairs CoChairs'!$A$2:$A$53,0),7)</f>
        <v>7192515246</v>
      </c>
      <c r="AK73" s="69" t="e">
        <f>+INDEX('NGP Chairs CoChairs'!$A$2:$M$53,MATCH('Supersite Working-AW'!$AA69,'NGP Chairs CoChairs'!$A$2:$A$53,0),7)</f>
        <v>#N/A</v>
      </c>
      <c r="AL73">
        <v>7</v>
      </c>
    </row>
    <row r="74" spans="1:38" ht="17" x14ac:dyDescent="0.2">
      <c r="A74" s="3" t="s">
        <v>172</v>
      </c>
      <c r="B74" s="107">
        <v>408</v>
      </c>
      <c r="C74" s="107" t="s">
        <v>281</v>
      </c>
      <c r="D74" s="107" t="s">
        <v>282</v>
      </c>
      <c r="E74" s="87" t="s">
        <v>283</v>
      </c>
      <c r="F74" s="104" t="s">
        <v>284</v>
      </c>
      <c r="G74" s="107" t="s">
        <v>243</v>
      </c>
      <c r="H74" s="107"/>
      <c r="I74" s="107">
        <v>2</v>
      </c>
      <c r="J74" s="107">
        <v>19</v>
      </c>
      <c r="K74" s="107">
        <v>17</v>
      </c>
      <c r="L74" s="108">
        <v>175</v>
      </c>
      <c r="M74" s="89">
        <f>(L74*$M$2)</f>
        <v>4.375</v>
      </c>
      <c r="N74" s="89">
        <f>SUM(M66:M74)</f>
        <v>98.4</v>
      </c>
      <c r="O74" s="86" t="s">
        <v>172</v>
      </c>
      <c r="P74" s="86"/>
      <c r="Q74" s="109" t="s">
        <v>285</v>
      </c>
      <c r="R74" s="105" t="s">
        <v>1798</v>
      </c>
      <c r="S74" s="105" t="s">
        <v>94</v>
      </c>
      <c r="T74" s="107"/>
      <c r="U74" s="106" t="s">
        <v>56</v>
      </c>
      <c r="V74" s="19"/>
      <c r="W74" s="19"/>
      <c r="X74" s="19">
        <v>107152500</v>
      </c>
      <c r="Y74" s="19">
        <v>144328289</v>
      </c>
      <c r="Z74" s="19">
        <v>107152262</v>
      </c>
      <c r="AA74" s="19"/>
      <c r="AB74" s="19"/>
      <c r="AC74" s="19"/>
      <c r="AD74" s="135" t="str">
        <f>+INDEX('NGP Chairs CoChairs'!$A$2:$M$53,MATCH('Supersite Working-AW'!$X70,'NGP Chairs CoChairs'!$A$2:$A$53,0),12)</f>
        <v>Nancy George</v>
      </c>
      <c r="AE74" s="135" t="str">
        <f>+INDEX('NGP Chairs CoChairs'!$A$2:$M$53,MATCH('Supersite Working-AW'!$Y70,'NGP Chairs CoChairs'!$A$2:$A$53,0),12)</f>
        <v>Pamela Teixeira</v>
      </c>
      <c r="AF74" s="135" t="str">
        <f>+INDEX('NGP Chairs CoChairs'!$A$2:$M$53,MATCH('Supersite Working-AW'!$Z70,'NGP Chairs CoChairs'!$A$2:$A$53,0),12)</f>
        <v>Timm Bryson</v>
      </c>
      <c r="AG74" s="135" t="e">
        <f>+INDEX('NGP Chairs CoChairs'!$A$2:$M$53,MATCH('Supersite Working-AW'!$AA70,'NGP Chairs CoChairs'!$A$2:$A$53,0),12)</f>
        <v>#N/A</v>
      </c>
      <c r="AH74" s="69" t="str">
        <f>+INDEX('NGP Chairs CoChairs'!$A$2:$M$53,MATCH('Supersite Working-AW'!$X70,'NGP Chairs CoChairs'!$A$2:$A$53,0),7)</f>
        <v>7207327496</v>
      </c>
      <c r="AI74" s="69" t="str">
        <f>+INDEX('NGP Chairs CoChairs'!$A$2:$M$53,MATCH('Supersite Working-AW'!$Y70,'NGP Chairs CoChairs'!$A$2:$A$53,0),7)</f>
        <v>7326737007</v>
      </c>
      <c r="AJ74" s="69" t="str">
        <f>+INDEX('NGP Chairs CoChairs'!$A$2:$M$53,MATCH('Supersite Working-AW'!$Z70,'NGP Chairs CoChairs'!$A$2:$A$53,0),7)</f>
        <v>7192515246</v>
      </c>
      <c r="AK74" s="69" t="e">
        <f>+INDEX('NGP Chairs CoChairs'!$A$2:$M$53,MATCH('Supersite Working-AW'!$AA70,'NGP Chairs CoChairs'!$A$2:$A$53,0),7)</f>
        <v>#N/A</v>
      </c>
      <c r="AL74">
        <v>7</v>
      </c>
    </row>
    <row r="75" spans="1:38" ht="17" x14ac:dyDescent="0.2">
      <c r="A75" s="3" t="s">
        <v>351</v>
      </c>
      <c r="B75" s="86">
        <v>506</v>
      </c>
      <c r="C75" s="86" t="s">
        <v>352</v>
      </c>
      <c r="D75" s="86" t="s">
        <v>353</v>
      </c>
      <c r="E75" s="86" t="s">
        <v>354</v>
      </c>
      <c r="F75" s="86" t="s">
        <v>355</v>
      </c>
      <c r="G75" s="86" t="s">
        <v>243</v>
      </c>
      <c r="H75" s="86"/>
      <c r="I75" s="86">
        <v>2</v>
      </c>
      <c r="J75" s="86">
        <v>12</v>
      </c>
      <c r="K75" s="86">
        <v>18</v>
      </c>
      <c r="L75" s="88">
        <v>676</v>
      </c>
      <c r="M75" s="89">
        <f>(L75*$M$2)</f>
        <v>16.900000000000002</v>
      </c>
      <c r="N75" s="89"/>
      <c r="O75" s="86" t="s">
        <v>175</v>
      </c>
      <c r="P75" s="19"/>
      <c r="Q75" s="101" t="s">
        <v>356</v>
      </c>
      <c r="R75" s="121" t="s">
        <v>94</v>
      </c>
      <c r="S75" s="122" t="s">
        <v>132</v>
      </c>
      <c r="T75" s="86" t="s">
        <v>357</v>
      </c>
      <c r="U75" s="106" t="s">
        <v>358</v>
      </c>
      <c r="V75" s="19"/>
      <c r="W75" s="19"/>
      <c r="X75" s="95">
        <v>107152131</v>
      </c>
      <c r="Y75" s="19">
        <v>122989657</v>
      </c>
      <c r="Z75" s="19">
        <v>114937506</v>
      </c>
      <c r="AA75" s="19"/>
      <c r="AB75" s="19"/>
      <c r="AC75" s="19"/>
      <c r="AD75" s="135" t="str">
        <f>+INDEX('NGP Chairs CoChairs'!$A$2:$M$53,MATCH('Supersite Working-AW'!$X74,'NGP Chairs CoChairs'!$A$2:$A$53,0),12)</f>
        <v>Nancy George</v>
      </c>
      <c r="AE75" s="135" t="str">
        <f>+INDEX('NGP Chairs CoChairs'!$A$2:$M$53,MATCH('Supersite Working-AW'!$Y74,'NGP Chairs CoChairs'!$A$2:$A$53,0),12)</f>
        <v>Pamela Teixeira</v>
      </c>
      <c r="AF75" s="135" t="str">
        <f>+INDEX('NGP Chairs CoChairs'!$A$2:$M$53,MATCH('Supersite Working-AW'!$Z74,'NGP Chairs CoChairs'!$A$2:$A$53,0),12)</f>
        <v>Timm Bryson</v>
      </c>
      <c r="AG75" s="135" t="e">
        <f>+INDEX('NGP Chairs CoChairs'!$A$2:$M$53,MATCH('Supersite Working-AW'!$AA74,'NGP Chairs CoChairs'!$A$2:$A$53,0),12)</f>
        <v>#N/A</v>
      </c>
      <c r="AH75" s="69" t="str">
        <f>+INDEX('NGP Chairs CoChairs'!$A$2:$M$53,MATCH('Supersite Working-AW'!$X74,'NGP Chairs CoChairs'!$A$2:$A$53,0),7)</f>
        <v>7207327496</v>
      </c>
      <c r="AI75" s="69" t="str">
        <f>+INDEX('NGP Chairs CoChairs'!$A$2:$M$53,MATCH('Supersite Working-AW'!$Y74,'NGP Chairs CoChairs'!$A$2:$A$53,0),7)</f>
        <v>7326737007</v>
      </c>
      <c r="AJ75" s="69" t="str">
        <f>+INDEX('NGP Chairs CoChairs'!$A$2:$M$53,MATCH('Supersite Working-AW'!$Z74,'NGP Chairs CoChairs'!$A$2:$A$53,0),7)</f>
        <v>7192515246</v>
      </c>
      <c r="AK75" s="69" t="e">
        <f>+INDEX('NGP Chairs CoChairs'!$A$2:$M$53,MATCH('Supersite Working-AW'!$AA74,'NGP Chairs CoChairs'!$A$2:$A$53,0),7)</f>
        <v>#N/A</v>
      </c>
      <c r="AL75">
        <v>8</v>
      </c>
    </row>
    <row r="76" spans="1:38" ht="17" x14ac:dyDescent="0.2">
      <c r="A76" s="3" t="s">
        <v>351</v>
      </c>
      <c r="B76" s="86">
        <v>507</v>
      </c>
      <c r="C76" s="86" t="s">
        <v>352</v>
      </c>
      <c r="D76" s="86" t="s">
        <v>353</v>
      </c>
      <c r="E76" s="86" t="s">
        <v>354</v>
      </c>
      <c r="F76" s="86" t="s">
        <v>355</v>
      </c>
      <c r="G76" s="86" t="s">
        <v>243</v>
      </c>
      <c r="H76" s="86"/>
      <c r="I76" s="86">
        <v>2</v>
      </c>
      <c r="J76" s="86">
        <v>12</v>
      </c>
      <c r="K76" s="86">
        <v>18</v>
      </c>
      <c r="L76" s="88">
        <v>856</v>
      </c>
      <c r="M76" s="89">
        <f>(L76*$M$2)</f>
        <v>21.400000000000002</v>
      </c>
      <c r="N76" s="89"/>
      <c r="O76" s="86" t="s">
        <v>175</v>
      </c>
      <c r="P76" s="86"/>
      <c r="Q76" s="101" t="s">
        <v>356</v>
      </c>
      <c r="R76" s="121" t="s">
        <v>94</v>
      </c>
      <c r="S76" s="122" t="s">
        <v>132</v>
      </c>
      <c r="T76" s="86" t="s">
        <v>357</v>
      </c>
      <c r="U76" s="106" t="s">
        <v>358</v>
      </c>
      <c r="V76" s="19"/>
      <c r="W76" s="19"/>
      <c r="X76" s="95">
        <v>107152131</v>
      </c>
      <c r="Y76" s="19">
        <v>122989657</v>
      </c>
      <c r="Z76" s="19">
        <v>114937506</v>
      </c>
      <c r="AA76" s="19"/>
      <c r="AB76" s="19"/>
      <c r="AC76" s="19"/>
      <c r="AD76" s="135" t="str">
        <f>+INDEX('NGP Chairs CoChairs'!$A$2:$M$53,MATCH('Supersite Working-AW'!$X75,'NGP Chairs CoChairs'!$A$2:$A$53,0),12)</f>
        <v>Michael Altenbern</v>
      </c>
      <c r="AE76" s="135" t="str">
        <f>+INDEX('NGP Chairs CoChairs'!$A$2:$M$53,MATCH('Supersite Working-AW'!$Y75,'NGP Chairs CoChairs'!$A$2:$A$53,0),12)</f>
        <v>Mark Flett</v>
      </c>
      <c r="AF76" s="135" t="str">
        <f>+INDEX('NGP Chairs CoChairs'!$A$2:$M$53,MATCH('Supersite Working-AW'!$Z75,'NGP Chairs CoChairs'!$A$2:$A$53,0),12)</f>
        <v>Susan Winter</v>
      </c>
      <c r="AG76" s="135" t="e">
        <f>+INDEX('NGP Chairs CoChairs'!$A$2:$M$53,MATCH('Supersite Working-AW'!$AA75,'NGP Chairs CoChairs'!$A$2:$A$53,0),12)</f>
        <v>#N/A</v>
      </c>
      <c r="AH76" s="69" t="str">
        <f>+INDEX('NGP Chairs CoChairs'!$A$2:$M$53,MATCH('Supersite Working-AW'!$X75,'NGP Chairs CoChairs'!$A$2:$A$53,0),7)</f>
        <v>3039097201</v>
      </c>
      <c r="AI76" s="69" t="str">
        <f>+INDEX('NGP Chairs CoChairs'!$A$2:$M$53,MATCH('Supersite Working-AW'!$Y75,'NGP Chairs CoChairs'!$A$2:$A$53,0),7)</f>
        <v>3032291024</v>
      </c>
      <c r="AJ76" s="69" t="str">
        <f>+INDEX('NGP Chairs CoChairs'!$A$2:$M$53,MATCH('Supersite Working-AW'!$Z75,'NGP Chairs CoChairs'!$A$2:$A$53,0),7)</f>
        <v>3035810783</v>
      </c>
      <c r="AK76" s="69" t="e">
        <f>+INDEX('NGP Chairs CoChairs'!$A$2:$M$53,MATCH('Supersite Working-AW'!$AA75,'NGP Chairs CoChairs'!$A$2:$A$53,0),7)</f>
        <v>#N/A</v>
      </c>
      <c r="AL76">
        <v>8</v>
      </c>
    </row>
    <row r="77" spans="1:38" ht="17" x14ac:dyDescent="0.2">
      <c r="A77" s="3" t="s">
        <v>351</v>
      </c>
      <c r="B77" s="86">
        <v>508</v>
      </c>
      <c r="C77" s="86" t="s">
        <v>352</v>
      </c>
      <c r="D77" s="86" t="s">
        <v>353</v>
      </c>
      <c r="E77" s="86" t="s">
        <v>354</v>
      </c>
      <c r="F77" s="86" t="s">
        <v>355</v>
      </c>
      <c r="G77" s="86" t="s">
        <v>243</v>
      </c>
      <c r="H77" s="86"/>
      <c r="I77" s="86">
        <v>2</v>
      </c>
      <c r="J77" s="86">
        <v>12</v>
      </c>
      <c r="K77" s="86">
        <v>18</v>
      </c>
      <c r="L77" s="88">
        <v>582</v>
      </c>
      <c r="M77" s="89">
        <f>(L77*$M$2)</f>
        <v>14.55</v>
      </c>
      <c r="N77" s="89"/>
      <c r="O77" s="86" t="s">
        <v>175</v>
      </c>
      <c r="P77" s="86"/>
      <c r="Q77" s="101" t="s">
        <v>356</v>
      </c>
      <c r="R77" s="121" t="s">
        <v>94</v>
      </c>
      <c r="S77" s="122" t="s">
        <v>132</v>
      </c>
      <c r="T77" s="86" t="s">
        <v>357</v>
      </c>
      <c r="U77" s="106" t="s">
        <v>358</v>
      </c>
      <c r="V77" s="19"/>
      <c r="W77" s="19"/>
      <c r="X77" s="95">
        <v>107152131</v>
      </c>
      <c r="Y77" s="19">
        <v>122989657</v>
      </c>
      <c r="Z77" s="19">
        <v>114937506</v>
      </c>
      <c r="AA77" s="19"/>
      <c r="AB77" s="19"/>
      <c r="AC77" s="19"/>
      <c r="AD77" s="135" t="str">
        <f>+INDEX('NGP Chairs CoChairs'!$A$2:$M$53,MATCH('Supersite Working-AW'!$X76,'NGP Chairs CoChairs'!$A$2:$A$53,0),12)</f>
        <v>Michael Altenbern</v>
      </c>
      <c r="AE77" s="135" t="str">
        <f>+INDEX('NGP Chairs CoChairs'!$A$2:$M$53,MATCH('Supersite Working-AW'!$Y76,'NGP Chairs CoChairs'!$A$2:$A$53,0),12)</f>
        <v>Mark Flett</v>
      </c>
      <c r="AF77" s="135" t="str">
        <f>+INDEX('NGP Chairs CoChairs'!$A$2:$M$53,MATCH('Supersite Working-AW'!$Z76,'NGP Chairs CoChairs'!$A$2:$A$53,0),12)</f>
        <v>Susan Winter</v>
      </c>
      <c r="AG77" s="135" t="e">
        <f>+INDEX('NGP Chairs CoChairs'!$A$2:$M$53,MATCH('Supersite Working-AW'!$AA76,'NGP Chairs CoChairs'!$A$2:$A$53,0),12)</f>
        <v>#N/A</v>
      </c>
      <c r="AH77" s="69" t="str">
        <f>+INDEX('NGP Chairs CoChairs'!$A$2:$M$53,MATCH('Supersite Working-AW'!$X76,'NGP Chairs CoChairs'!$A$2:$A$53,0),7)</f>
        <v>3039097201</v>
      </c>
      <c r="AI77" s="69" t="str">
        <f>+INDEX('NGP Chairs CoChairs'!$A$2:$M$53,MATCH('Supersite Working-AW'!$Y76,'NGP Chairs CoChairs'!$A$2:$A$53,0),7)</f>
        <v>3032291024</v>
      </c>
      <c r="AJ77" s="69" t="str">
        <f>+INDEX('NGP Chairs CoChairs'!$A$2:$M$53,MATCH('Supersite Working-AW'!$Z76,'NGP Chairs CoChairs'!$A$2:$A$53,0),7)</f>
        <v>3035810783</v>
      </c>
      <c r="AK77" s="69" t="e">
        <f>+INDEX('NGP Chairs CoChairs'!$A$2:$M$53,MATCH('Supersite Working-AW'!$AA76,'NGP Chairs CoChairs'!$A$2:$A$53,0),7)</f>
        <v>#N/A</v>
      </c>
      <c r="AL77">
        <v>8</v>
      </c>
    </row>
    <row r="78" spans="1:38" ht="17" x14ac:dyDescent="0.2">
      <c r="A78" s="3" t="s">
        <v>351</v>
      </c>
      <c r="B78" s="86">
        <v>509</v>
      </c>
      <c r="C78" s="86" t="s">
        <v>352</v>
      </c>
      <c r="D78" s="86" t="s">
        <v>353</v>
      </c>
      <c r="E78" s="86" t="s">
        <v>354</v>
      </c>
      <c r="F78" s="86" t="s">
        <v>355</v>
      </c>
      <c r="G78" s="86" t="s">
        <v>243</v>
      </c>
      <c r="H78" s="86"/>
      <c r="I78" s="86">
        <v>2</v>
      </c>
      <c r="J78" s="86">
        <v>12</v>
      </c>
      <c r="K78" s="86">
        <v>18</v>
      </c>
      <c r="L78" s="88">
        <v>785</v>
      </c>
      <c r="M78" s="89">
        <f>(L78*$M$2)</f>
        <v>19.625</v>
      </c>
      <c r="N78" s="89"/>
      <c r="O78" s="86" t="s">
        <v>175</v>
      </c>
      <c r="P78" s="86"/>
      <c r="Q78" s="101" t="s">
        <v>356</v>
      </c>
      <c r="R78" s="121" t="s">
        <v>94</v>
      </c>
      <c r="S78" s="122" t="s">
        <v>132</v>
      </c>
      <c r="T78" s="86" t="s">
        <v>357</v>
      </c>
      <c r="U78" s="106" t="s">
        <v>358</v>
      </c>
      <c r="V78" s="19"/>
      <c r="W78" s="19"/>
      <c r="X78" s="95">
        <v>107152131</v>
      </c>
      <c r="Y78" s="19">
        <v>122989657</v>
      </c>
      <c r="Z78" s="19">
        <v>114937506</v>
      </c>
      <c r="AA78" s="19"/>
      <c r="AB78" s="19"/>
      <c r="AC78" s="19"/>
      <c r="AD78" s="135" t="str">
        <f>+INDEX('NGP Chairs CoChairs'!$A$2:$M$53,MATCH('Supersite Working-AW'!$X77,'NGP Chairs CoChairs'!$A$2:$A$53,0),12)</f>
        <v>Michael Altenbern</v>
      </c>
      <c r="AE78" s="135" t="str">
        <f>+INDEX('NGP Chairs CoChairs'!$A$2:$M$53,MATCH('Supersite Working-AW'!$Y77,'NGP Chairs CoChairs'!$A$2:$A$53,0),12)</f>
        <v>Mark Flett</v>
      </c>
      <c r="AF78" s="135" t="str">
        <f>+INDEX('NGP Chairs CoChairs'!$A$2:$M$53,MATCH('Supersite Working-AW'!$Z77,'NGP Chairs CoChairs'!$A$2:$A$53,0),12)</f>
        <v>Susan Winter</v>
      </c>
      <c r="AG78" s="135" t="e">
        <f>+INDEX('NGP Chairs CoChairs'!$A$2:$M$53,MATCH('Supersite Working-AW'!$AA77,'NGP Chairs CoChairs'!$A$2:$A$53,0),12)</f>
        <v>#N/A</v>
      </c>
      <c r="AH78" s="69" t="str">
        <f>+INDEX('NGP Chairs CoChairs'!$A$2:$M$53,MATCH('Supersite Working-AW'!$X77,'NGP Chairs CoChairs'!$A$2:$A$53,0),7)</f>
        <v>3039097201</v>
      </c>
      <c r="AI78" s="69" t="str">
        <f>+INDEX('NGP Chairs CoChairs'!$A$2:$M$53,MATCH('Supersite Working-AW'!$Y77,'NGP Chairs CoChairs'!$A$2:$A$53,0),7)</f>
        <v>3032291024</v>
      </c>
      <c r="AJ78" s="69" t="str">
        <f>+INDEX('NGP Chairs CoChairs'!$A$2:$M$53,MATCH('Supersite Working-AW'!$Z77,'NGP Chairs CoChairs'!$A$2:$A$53,0),7)</f>
        <v>3035810783</v>
      </c>
      <c r="AK78" s="69" t="e">
        <f>+INDEX('NGP Chairs CoChairs'!$A$2:$M$53,MATCH('Supersite Working-AW'!$AA77,'NGP Chairs CoChairs'!$A$2:$A$53,0),7)</f>
        <v>#N/A</v>
      </c>
      <c r="AL78">
        <v>8</v>
      </c>
    </row>
    <row r="79" spans="1:38" ht="17" x14ac:dyDescent="0.2">
      <c r="A79" s="3" t="s">
        <v>351</v>
      </c>
      <c r="B79" s="86">
        <v>510</v>
      </c>
      <c r="C79" s="86" t="s">
        <v>352</v>
      </c>
      <c r="D79" s="86" t="s">
        <v>353</v>
      </c>
      <c r="E79" s="86" t="s">
        <v>354</v>
      </c>
      <c r="F79" s="86" t="s">
        <v>355</v>
      </c>
      <c r="G79" s="86" t="s">
        <v>243</v>
      </c>
      <c r="H79" s="86"/>
      <c r="I79" s="86">
        <v>2</v>
      </c>
      <c r="J79" s="86">
        <v>12</v>
      </c>
      <c r="K79" s="86">
        <v>18</v>
      </c>
      <c r="L79" s="88">
        <v>426</v>
      </c>
      <c r="M79" s="89">
        <f>(L79*$M$2)</f>
        <v>10.65</v>
      </c>
      <c r="N79" s="89"/>
      <c r="O79" s="86" t="s">
        <v>175</v>
      </c>
      <c r="P79" s="86"/>
      <c r="Q79" s="101" t="s">
        <v>356</v>
      </c>
      <c r="R79" s="121" t="s">
        <v>94</v>
      </c>
      <c r="S79" s="122" t="s">
        <v>132</v>
      </c>
      <c r="T79" s="86" t="s">
        <v>357</v>
      </c>
      <c r="U79" s="106" t="s">
        <v>358</v>
      </c>
      <c r="V79" s="19"/>
      <c r="W79" s="19"/>
      <c r="X79" s="95">
        <v>107152131</v>
      </c>
      <c r="Y79" s="19">
        <v>122989657</v>
      </c>
      <c r="Z79" s="19">
        <v>114937506</v>
      </c>
      <c r="AA79" s="19"/>
      <c r="AB79" s="19"/>
      <c r="AC79" s="19"/>
      <c r="AD79" s="135" t="str">
        <f>+INDEX('NGP Chairs CoChairs'!$A$2:$M$53,MATCH('Supersite Working-AW'!$X78,'NGP Chairs CoChairs'!$A$2:$A$53,0),12)</f>
        <v>Michael Altenbern</v>
      </c>
      <c r="AE79" s="135" t="str">
        <f>+INDEX('NGP Chairs CoChairs'!$A$2:$M$53,MATCH('Supersite Working-AW'!$Y78,'NGP Chairs CoChairs'!$A$2:$A$53,0),12)</f>
        <v>Mark Flett</v>
      </c>
      <c r="AF79" s="135" t="str">
        <f>+INDEX('NGP Chairs CoChairs'!$A$2:$M$53,MATCH('Supersite Working-AW'!$Z78,'NGP Chairs CoChairs'!$A$2:$A$53,0),12)</f>
        <v>Susan Winter</v>
      </c>
      <c r="AG79" s="135" t="e">
        <f>+INDEX('NGP Chairs CoChairs'!$A$2:$M$53,MATCH('Supersite Working-AW'!$AA78,'NGP Chairs CoChairs'!$A$2:$A$53,0),12)</f>
        <v>#N/A</v>
      </c>
      <c r="AH79" s="69" t="str">
        <f>+INDEX('NGP Chairs CoChairs'!$A$2:$M$53,MATCH('Supersite Working-AW'!$X78,'NGP Chairs CoChairs'!$A$2:$A$53,0),7)</f>
        <v>3039097201</v>
      </c>
      <c r="AI79" s="69" t="str">
        <f>+INDEX('NGP Chairs CoChairs'!$A$2:$M$53,MATCH('Supersite Working-AW'!$Y78,'NGP Chairs CoChairs'!$A$2:$A$53,0),7)</f>
        <v>3032291024</v>
      </c>
      <c r="AJ79" s="69" t="str">
        <f>+INDEX('NGP Chairs CoChairs'!$A$2:$M$53,MATCH('Supersite Working-AW'!$Z78,'NGP Chairs CoChairs'!$A$2:$A$53,0),7)</f>
        <v>3035810783</v>
      </c>
      <c r="AK79" s="69" t="e">
        <f>+INDEX('NGP Chairs CoChairs'!$A$2:$M$53,MATCH('Supersite Working-AW'!$AA78,'NGP Chairs CoChairs'!$A$2:$A$53,0),7)</f>
        <v>#N/A</v>
      </c>
      <c r="AL79">
        <v>8</v>
      </c>
    </row>
    <row r="80" spans="1:38" ht="17" x14ac:dyDescent="0.2">
      <c r="A80" s="3" t="s">
        <v>351</v>
      </c>
      <c r="B80" s="86">
        <v>800</v>
      </c>
      <c r="C80" s="86" t="s">
        <v>352</v>
      </c>
      <c r="D80" s="86" t="s">
        <v>353</v>
      </c>
      <c r="E80" s="86" t="s">
        <v>354</v>
      </c>
      <c r="F80" s="86" t="s">
        <v>355</v>
      </c>
      <c r="G80" s="86" t="s">
        <v>243</v>
      </c>
      <c r="H80" s="86"/>
      <c r="I80" s="86">
        <v>2</v>
      </c>
      <c r="J80" s="86">
        <v>10</v>
      </c>
      <c r="K80" s="86">
        <v>18</v>
      </c>
      <c r="L80" s="88">
        <v>453</v>
      </c>
      <c r="M80" s="89">
        <f>(L80*$M$2)</f>
        <v>11.325000000000001</v>
      </c>
      <c r="N80" s="89"/>
      <c r="O80" s="86" t="s">
        <v>175</v>
      </c>
      <c r="P80" s="86"/>
      <c r="Q80" s="101" t="s">
        <v>356</v>
      </c>
      <c r="R80" s="121" t="s">
        <v>94</v>
      </c>
      <c r="S80" s="122" t="s">
        <v>132</v>
      </c>
      <c r="T80" s="86" t="s">
        <v>357</v>
      </c>
      <c r="U80" s="106" t="s">
        <v>358</v>
      </c>
      <c r="V80" s="19"/>
      <c r="W80" s="19"/>
      <c r="X80" s="95">
        <v>107152131</v>
      </c>
      <c r="Y80" s="19">
        <v>122989657</v>
      </c>
      <c r="Z80" s="19">
        <v>114937506</v>
      </c>
      <c r="AA80" s="19"/>
      <c r="AB80" s="19"/>
      <c r="AC80" s="19"/>
      <c r="AD80" s="135" t="str">
        <f>+INDEX('NGP Chairs CoChairs'!$A$2:$M$53,MATCH('Supersite Working-AW'!$X79,'NGP Chairs CoChairs'!$A$2:$A$53,0),12)</f>
        <v>Michael Altenbern</v>
      </c>
      <c r="AE80" s="135" t="str">
        <f>+INDEX('NGP Chairs CoChairs'!$A$2:$M$53,MATCH('Supersite Working-AW'!$Y79,'NGP Chairs CoChairs'!$A$2:$A$53,0),12)</f>
        <v>Mark Flett</v>
      </c>
      <c r="AF80" s="135" t="str">
        <f>+INDEX('NGP Chairs CoChairs'!$A$2:$M$53,MATCH('Supersite Working-AW'!$Z79,'NGP Chairs CoChairs'!$A$2:$A$53,0),12)</f>
        <v>Susan Winter</v>
      </c>
      <c r="AG80" s="135" t="e">
        <f>+INDEX('NGP Chairs CoChairs'!$A$2:$M$53,MATCH('Supersite Working-AW'!$AA79,'NGP Chairs CoChairs'!$A$2:$A$53,0),12)</f>
        <v>#N/A</v>
      </c>
      <c r="AH80" s="69" t="str">
        <f>+INDEX('NGP Chairs CoChairs'!$A$2:$M$53,MATCH('Supersite Working-AW'!$X79,'NGP Chairs CoChairs'!$A$2:$A$53,0),7)</f>
        <v>3039097201</v>
      </c>
      <c r="AI80" s="69" t="str">
        <f>+INDEX('NGP Chairs CoChairs'!$A$2:$M$53,MATCH('Supersite Working-AW'!$Y79,'NGP Chairs CoChairs'!$A$2:$A$53,0),7)</f>
        <v>3032291024</v>
      </c>
      <c r="AJ80" s="69" t="str">
        <f>+INDEX('NGP Chairs CoChairs'!$A$2:$M$53,MATCH('Supersite Working-AW'!$Z79,'NGP Chairs CoChairs'!$A$2:$A$53,0),7)</f>
        <v>3035810783</v>
      </c>
      <c r="AK80" s="69" t="e">
        <f>+INDEX('NGP Chairs CoChairs'!$A$2:$M$53,MATCH('Supersite Working-AW'!$AA79,'NGP Chairs CoChairs'!$A$2:$A$53,0),7)</f>
        <v>#N/A</v>
      </c>
      <c r="AL80">
        <v>8</v>
      </c>
    </row>
    <row r="81" spans="1:38" ht="17" x14ac:dyDescent="0.2">
      <c r="A81" s="3" t="s">
        <v>351</v>
      </c>
      <c r="B81" s="86">
        <v>801</v>
      </c>
      <c r="C81" s="86" t="s">
        <v>352</v>
      </c>
      <c r="D81" s="86" t="s">
        <v>353</v>
      </c>
      <c r="E81" s="86" t="s">
        <v>354</v>
      </c>
      <c r="F81" s="86" t="s">
        <v>355</v>
      </c>
      <c r="G81" s="86" t="s">
        <v>243</v>
      </c>
      <c r="H81" s="86" t="s">
        <v>359</v>
      </c>
      <c r="I81" s="86">
        <v>2</v>
      </c>
      <c r="J81" s="86">
        <v>10</v>
      </c>
      <c r="K81" s="86">
        <v>18</v>
      </c>
      <c r="L81" s="88">
        <v>206</v>
      </c>
      <c r="M81" s="89">
        <f>(L81*$M$2)</f>
        <v>5.15</v>
      </c>
      <c r="N81" s="89"/>
      <c r="O81" s="86" t="s">
        <v>175</v>
      </c>
      <c r="P81" s="86"/>
      <c r="Q81" s="101" t="s">
        <v>356</v>
      </c>
      <c r="R81" s="121" t="s">
        <v>94</v>
      </c>
      <c r="S81" s="122" t="s">
        <v>132</v>
      </c>
      <c r="T81" s="86" t="s">
        <v>357</v>
      </c>
      <c r="U81" s="106" t="s">
        <v>358</v>
      </c>
      <c r="V81" s="19"/>
      <c r="W81" s="19"/>
      <c r="X81" s="95">
        <v>107152131</v>
      </c>
      <c r="Y81" s="19">
        <v>122989657</v>
      </c>
      <c r="Z81" s="19">
        <v>114937506</v>
      </c>
      <c r="AA81" s="19"/>
      <c r="AB81" s="19"/>
      <c r="AC81" s="19"/>
      <c r="AD81" s="135" t="str">
        <f>+INDEX('NGP Chairs CoChairs'!$A$2:$M$53,MATCH('Supersite Working-AW'!$X80,'NGP Chairs CoChairs'!$A$2:$A$53,0),12)</f>
        <v>Michael Altenbern</v>
      </c>
      <c r="AE81" s="135" t="str">
        <f>+INDEX('NGP Chairs CoChairs'!$A$2:$M$53,MATCH('Supersite Working-AW'!$Y80,'NGP Chairs CoChairs'!$A$2:$A$53,0),12)</f>
        <v>Mark Flett</v>
      </c>
      <c r="AF81" s="135" t="str">
        <f>+INDEX('NGP Chairs CoChairs'!$A$2:$M$53,MATCH('Supersite Working-AW'!$Z80,'NGP Chairs CoChairs'!$A$2:$A$53,0),12)</f>
        <v>Susan Winter</v>
      </c>
      <c r="AG81" s="135" t="e">
        <f>+INDEX('NGP Chairs CoChairs'!$A$2:$M$53,MATCH('Supersite Working-AW'!$AA80,'NGP Chairs CoChairs'!$A$2:$A$53,0),12)</f>
        <v>#N/A</v>
      </c>
      <c r="AH81" s="69" t="str">
        <f>+INDEX('NGP Chairs CoChairs'!$A$2:$M$53,MATCH('Supersite Working-AW'!$X80,'NGP Chairs CoChairs'!$A$2:$A$53,0),7)</f>
        <v>3039097201</v>
      </c>
      <c r="AI81" s="69" t="str">
        <f>+INDEX('NGP Chairs CoChairs'!$A$2:$M$53,MATCH('Supersite Working-AW'!$Y80,'NGP Chairs CoChairs'!$A$2:$A$53,0),7)</f>
        <v>3032291024</v>
      </c>
      <c r="AJ81" s="69" t="str">
        <f>+INDEX('NGP Chairs CoChairs'!$A$2:$M$53,MATCH('Supersite Working-AW'!$Z80,'NGP Chairs CoChairs'!$A$2:$A$53,0),7)</f>
        <v>3035810783</v>
      </c>
      <c r="AK81" s="69" t="e">
        <f>+INDEX('NGP Chairs CoChairs'!$A$2:$M$53,MATCH('Supersite Working-AW'!$AA80,'NGP Chairs CoChairs'!$A$2:$A$53,0),7)</f>
        <v>#N/A</v>
      </c>
      <c r="AL81">
        <v>8</v>
      </c>
    </row>
    <row r="82" spans="1:38" ht="17" x14ac:dyDescent="0.2">
      <c r="A82" s="3" t="s">
        <v>177</v>
      </c>
      <c r="B82" s="86">
        <v>300</v>
      </c>
      <c r="C82" s="86" t="s">
        <v>303</v>
      </c>
      <c r="D82" s="86" t="s">
        <v>304</v>
      </c>
      <c r="E82" s="110" t="s">
        <v>305</v>
      </c>
      <c r="F82" s="111" t="s">
        <v>306</v>
      </c>
      <c r="G82" s="86" t="s">
        <v>243</v>
      </c>
      <c r="H82" s="86"/>
      <c r="I82" s="86">
        <v>2</v>
      </c>
      <c r="J82" s="86">
        <v>12</v>
      </c>
      <c r="K82" s="86">
        <v>17</v>
      </c>
      <c r="L82" s="88">
        <v>715</v>
      </c>
      <c r="M82" s="89">
        <f>(L82*$M$2)</f>
        <v>17.875</v>
      </c>
      <c r="N82" s="89"/>
      <c r="O82" s="86" t="s">
        <v>177</v>
      </c>
      <c r="P82" s="86" t="s">
        <v>307</v>
      </c>
      <c r="Q82" s="99"/>
      <c r="R82" s="112" t="s">
        <v>130</v>
      </c>
      <c r="S82" s="112" t="s">
        <v>2</v>
      </c>
      <c r="T82" s="112" t="s">
        <v>28</v>
      </c>
      <c r="U82" s="86" t="s">
        <v>3</v>
      </c>
      <c r="V82" s="19"/>
      <c r="W82" s="19"/>
      <c r="X82" s="95">
        <v>107152163</v>
      </c>
      <c r="Y82" s="19"/>
      <c r="Z82" s="19"/>
      <c r="AA82" s="19"/>
      <c r="AB82" s="19"/>
      <c r="AC82" s="19"/>
      <c r="AD82" s="135" t="str">
        <f>+INDEX('NGP Chairs CoChairs'!$A$2:$M$53,MATCH('Supersite Working-AW'!$X85,'NGP Chairs CoChairs'!$A$2:$A$53,0),12)</f>
        <v>Jennifer Bales</v>
      </c>
      <c r="AE82" s="135" t="e">
        <f>+INDEX('NGP Chairs CoChairs'!$A$2:$M$53,MATCH('Supersite Working-AW'!$Y85,'NGP Chairs CoChairs'!$A$2:$A$53,0),12)</f>
        <v>#N/A</v>
      </c>
      <c r="AF82" s="135" t="e">
        <f>+INDEX('NGP Chairs CoChairs'!$A$2:$M$53,MATCH('Supersite Working-AW'!$Z85,'NGP Chairs CoChairs'!$A$2:$A$53,0),12)</f>
        <v>#N/A</v>
      </c>
      <c r="AG82" s="135" t="e">
        <f>+INDEX('NGP Chairs CoChairs'!$A$2:$M$53,MATCH('Supersite Working-AW'!$AA85,'NGP Chairs CoChairs'!$A$2:$A$53,0),12)</f>
        <v>#N/A</v>
      </c>
      <c r="AH82" s="69" t="str">
        <f>+INDEX('NGP Chairs CoChairs'!$A$2:$M$53,MATCH('Supersite Working-AW'!$X85,'NGP Chairs CoChairs'!$A$2:$A$53,0),7)</f>
        <v>3039479447</v>
      </c>
      <c r="AI82" s="69" t="e">
        <f>+INDEX('NGP Chairs CoChairs'!$A$2:$M$53,MATCH('Supersite Working-AW'!$Y85,'NGP Chairs CoChairs'!$A$2:$A$53,0),7)</f>
        <v>#N/A</v>
      </c>
      <c r="AJ82" s="69" t="e">
        <f>+INDEX('NGP Chairs CoChairs'!$A$2:$M$53,MATCH('Supersite Working-AW'!$Z85,'NGP Chairs CoChairs'!$A$2:$A$53,0),7)</f>
        <v>#N/A</v>
      </c>
      <c r="AK82" s="69" t="e">
        <f>+INDEX('NGP Chairs CoChairs'!$A$2:$M$53,MATCH('Supersite Working-AW'!$AA85,'NGP Chairs CoChairs'!$A$2:$A$53,0),7)</f>
        <v>#N/A</v>
      </c>
      <c r="AL82">
        <v>9</v>
      </c>
    </row>
    <row r="83" spans="1:38" ht="17" x14ac:dyDescent="0.2">
      <c r="A83" s="3" t="s">
        <v>177</v>
      </c>
      <c r="B83" s="86">
        <v>301</v>
      </c>
      <c r="C83" s="86" t="s">
        <v>303</v>
      </c>
      <c r="D83" s="86" t="s">
        <v>304</v>
      </c>
      <c r="E83" s="110" t="s">
        <v>305</v>
      </c>
      <c r="F83" s="111" t="s">
        <v>306</v>
      </c>
      <c r="G83" s="86" t="s">
        <v>243</v>
      </c>
      <c r="H83" s="86"/>
      <c r="I83" s="86">
        <v>2</v>
      </c>
      <c r="J83" s="86">
        <v>12</v>
      </c>
      <c r="K83" s="86">
        <v>17</v>
      </c>
      <c r="L83" s="88">
        <v>790</v>
      </c>
      <c r="M83" s="89">
        <f>(L83*$M$2)</f>
        <v>19.75</v>
      </c>
      <c r="N83" s="89"/>
      <c r="O83" s="86" t="s">
        <v>177</v>
      </c>
      <c r="P83" s="86" t="s">
        <v>308</v>
      </c>
      <c r="Q83" s="99"/>
      <c r="R83" s="112" t="s">
        <v>130</v>
      </c>
      <c r="S83" s="112" t="s">
        <v>2</v>
      </c>
      <c r="T83" s="112" t="s">
        <v>28</v>
      </c>
      <c r="U83" s="86" t="s">
        <v>3</v>
      </c>
      <c r="V83" s="19"/>
      <c r="W83" s="19"/>
      <c r="X83" s="95">
        <v>107152163</v>
      </c>
      <c r="Y83" s="19"/>
      <c r="Z83" s="19"/>
      <c r="AA83" s="19"/>
      <c r="AB83" s="19"/>
      <c r="AC83" s="19"/>
      <c r="AD83" s="135" t="str">
        <f>+INDEX('NGP Chairs CoChairs'!$A$2:$M$53,MATCH('Supersite Working-AW'!$X86,'NGP Chairs CoChairs'!$A$2:$A$53,0),12)</f>
        <v>Jennifer Bales</v>
      </c>
      <c r="AE83" s="135" t="e">
        <f>+INDEX('NGP Chairs CoChairs'!$A$2:$M$53,MATCH('Supersite Working-AW'!$Y86,'NGP Chairs CoChairs'!$A$2:$A$53,0),12)</f>
        <v>#N/A</v>
      </c>
      <c r="AF83" s="135" t="e">
        <f>+INDEX('NGP Chairs CoChairs'!$A$2:$M$53,MATCH('Supersite Working-AW'!$Z86,'NGP Chairs CoChairs'!$A$2:$A$53,0),12)</f>
        <v>#N/A</v>
      </c>
      <c r="AG83" s="135" t="e">
        <f>+INDEX('NGP Chairs CoChairs'!$A$2:$M$53,MATCH('Supersite Working-AW'!$AA86,'NGP Chairs CoChairs'!$A$2:$A$53,0),12)</f>
        <v>#N/A</v>
      </c>
      <c r="AH83" s="69" t="str">
        <f>+INDEX('NGP Chairs CoChairs'!$A$2:$M$53,MATCH('Supersite Working-AW'!$X86,'NGP Chairs CoChairs'!$A$2:$A$53,0),7)</f>
        <v>3039479447</v>
      </c>
      <c r="AI83" s="69" t="e">
        <f>+INDEX('NGP Chairs CoChairs'!$A$2:$M$53,MATCH('Supersite Working-AW'!$Y86,'NGP Chairs CoChairs'!$A$2:$A$53,0),7)</f>
        <v>#N/A</v>
      </c>
      <c r="AJ83" s="69" t="e">
        <f>+INDEX('NGP Chairs CoChairs'!$A$2:$M$53,MATCH('Supersite Working-AW'!$Z86,'NGP Chairs CoChairs'!$A$2:$A$53,0),7)</f>
        <v>#N/A</v>
      </c>
      <c r="AK83" s="69" t="e">
        <f>+INDEX('NGP Chairs CoChairs'!$A$2:$M$53,MATCH('Supersite Working-AW'!$AA86,'NGP Chairs CoChairs'!$A$2:$A$53,0),7)</f>
        <v>#N/A</v>
      </c>
      <c r="AL83">
        <v>9</v>
      </c>
    </row>
    <row r="84" spans="1:38" ht="17" x14ac:dyDescent="0.2">
      <c r="A84" s="3" t="s">
        <v>177</v>
      </c>
      <c r="B84" s="86">
        <v>302</v>
      </c>
      <c r="C84" s="86" t="s">
        <v>303</v>
      </c>
      <c r="D84" s="86" t="s">
        <v>304</v>
      </c>
      <c r="E84" s="110" t="s">
        <v>305</v>
      </c>
      <c r="F84" s="111" t="s">
        <v>306</v>
      </c>
      <c r="G84" s="86" t="s">
        <v>243</v>
      </c>
      <c r="H84" s="86"/>
      <c r="I84" s="86">
        <v>2</v>
      </c>
      <c r="J84" s="86">
        <v>12</v>
      </c>
      <c r="K84" s="86">
        <v>17</v>
      </c>
      <c r="L84" s="88">
        <v>812</v>
      </c>
      <c r="M84" s="89">
        <f>(L84*$M$2)</f>
        <v>20.3</v>
      </c>
      <c r="N84" s="89"/>
      <c r="O84" s="86" t="s">
        <v>177</v>
      </c>
      <c r="P84" s="86" t="s">
        <v>309</v>
      </c>
      <c r="Q84" s="99"/>
      <c r="R84" s="112" t="s">
        <v>130</v>
      </c>
      <c r="S84" s="112" t="s">
        <v>2</v>
      </c>
      <c r="T84" s="112" t="s">
        <v>28</v>
      </c>
      <c r="U84" s="86" t="s">
        <v>3</v>
      </c>
      <c r="V84" s="19"/>
      <c r="W84" s="19"/>
      <c r="X84" s="95">
        <v>107152163</v>
      </c>
      <c r="Y84" s="19"/>
      <c r="Z84" s="19"/>
      <c r="AA84" s="19"/>
      <c r="AB84" s="19"/>
      <c r="AC84" s="19"/>
      <c r="AD84" s="135" t="str">
        <f>+INDEX('NGP Chairs CoChairs'!$A$2:$M$53,MATCH('Supersite Working-AW'!$X87,'NGP Chairs CoChairs'!$A$2:$A$53,0),12)</f>
        <v>Jennifer Bales</v>
      </c>
      <c r="AE84" s="135" t="e">
        <f>+INDEX('NGP Chairs CoChairs'!$A$2:$M$53,MATCH('Supersite Working-AW'!$Y87,'NGP Chairs CoChairs'!$A$2:$A$53,0),12)</f>
        <v>#N/A</v>
      </c>
      <c r="AF84" s="135" t="e">
        <f>+INDEX('NGP Chairs CoChairs'!$A$2:$M$53,MATCH('Supersite Working-AW'!$Z87,'NGP Chairs CoChairs'!$A$2:$A$53,0),12)</f>
        <v>#N/A</v>
      </c>
      <c r="AG84" s="135" t="e">
        <f>+INDEX('NGP Chairs CoChairs'!$A$2:$M$53,MATCH('Supersite Working-AW'!$AA87,'NGP Chairs CoChairs'!$A$2:$A$53,0),12)</f>
        <v>#N/A</v>
      </c>
      <c r="AH84" s="69" t="str">
        <f>+INDEX('NGP Chairs CoChairs'!$A$2:$M$53,MATCH('Supersite Working-AW'!$X87,'NGP Chairs CoChairs'!$A$2:$A$53,0),7)</f>
        <v>3039479447</v>
      </c>
      <c r="AI84" s="69" t="e">
        <f>+INDEX('NGP Chairs CoChairs'!$A$2:$M$53,MATCH('Supersite Working-AW'!$Y87,'NGP Chairs CoChairs'!$A$2:$A$53,0),7)</f>
        <v>#N/A</v>
      </c>
      <c r="AJ84" s="69" t="e">
        <f>+INDEX('NGP Chairs CoChairs'!$A$2:$M$53,MATCH('Supersite Working-AW'!$Z87,'NGP Chairs CoChairs'!$A$2:$A$53,0),7)</f>
        <v>#N/A</v>
      </c>
      <c r="AK84" s="69" t="e">
        <f>+INDEX('NGP Chairs CoChairs'!$A$2:$M$53,MATCH('Supersite Working-AW'!$AA87,'NGP Chairs CoChairs'!$A$2:$A$53,0),7)</f>
        <v>#N/A</v>
      </c>
      <c r="AL84">
        <v>9</v>
      </c>
    </row>
    <row r="85" spans="1:38" ht="17" x14ac:dyDescent="0.2">
      <c r="A85" s="3" t="s">
        <v>177</v>
      </c>
      <c r="B85" s="86">
        <v>303</v>
      </c>
      <c r="C85" s="86" t="s">
        <v>303</v>
      </c>
      <c r="D85" s="86" t="s">
        <v>304</v>
      </c>
      <c r="E85" s="110" t="s">
        <v>305</v>
      </c>
      <c r="F85" s="111" t="s">
        <v>306</v>
      </c>
      <c r="G85" s="86" t="s">
        <v>243</v>
      </c>
      <c r="H85" s="86"/>
      <c r="I85" s="86">
        <v>2</v>
      </c>
      <c r="J85" s="86">
        <v>12</v>
      </c>
      <c r="K85" s="86">
        <v>17</v>
      </c>
      <c r="L85" s="88">
        <v>457</v>
      </c>
      <c r="M85" s="89">
        <f>(L85*$M$2)</f>
        <v>11.425000000000001</v>
      </c>
      <c r="N85" s="89"/>
      <c r="O85" s="86" t="s">
        <v>177</v>
      </c>
      <c r="P85" s="86" t="s">
        <v>310</v>
      </c>
      <c r="Q85" s="99"/>
      <c r="R85" s="112" t="s">
        <v>130</v>
      </c>
      <c r="S85" s="112" t="s">
        <v>2</v>
      </c>
      <c r="T85" s="112" t="s">
        <v>28</v>
      </c>
      <c r="U85" s="86" t="s">
        <v>3</v>
      </c>
      <c r="V85" s="19"/>
      <c r="W85" s="19"/>
      <c r="X85" s="95">
        <v>107152163</v>
      </c>
      <c r="Y85" s="19"/>
      <c r="Z85" s="19"/>
      <c r="AA85" s="19"/>
      <c r="AB85" s="19"/>
      <c r="AC85" s="19"/>
      <c r="AD85" s="135" t="str">
        <f>+INDEX('NGP Chairs CoChairs'!$A$2:$M$53,MATCH('Supersite Working-AW'!$X88,'NGP Chairs CoChairs'!$A$2:$A$53,0),12)</f>
        <v>Jennifer Bales</v>
      </c>
      <c r="AE85" s="135" t="e">
        <f>+INDEX('NGP Chairs CoChairs'!$A$2:$M$53,MATCH('Supersite Working-AW'!$Y88,'NGP Chairs CoChairs'!$A$2:$A$53,0),12)</f>
        <v>#N/A</v>
      </c>
      <c r="AF85" s="135" t="e">
        <f>+INDEX('NGP Chairs CoChairs'!$A$2:$M$53,MATCH('Supersite Working-AW'!$Z88,'NGP Chairs CoChairs'!$A$2:$A$53,0),12)</f>
        <v>#N/A</v>
      </c>
      <c r="AG85" s="135" t="e">
        <f>+INDEX('NGP Chairs CoChairs'!$A$2:$M$53,MATCH('Supersite Working-AW'!$AA88,'NGP Chairs CoChairs'!$A$2:$A$53,0),12)</f>
        <v>#N/A</v>
      </c>
      <c r="AH85" s="69" t="str">
        <f>+INDEX('NGP Chairs CoChairs'!$A$2:$M$53,MATCH('Supersite Working-AW'!$X88,'NGP Chairs CoChairs'!$A$2:$A$53,0),7)</f>
        <v>3039479447</v>
      </c>
      <c r="AI85" s="69" t="e">
        <f>+INDEX('NGP Chairs CoChairs'!$A$2:$M$53,MATCH('Supersite Working-AW'!$Y88,'NGP Chairs CoChairs'!$A$2:$A$53,0),7)</f>
        <v>#N/A</v>
      </c>
      <c r="AJ85" s="69" t="e">
        <f>+INDEX('NGP Chairs CoChairs'!$A$2:$M$53,MATCH('Supersite Working-AW'!$Z88,'NGP Chairs CoChairs'!$A$2:$A$53,0),7)</f>
        <v>#N/A</v>
      </c>
      <c r="AK85" s="69" t="e">
        <f>+INDEX('NGP Chairs CoChairs'!$A$2:$M$53,MATCH('Supersite Working-AW'!$AA88,'NGP Chairs CoChairs'!$A$2:$A$53,0),7)</f>
        <v>#N/A</v>
      </c>
      <c r="AL85">
        <v>9</v>
      </c>
    </row>
    <row r="86" spans="1:38" ht="17" x14ac:dyDescent="0.2">
      <c r="A86" s="3" t="s">
        <v>177</v>
      </c>
      <c r="B86" s="86">
        <v>304</v>
      </c>
      <c r="C86" s="86" t="s">
        <v>303</v>
      </c>
      <c r="D86" s="86" t="s">
        <v>304</v>
      </c>
      <c r="E86" s="110" t="s">
        <v>305</v>
      </c>
      <c r="F86" s="111" t="s">
        <v>306</v>
      </c>
      <c r="G86" s="86" t="s">
        <v>243</v>
      </c>
      <c r="H86" s="86"/>
      <c r="I86" s="86">
        <v>2</v>
      </c>
      <c r="J86" s="86">
        <v>12</v>
      </c>
      <c r="K86" s="86">
        <v>17</v>
      </c>
      <c r="L86" s="88">
        <v>508</v>
      </c>
      <c r="M86" s="89">
        <f>(L86*$M$2)</f>
        <v>12.700000000000001</v>
      </c>
      <c r="N86" s="89"/>
      <c r="O86" s="86" t="s">
        <v>177</v>
      </c>
      <c r="P86" s="86" t="s">
        <v>311</v>
      </c>
      <c r="Q86" s="99"/>
      <c r="R86" s="112" t="s">
        <v>130</v>
      </c>
      <c r="S86" s="112" t="s">
        <v>2</v>
      </c>
      <c r="T86" s="112" t="s">
        <v>28</v>
      </c>
      <c r="U86" s="86" t="s">
        <v>3</v>
      </c>
      <c r="V86" s="19"/>
      <c r="W86" s="19"/>
      <c r="X86" s="95">
        <v>107152163</v>
      </c>
      <c r="Y86" s="19"/>
      <c r="Z86" s="19"/>
      <c r="AA86" s="19"/>
      <c r="AB86" s="19"/>
      <c r="AC86" s="19"/>
      <c r="AD86" s="135" t="str">
        <f>+INDEX('NGP Chairs CoChairs'!$A$2:$M$53,MATCH('Supersite Working-AW'!$X89,'NGP Chairs CoChairs'!$A$2:$A$53,0),12)</f>
        <v>Jennifer Bales</v>
      </c>
      <c r="AE86" s="135" t="e">
        <f>+INDEX('NGP Chairs CoChairs'!$A$2:$M$53,MATCH('Supersite Working-AW'!$Y89,'NGP Chairs CoChairs'!$A$2:$A$53,0),12)</f>
        <v>#N/A</v>
      </c>
      <c r="AF86" s="135" t="e">
        <f>+INDEX('NGP Chairs CoChairs'!$A$2:$M$53,MATCH('Supersite Working-AW'!$Z89,'NGP Chairs CoChairs'!$A$2:$A$53,0),12)</f>
        <v>#N/A</v>
      </c>
      <c r="AG86" s="135" t="e">
        <f>+INDEX('NGP Chairs CoChairs'!$A$2:$M$53,MATCH('Supersite Working-AW'!$AA89,'NGP Chairs CoChairs'!$A$2:$A$53,0),12)</f>
        <v>#N/A</v>
      </c>
      <c r="AH86" s="69" t="str">
        <f>+INDEX('NGP Chairs CoChairs'!$A$2:$M$53,MATCH('Supersite Working-AW'!$X89,'NGP Chairs CoChairs'!$A$2:$A$53,0),7)</f>
        <v>3039479447</v>
      </c>
      <c r="AI86" s="69" t="e">
        <f>+INDEX('NGP Chairs CoChairs'!$A$2:$M$53,MATCH('Supersite Working-AW'!$Y89,'NGP Chairs CoChairs'!$A$2:$A$53,0),7)</f>
        <v>#N/A</v>
      </c>
      <c r="AJ86" s="69" t="e">
        <f>+INDEX('NGP Chairs CoChairs'!$A$2:$M$53,MATCH('Supersite Working-AW'!$Z89,'NGP Chairs CoChairs'!$A$2:$A$53,0),7)</f>
        <v>#N/A</v>
      </c>
      <c r="AK86" s="69" t="e">
        <f>+INDEX('NGP Chairs CoChairs'!$A$2:$M$53,MATCH('Supersite Working-AW'!$AA89,'NGP Chairs CoChairs'!$A$2:$A$53,0),7)</f>
        <v>#N/A</v>
      </c>
      <c r="AL86">
        <v>9</v>
      </c>
    </row>
    <row r="87" spans="1:38" ht="17" x14ac:dyDescent="0.2">
      <c r="A87" s="3" t="s">
        <v>177</v>
      </c>
      <c r="B87" s="86">
        <v>305</v>
      </c>
      <c r="C87" s="86" t="s">
        <v>303</v>
      </c>
      <c r="D87" s="86" t="s">
        <v>304</v>
      </c>
      <c r="E87" s="110" t="s">
        <v>305</v>
      </c>
      <c r="F87" s="111" t="s">
        <v>306</v>
      </c>
      <c r="G87" s="86" t="s">
        <v>243</v>
      </c>
      <c r="H87" s="86"/>
      <c r="I87" s="86">
        <v>2</v>
      </c>
      <c r="J87" s="86">
        <v>12</v>
      </c>
      <c r="K87" s="86">
        <v>17</v>
      </c>
      <c r="L87" s="88">
        <v>547</v>
      </c>
      <c r="M87" s="89">
        <f>(L87*$M$2)</f>
        <v>13.675000000000001</v>
      </c>
      <c r="N87" s="89"/>
      <c r="O87" s="86" t="s">
        <v>177</v>
      </c>
      <c r="P87" s="86" t="s">
        <v>312</v>
      </c>
      <c r="Q87" s="99"/>
      <c r="R87" s="112" t="s">
        <v>130</v>
      </c>
      <c r="S87" s="112" t="s">
        <v>2</v>
      </c>
      <c r="T87" s="112" t="s">
        <v>28</v>
      </c>
      <c r="U87" s="86" t="s">
        <v>3</v>
      </c>
      <c r="V87" s="19"/>
      <c r="W87" s="19"/>
      <c r="X87" s="95">
        <v>107152163</v>
      </c>
      <c r="Y87" s="19"/>
      <c r="Z87" s="19"/>
      <c r="AA87" s="19"/>
      <c r="AB87" s="19"/>
      <c r="AC87" s="19"/>
      <c r="AD87" s="135" t="str">
        <f>+INDEX('NGP Chairs CoChairs'!$A$2:$M$53,MATCH('Supersite Working-AW'!$X90,'NGP Chairs CoChairs'!$A$2:$A$53,0),12)</f>
        <v>Jennifer Bales</v>
      </c>
      <c r="AE87" s="135" t="e">
        <f>+INDEX('NGP Chairs CoChairs'!$A$2:$M$53,MATCH('Supersite Working-AW'!$Y90,'NGP Chairs CoChairs'!$A$2:$A$53,0),12)</f>
        <v>#N/A</v>
      </c>
      <c r="AF87" s="135" t="e">
        <f>+INDEX('NGP Chairs CoChairs'!$A$2:$M$53,MATCH('Supersite Working-AW'!$Z90,'NGP Chairs CoChairs'!$A$2:$A$53,0),12)</f>
        <v>#N/A</v>
      </c>
      <c r="AG87" s="135" t="e">
        <f>+INDEX('NGP Chairs CoChairs'!$A$2:$M$53,MATCH('Supersite Working-AW'!$AA90,'NGP Chairs CoChairs'!$A$2:$A$53,0),12)</f>
        <v>#N/A</v>
      </c>
      <c r="AH87" s="69" t="str">
        <f>+INDEX('NGP Chairs CoChairs'!$A$2:$M$53,MATCH('Supersite Working-AW'!$X90,'NGP Chairs CoChairs'!$A$2:$A$53,0),7)</f>
        <v>3039479447</v>
      </c>
      <c r="AI87" s="69" t="e">
        <f>+INDEX('NGP Chairs CoChairs'!$A$2:$M$53,MATCH('Supersite Working-AW'!$Y90,'NGP Chairs CoChairs'!$A$2:$A$53,0),7)</f>
        <v>#N/A</v>
      </c>
      <c r="AJ87" s="69" t="e">
        <f>+INDEX('NGP Chairs CoChairs'!$A$2:$M$53,MATCH('Supersite Working-AW'!$Z90,'NGP Chairs CoChairs'!$A$2:$A$53,0),7)</f>
        <v>#N/A</v>
      </c>
      <c r="AK87" s="69" t="e">
        <f>+INDEX('NGP Chairs CoChairs'!$A$2:$M$53,MATCH('Supersite Working-AW'!$AA90,'NGP Chairs CoChairs'!$A$2:$A$53,0),7)</f>
        <v>#N/A</v>
      </c>
      <c r="AL87">
        <v>9</v>
      </c>
    </row>
    <row r="88" spans="1:38" ht="17" x14ac:dyDescent="0.2">
      <c r="A88" s="3" t="s">
        <v>177</v>
      </c>
      <c r="B88" s="86">
        <v>306</v>
      </c>
      <c r="C88" s="86" t="s">
        <v>303</v>
      </c>
      <c r="D88" s="86" t="s">
        <v>304</v>
      </c>
      <c r="E88" s="110" t="s">
        <v>305</v>
      </c>
      <c r="F88" s="111" t="s">
        <v>306</v>
      </c>
      <c r="G88" s="86" t="s">
        <v>243</v>
      </c>
      <c r="H88" s="86"/>
      <c r="I88" s="86">
        <v>2</v>
      </c>
      <c r="J88" s="86">
        <v>12</v>
      </c>
      <c r="K88" s="86">
        <v>17</v>
      </c>
      <c r="L88" s="88">
        <v>596</v>
      </c>
      <c r="M88" s="89">
        <f>(L88*$M$2)</f>
        <v>14.9</v>
      </c>
      <c r="N88" s="89"/>
      <c r="O88" s="86" t="s">
        <v>177</v>
      </c>
      <c r="P88" s="86" t="s">
        <v>313</v>
      </c>
      <c r="Q88" s="99"/>
      <c r="R88" s="112" t="s">
        <v>130</v>
      </c>
      <c r="S88" s="112" t="s">
        <v>2</v>
      </c>
      <c r="T88" s="112" t="s">
        <v>28</v>
      </c>
      <c r="U88" s="86" t="s">
        <v>3</v>
      </c>
      <c r="V88" s="19"/>
      <c r="W88" s="19"/>
      <c r="X88" s="95">
        <v>107152163</v>
      </c>
      <c r="Y88" s="19"/>
      <c r="Z88" s="19"/>
      <c r="AA88" s="19"/>
      <c r="AB88" s="19"/>
      <c r="AC88" s="19"/>
      <c r="AD88" s="135" t="str">
        <f>+INDEX('NGP Chairs CoChairs'!$A$2:$M$53,MATCH('Supersite Working-AW'!$X91,'NGP Chairs CoChairs'!$A$2:$A$53,0),12)</f>
        <v>Jennifer Bales</v>
      </c>
      <c r="AE88" s="135" t="e">
        <f>+INDEX('NGP Chairs CoChairs'!$A$2:$M$53,MATCH('Supersite Working-AW'!$Y91,'NGP Chairs CoChairs'!$A$2:$A$53,0),12)</f>
        <v>#N/A</v>
      </c>
      <c r="AF88" s="135" t="e">
        <f>+INDEX('NGP Chairs CoChairs'!$A$2:$M$53,MATCH('Supersite Working-AW'!$Z91,'NGP Chairs CoChairs'!$A$2:$A$53,0),12)</f>
        <v>#N/A</v>
      </c>
      <c r="AG88" s="135" t="e">
        <f>+INDEX('NGP Chairs CoChairs'!$A$2:$M$53,MATCH('Supersite Working-AW'!$AA91,'NGP Chairs CoChairs'!$A$2:$A$53,0),12)</f>
        <v>#N/A</v>
      </c>
      <c r="AH88" s="69" t="str">
        <f>+INDEX('NGP Chairs CoChairs'!$A$2:$M$53,MATCH('Supersite Working-AW'!$X91,'NGP Chairs CoChairs'!$A$2:$A$53,0),7)</f>
        <v>3039479447</v>
      </c>
      <c r="AI88" s="69" t="e">
        <f>+INDEX('NGP Chairs CoChairs'!$A$2:$M$53,MATCH('Supersite Working-AW'!$Y91,'NGP Chairs CoChairs'!$A$2:$A$53,0),7)</f>
        <v>#N/A</v>
      </c>
      <c r="AJ88" s="69" t="e">
        <f>+INDEX('NGP Chairs CoChairs'!$A$2:$M$53,MATCH('Supersite Working-AW'!$Z91,'NGP Chairs CoChairs'!$A$2:$A$53,0),7)</f>
        <v>#N/A</v>
      </c>
      <c r="AK88" s="69" t="e">
        <f>+INDEX('NGP Chairs CoChairs'!$A$2:$M$53,MATCH('Supersite Working-AW'!$AA91,'NGP Chairs CoChairs'!$A$2:$A$53,0),7)</f>
        <v>#N/A</v>
      </c>
      <c r="AL88">
        <v>9</v>
      </c>
    </row>
    <row r="89" spans="1:38" ht="17" x14ac:dyDescent="0.2">
      <c r="A89" s="3" t="s">
        <v>177</v>
      </c>
      <c r="B89" s="86">
        <v>307</v>
      </c>
      <c r="C89" s="86" t="s">
        <v>303</v>
      </c>
      <c r="D89" s="86" t="s">
        <v>304</v>
      </c>
      <c r="E89" s="110" t="s">
        <v>305</v>
      </c>
      <c r="F89" s="111" t="s">
        <v>306</v>
      </c>
      <c r="G89" s="86" t="s">
        <v>243</v>
      </c>
      <c r="H89" s="86"/>
      <c r="I89" s="86">
        <v>2</v>
      </c>
      <c r="J89" s="86">
        <v>12</v>
      </c>
      <c r="K89" s="86">
        <v>17</v>
      </c>
      <c r="L89" s="88">
        <v>617</v>
      </c>
      <c r="M89" s="89">
        <f>(L89*$M$2)</f>
        <v>15.425000000000001</v>
      </c>
      <c r="N89" s="89"/>
      <c r="O89" s="86" t="s">
        <v>177</v>
      </c>
      <c r="P89" s="86" t="s">
        <v>314</v>
      </c>
      <c r="Q89" s="99"/>
      <c r="R89" s="112" t="s">
        <v>130</v>
      </c>
      <c r="S89" s="112" t="s">
        <v>2</v>
      </c>
      <c r="T89" s="112" t="s">
        <v>28</v>
      </c>
      <c r="U89" s="86" t="s">
        <v>3</v>
      </c>
      <c r="V89" s="19"/>
      <c r="W89" s="19"/>
      <c r="X89" s="95">
        <v>107152163</v>
      </c>
      <c r="Y89" s="19"/>
      <c r="Z89" s="19"/>
      <c r="AA89" s="19"/>
      <c r="AB89" s="19"/>
      <c r="AC89" s="19"/>
      <c r="AD89" s="135" t="str">
        <f>+INDEX('NGP Chairs CoChairs'!$A$2:$M$53,MATCH('Supersite Working-AW'!$X92,'NGP Chairs CoChairs'!$A$2:$A$53,0),12)</f>
        <v>Jennifer Bales</v>
      </c>
      <c r="AE89" s="135" t="e">
        <f>+INDEX('NGP Chairs CoChairs'!$A$2:$M$53,MATCH('Supersite Working-AW'!$Y92,'NGP Chairs CoChairs'!$A$2:$A$53,0),12)</f>
        <v>#N/A</v>
      </c>
      <c r="AF89" s="135" t="e">
        <f>+INDEX('NGP Chairs CoChairs'!$A$2:$M$53,MATCH('Supersite Working-AW'!$Z92,'NGP Chairs CoChairs'!$A$2:$A$53,0),12)</f>
        <v>#N/A</v>
      </c>
      <c r="AG89" s="135" t="e">
        <f>+INDEX('NGP Chairs CoChairs'!$A$2:$M$53,MATCH('Supersite Working-AW'!$AA92,'NGP Chairs CoChairs'!$A$2:$A$53,0),12)</f>
        <v>#N/A</v>
      </c>
      <c r="AH89" s="69" t="str">
        <f>+INDEX('NGP Chairs CoChairs'!$A$2:$M$53,MATCH('Supersite Working-AW'!$X92,'NGP Chairs CoChairs'!$A$2:$A$53,0),7)</f>
        <v>3039479447</v>
      </c>
      <c r="AI89" s="69" t="e">
        <f>+INDEX('NGP Chairs CoChairs'!$A$2:$M$53,MATCH('Supersite Working-AW'!$Y92,'NGP Chairs CoChairs'!$A$2:$A$53,0),7)</f>
        <v>#N/A</v>
      </c>
      <c r="AJ89" s="69" t="e">
        <f>+INDEX('NGP Chairs CoChairs'!$A$2:$M$53,MATCH('Supersite Working-AW'!$Z92,'NGP Chairs CoChairs'!$A$2:$A$53,0),7)</f>
        <v>#N/A</v>
      </c>
      <c r="AK89" s="69" t="e">
        <f>+INDEX('NGP Chairs CoChairs'!$A$2:$M$53,MATCH('Supersite Working-AW'!$AA92,'NGP Chairs CoChairs'!$A$2:$A$53,0),7)</f>
        <v>#N/A</v>
      </c>
      <c r="AL89">
        <v>9</v>
      </c>
    </row>
    <row r="90" spans="1:38" ht="17" x14ac:dyDescent="0.2">
      <c r="A90" s="3" t="s">
        <v>177</v>
      </c>
      <c r="B90" s="86">
        <v>308</v>
      </c>
      <c r="C90" s="86" t="s">
        <v>303</v>
      </c>
      <c r="D90" s="86" t="s">
        <v>304</v>
      </c>
      <c r="E90" s="110" t="s">
        <v>305</v>
      </c>
      <c r="F90" s="111" t="s">
        <v>306</v>
      </c>
      <c r="G90" s="86" t="s">
        <v>243</v>
      </c>
      <c r="H90" s="86"/>
      <c r="I90" s="86">
        <v>2</v>
      </c>
      <c r="J90" s="86">
        <v>12</v>
      </c>
      <c r="K90" s="86">
        <v>17</v>
      </c>
      <c r="L90" s="88">
        <v>514</v>
      </c>
      <c r="M90" s="89">
        <f>(L90*$M$2)</f>
        <v>12.850000000000001</v>
      </c>
      <c r="N90" s="89"/>
      <c r="O90" s="86" t="s">
        <v>177</v>
      </c>
      <c r="P90" s="86" t="s">
        <v>315</v>
      </c>
      <c r="Q90" s="99"/>
      <c r="R90" s="112" t="s">
        <v>130</v>
      </c>
      <c r="S90" s="112" t="s">
        <v>2</v>
      </c>
      <c r="T90" s="112" t="s">
        <v>28</v>
      </c>
      <c r="U90" s="86" t="s">
        <v>3</v>
      </c>
      <c r="V90" s="19"/>
      <c r="W90" s="19"/>
      <c r="X90" s="95">
        <v>107152163</v>
      </c>
      <c r="Y90" s="19"/>
      <c r="Z90" s="19"/>
      <c r="AA90" s="19"/>
      <c r="AB90" s="19"/>
      <c r="AC90" s="19"/>
      <c r="AD90" s="135" t="str">
        <f>+INDEX('NGP Chairs CoChairs'!$A$2:$M$53,MATCH('Supersite Working-AW'!$X93,'NGP Chairs CoChairs'!$A$2:$A$53,0),12)</f>
        <v>Jennifer Bales</v>
      </c>
      <c r="AE90" s="135" t="e">
        <f>+INDEX('NGP Chairs CoChairs'!$A$2:$M$53,MATCH('Supersite Working-AW'!$Y93,'NGP Chairs CoChairs'!$A$2:$A$53,0),12)</f>
        <v>#N/A</v>
      </c>
      <c r="AF90" s="135" t="e">
        <f>+INDEX('NGP Chairs CoChairs'!$A$2:$M$53,MATCH('Supersite Working-AW'!$Z93,'NGP Chairs CoChairs'!$A$2:$A$53,0),12)</f>
        <v>#N/A</v>
      </c>
      <c r="AG90" s="135" t="e">
        <f>+INDEX('NGP Chairs CoChairs'!$A$2:$M$53,MATCH('Supersite Working-AW'!$AA93,'NGP Chairs CoChairs'!$A$2:$A$53,0),12)</f>
        <v>#N/A</v>
      </c>
      <c r="AH90" s="69" t="str">
        <f>+INDEX('NGP Chairs CoChairs'!$A$2:$M$53,MATCH('Supersite Working-AW'!$X93,'NGP Chairs CoChairs'!$A$2:$A$53,0),7)</f>
        <v>3039479447</v>
      </c>
      <c r="AI90" s="69" t="e">
        <f>+INDEX('NGP Chairs CoChairs'!$A$2:$M$53,MATCH('Supersite Working-AW'!$Y93,'NGP Chairs CoChairs'!$A$2:$A$53,0),7)</f>
        <v>#N/A</v>
      </c>
      <c r="AJ90" s="69" t="e">
        <f>+INDEX('NGP Chairs CoChairs'!$A$2:$M$53,MATCH('Supersite Working-AW'!$Z93,'NGP Chairs CoChairs'!$A$2:$A$53,0),7)</f>
        <v>#N/A</v>
      </c>
      <c r="AK90" s="69" t="e">
        <f>+INDEX('NGP Chairs CoChairs'!$A$2:$M$53,MATCH('Supersite Working-AW'!$AA93,'NGP Chairs CoChairs'!$A$2:$A$53,0),7)</f>
        <v>#N/A</v>
      </c>
      <c r="AL90">
        <v>9</v>
      </c>
    </row>
    <row r="91" spans="1:38" ht="17" x14ac:dyDescent="0.2">
      <c r="A91" s="3" t="s">
        <v>177</v>
      </c>
      <c r="B91" s="86">
        <v>309</v>
      </c>
      <c r="C91" s="86" t="s">
        <v>316</v>
      </c>
      <c r="D91" s="86" t="s">
        <v>317</v>
      </c>
      <c r="E91" s="110" t="s">
        <v>305</v>
      </c>
      <c r="F91" s="111" t="s">
        <v>306</v>
      </c>
      <c r="G91" s="86" t="s">
        <v>243</v>
      </c>
      <c r="H91" s="86"/>
      <c r="I91" s="86">
        <v>2</v>
      </c>
      <c r="J91" s="86">
        <v>12</v>
      </c>
      <c r="K91" s="86">
        <v>17</v>
      </c>
      <c r="L91" s="88">
        <v>526</v>
      </c>
      <c r="M91" s="89">
        <f>(L91*$M$2)</f>
        <v>13.15</v>
      </c>
      <c r="N91" s="89"/>
      <c r="O91" s="86" t="s">
        <v>177</v>
      </c>
      <c r="P91" s="86" t="s">
        <v>318</v>
      </c>
      <c r="Q91" s="99"/>
      <c r="R91" s="113" t="s">
        <v>130</v>
      </c>
      <c r="S91" s="113" t="s">
        <v>28</v>
      </c>
      <c r="T91" s="113" t="s">
        <v>2</v>
      </c>
      <c r="U91" s="86" t="s">
        <v>3</v>
      </c>
      <c r="V91" s="19"/>
      <c r="W91" s="19"/>
      <c r="X91" s="95">
        <v>107152163</v>
      </c>
      <c r="Y91" s="19"/>
      <c r="Z91" s="19"/>
      <c r="AA91" s="19"/>
      <c r="AB91" s="19"/>
      <c r="AC91" s="19"/>
      <c r="AD91" s="135" t="str">
        <f>+INDEX('NGP Chairs CoChairs'!$A$2:$M$53,MATCH('Supersite Working-AW'!$X94,'NGP Chairs CoChairs'!$A$2:$A$53,0),12)</f>
        <v>Jennifer Bales</v>
      </c>
      <c r="AE91" s="135" t="e">
        <f>+INDEX('NGP Chairs CoChairs'!$A$2:$M$53,MATCH('Supersite Working-AW'!$Y94,'NGP Chairs CoChairs'!$A$2:$A$53,0),12)</f>
        <v>#N/A</v>
      </c>
      <c r="AF91" s="135" t="e">
        <f>+INDEX('NGP Chairs CoChairs'!$A$2:$M$53,MATCH('Supersite Working-AW'!$Z94,'NGP Chairs CoChairs'!$A$2:$A$53,0),12)</f>
        <v>#N/A</v>
      </c>
      <c r="AG91" s="135" t="e">
        <f>+INDEX('NGP Chairs CoChairs'!$A$2:$M$53,MATCH('Supersite Working-AW'!$AA94,'NGP Chairs CoChairs'!$A$2:$A$53,0),12)</f>
        <v>#N/A</v>
      </c>
      <c r="AH91" s="69" t="str">
        <f>+INDEX('NGP Chairs CoChairs'!$A$2:$M$53,MATCH('Supersite Working-AW'!$X94,'NGP Chairs CoChairs'!$A$2:$A$53,0),7)</f>
        <v>3039479447</v>
      </c>
      <c r="AI91" s="69" t="e">
        <f>+INDEX('NGP Chairs CoChairs'!$A$2:$M$53,MATCH('Supersite Working-AW'!$Y94,'NGP Chairs CoChairs'!$A$2:$A$53,0),7)</f>
        <v>#N/A</v>
      </c>
      <c r="AJ91" s="69" t="e">
        <f>+INDEX('NGP Chairs CoChairs'!$A$2:$M$53,MATCH('Supersite Working-AW'!$Z94,'NGP Chairs CoChairs'!$A$2:$A$53,0),7)</f>
        <v>#N/A</v>
      </c>
      <c r="AK91" s="69" t="e">
        <f>+INDEX('NGP Chairs CoChairs'!$A$2:$M$53,MATCH('Supersite Working-AW'!$AA94,'NGP Chairs CoChairs'!$A$2:$A$53,0),7)</f>
        <v>#N/A</v>
      </c>
      <c r="AL91">
        <v>9</v>
      </c>
    </row>
    <row r="92" spans="1:38" ht="17" x14ac:dyDescent="0.2">
      <c r="A92" s="3" t="s">
        <v>177</v>
      </c>
      <c r="B92" s="86">
        <v>310</v>
      </c>
      <c r="C92" s="86" t="s">
        <v>316</v>
      </c>
      <c r="D92" s="86" t="s">
        <v>317</v>
      </c>
      <c r="E92" s="110" t="s">
        <v>305</v>
      </c>
      <c r="F92" s="111" t="s">
        <v>306</v>
      </c>
      <c r="G92" s="86" t="s">
        <v>243</v>
      </c>
      <c r="H92" s="86"/>
      <c r="I92" s="86">
        <v>2</v>
      </c>
      <c r="J92" s="86">
        <v>12</v>
      </c>
      <c r="K92" s="86">
        <v>17</v>
      </c>
      <c r="L92" s="88">
        <v>719</v>
      </c>
      <c r="M92" s="89">
        <f>(L92*$M$2)</f>
        <v>17.975000000000001</v>
      </c>
      <c r="N92" s="89"/>
      <c r="O92" s="86" t="s">
        <v>177</v>
      </c>
      <c r="P92" s="86" t="s">
        <v>319</v>
      </c>
      <c r="Q92" s="99"/>
      <c r="R92" s="113" t="s">
        <v>130</v>
      </c>
      <c r="S92" s="113" t="s">
        <v>28</v>
      </c>
      <c r="T92" s="113" t="s">
        <v>2</v>
      </c>
      <c r="U92" s="86" t="s">
        <v>3</v>
      </c>
      <c r="V92" s="19"/>
      <c r="W92" s="19"/>
      <c r="X92" s="95">
        <v>107152163</v>
      </c>
      <c r="Y92" s="19"/>
      <c r="Z92" s="19"/>
      <c r="AA92" s="19"/>
      <c r="AB92" s="19"/>
      <c r="AC92" s="19"/>
      <c r="AD92" s="135" t="str">
        <f>+INDEX('NGP Chairs CoChairs'!$A$2:$M$53,MATCH('Supersite Working-AW'!$X95,'NGP Chairs CoChairs'!$A$2:$A$53,0),12)</f>
        <v>Jennifer Bales</v>
      </c>
      <c r="AE92" s="135" t="e">
        <f>+INDEX('NGP Chairs CoChairs'!$A$2:$M$53,MATCH('Supersite Working-AW'!$Y95,'NGP Chairs CoChairs'!$A$2:$A$53,0),12)</f>
        <v>#N/A</v>
      </c>
      <c r="AF92" s="135" t="e">
        <f>+INDEX('NGP Chairs CoChairs'!$A$2:$M$53,MATCH('Supersite Working-AW'!$Z95,'NGP Chairs CoChairs'!$A$2:$A$53,0),12)</f>
        <v>#N/A</v>
      </c>
      <c r="AG92" s="135" t="e">
        <f>+INDEX('NGP Chairs CoChairs'!$A$2:$M$53,MATCH('Supersite Working-AW'!$AA95,'NGP Chairs CoChairs'!$A$2:$A$53,0),12)</f>
        <v>#N/A</v>
      </c>
      <c r="AH92" s="69" t="str">
        <f>+INDEX('NGP Chairs CoChairs'!$A$2:$M$53,MATCH('Supersite Working-AW'!$X95,'NGP Chairs CoChairs'!$A$2:$A$53,0),7)</f>
        <v>3039479447</v>
      </c>
      <c r="AI92" s="69" t="e">
        <f>+INDEX('NGP Chairs CoChairs'!$A$2:$M$53,MATCH('Supersite Working-AW'!$Y95,'NGP Chairs CoChairs'!$A$2:$A$53,0),7)</f>
        <v>#N/A</v>
      </c>
      <c r="AJ92" s="69" t="e">
        <f>+INDEX('NGP Chairs CoChairs'!$A$2:$M$53,MATCH('Supersite Working-AW'!$Z95,'NGP Chairs CoChairs'!$A$2:$A$53,0),7)</f>
        <v>#N/A</v>
      </c>
      <c r="AK92" s="69" t="e">
        <f>+INDEX('NGP Chairs CoChairs'!$A$2:$M$53,MATCH('Supersite Working-AW'!$AA95,'NGP Chairs CoChairs'!$A$2:$A$53,0),7)</f>
        <v>#N/A</v>
      </c>
      <c r="AL92">
        <v>9</v>
      </c>
    </row>
    <row r="93" spans="1:38" ht="17" x14ac:dyDescent="0.2">
      <c r="A93" s="3" t="s">
        <v>177</v>
      </c>
      <c r="B93" s="86">
        <v>311</v>
      </c>
      <c r="C93" s="86" t="s">
        <v>316</v>
      </c>
      <c r="D93" s="86" t="s">
        <v>317</v>
      </c>
      <c r="E93" s="110" t="s">
        <v>305</v>
      </c>
      <c r="F93" s="111" t="s">
        <v>306</v>
      </c>
      <c r="G93" s="86" t="s">
        <v>243</v>
      </c>
      <c r="H93" s="86"/>
      <c r="I93" s="86">
        <v>2</v>
      </c>
      <c r="J93" s="86">
        <v>12</v>
      </c>
      <c r="K93" s="86">
        <v>17</v>
      </c>
      <c r="L93" s="88">
        <v>396</v>
      </c>
      <c r="M93" s="89">
        <f>(L93*$M$2)</f>
        <v>9.9</v>
      </c>
      <c r="N93" s="89"/>
      <c r="O93" s="86" t="s">
        <v>177</v>
      </c>
      <c r="P93" s="86" t="s">
        <v>320</v>
      </c>
      <c r="Q93" s="99"/>
      <c r="R93" s="113" t="s">
        <v>130</v>
      </c>
      <c r="S93" s="113" t="s">
        <v>28</v>
      </c>
      <c r="T93" s="113" t="s">
        <v>2</v>
      </c>
      <c r="U93" s="86" t="s">
        <v>3</v>
      </c>
      <c r="V93" s="19"/>
      <c r="W93" s="19"/>
      <c r="X93" s="95">
        <v>107152163</v>
      </c>
      <c r="Y93" s="19"/>
      <c r="Z93" s="19"/>
      <c r="AA93" s="19"/>
      <c r="AB93" s="19"/>
      <c r="AC93" s="19"/>
      <c r="AD93" s="135" t="str">
        <f>+INDEX('NGP Chairs CoChairs'!$A$2:$M$53,MATCH('Supersite Working-AW'!$X96,'NGP Chairs CoChairs'!$A$2:$A$53,0),12)</f>
        <v>Jennifer Bales</v>
      </c>
      <c r="AE93" s="135" t="e">
        <f>+INDEX('NGP Chairs CoChairs'!$A$2:$M$53,MATCH('Supersite Working-AW'!$Y96,'NGP Chairs CoChairs'!$A$2:$A$53,0),12)</f>
        <v>#N/A</v>
      </c>
      <c r="AF93" s="135" t="e">
        <f>+INDEX('NGP Chairs CoChairs'!$A$2:$M$53,MATCH('Supersite Working-AW'!$Z96,'NGP Chairs CoChairs'!$A$2:$A$53,0),12)</f>
        <v>#N/A</v>
      </c>
      <c r="AG93" s="135" t="e">
        <f>+INDEX('NGP Chairs CoChairs'!$A$2:$M$53,MATCH('Supersite Working-AW'!$AA96,'NGP Chairs CoChairs'!$A$2:$A$53,0),12)</f>
        <v>#N/A</v>
      </c>
      <c r="AH93" s="69" t="str">
        <f>+INDEX('NGP Chairs CoChairs'!$A$2:$M$53,MATCH('Supersite Working-AW'!$X96,'NGP Chairs CoChairs'!$A$2:$A$53,0),7)</f>
        <v>3039479447</v>
      </c>
      <c r="AI93" s="69" t="e">
        <f>+INDEX('NGP Chairs CoChairs'!$A$2:$M$53,MATCH('Supersite Working-AW'!$Y96,'NGP Chairs CoChairs'!$A$2:$A$53,0),7)</f>
        <v>#N/A</v>
      </c>
      <c r="AJ93" s="69" t="e">
        <f>+INDEX('NGP Chairs CoChairs'!$A$2:$M$53,MATCH('Supersite Working-AW'!$Z96,'NGP Chairs CoChairs'!$A$2:$A$53,0),7)</f>
        <v>#N/A</v>
      </c>
      <c r="AK93" s="69" t="e">
        <f>+INDEX('NGP Chairs CoChairs'!$A$2:$M$53,MATCH('Supersite Working-AW'!$AA96,'NGP Chairs CoChairs'!$A$2:$A$53,0),7)</f>
        <v>#N/A</v>
      </c>
      <c r="AL93">
        <v>9</v>
      </c>
    </row>
    <row r="94" spans="1:38" ht="17" x14ac:dyDescent="0.2">
      <c r="A94" s="3" t="s">
        <v>177</v>
      </c>
      <c r="B94" s="86">
        <v>312</v>
      </c>
      <c r="C94" s="86" t="s">
        <v>316</v>
      </c>
      <c r="D94" s="86" t="s">
        <v>317</v>
      </c>
      <c r="E94" s="110" t="s">
        <v>305</v>
      </c>
      <c r="F94" s="111" t="s">
        <v>306</v>
      </c>
      <c r="G94" s="86" t="s">
        <v>243</v>
      </c>
      <c r="H94" s="86"/>
      <c r="I94" s="86">
        <v>2</v>
      </c>
      <c r="J94" s="86">
        <v>12</v>
      </c>
      <c r="K94" s="86">
        <v>17</v>
      </c>
      <c r="L94" s="88">
        <v>424</v>
      </c>
      <c r="M94" s="89">
        <f>(L94*$M$2)</f>
        <v>10.600000000000001</v>
      </c>
      <c r="N94" s="89"/>
      <c r="O94" s="86" t="s">
        <v>177</v>
      </c>
      <c r="P94" s="86" t="s">
        <v>321</v>
      </c>
      <c r="Q94" s="99"/>
      <c r="R94" s="113" t="s">
        <v>130</v>
      </c>
      <c r="S94" s="113" t="s">
        <v>28</v>
      </c>
      <c r="T94" s="113" t="s">
        <v>2</v>
      </c>
      <c r="U94" s="86" t="s">
        <v>3</v>
      </c>
      <c r="V94" s="19"/>
      <c r="W94" s="19"/>
      <c r="X94" s="95">
        <v>107152163</v>
      </c>
      <c r="Y94" s="19"/>
      <c r="Z94" s="19"/>
      <c r="AA94" s="19"/>
      <c r="AB94" s="19"/>
      <c r="AC94" s="19"/>
      <c r="AD94" s="135" t="str">
        <f>+INDEX('NGP Chairs CoChairs'!$A$2:$M$53,MATCH('Supersite Working-AW'!$X97,'NGP Chairs CoChairs'!$A$2:$A$53,0),12)</f>
        <v>Jennifer Bales</v>
      </c>
      <c r="AE94" s="135" t="e">
        <f>+INDEX('NGP Chairs CoChairs'!$A$2:$M$53,MATCH('Supersite Working-AW'!$Y97,'NGP Chairs CoChairs'!$A$2:$A$53,0),12)</f>
        <v>#N/A</v>
      </c>
      <c r="AF94" s="135" t="e">
        <f>+INDEX('NGP Chairs CoChairs'!$A$2:$M$53,MATCH('Supersite Working-AW'!$Z97,'NGP Chairs CoChairs'!$A$2:$A$53,0),12)</f>
        <v>#N/A</v>
      </c>
      <c r="AG94" s="135" t="e">
        <f>+INDEX('NGP Chairs CoChairs'!$A$2:$M$53,MATCH('Supersite Working-AW'!$AA97,'NGP Chairs CoChairs'!$A$2:$A$53,0),12)</f>
        <v>#N/A</v>
      </c>
      <c r="AH94" s="69" t="str">
        <f>+INDEX('NGP Chairs CoChairs'!$A$2:$M$53,MATCH('Supersite Working-AW'!$X97,'NGP Chairs CoChairs'!$A$2:$A$53,0),7)</f>
        <v>3039479447</v>
      </c>
      <c r="AI94" s="69" t="e">
        <f>+INDEX('NGP Chairs CoChairs'!$A$2:$M$53,MATCH('Supersite Working-AW'!$Y97,'NGP Chairs CoChairs'!$A$2:$A$53,0),7)</f>
        <v>#N/A</v>
      </c>
      <c r="AJ94" s="69" t="e">
        <f>+INDEX('NGP Chairs CoChairs'!$A$2:$M$53,MATCH('Supersite Working-AW'!$Z97,'NGP Chairs CoChairs'!$A$2:$A$53,0),7)</f>
        <v>#N/A</v>
      </c>
      <c r="AK94" s="69" t="e">
        <f>+INDEX('NGP Chairs CoChairs'!$A$2:$M$53,MATCH('Supersite Working-AW'!$AA97,'NGP Chairs CoChairs'!$A$2:$A$53,0),7)</f>
        <v>#N/A</v>
      </c>
      <c r="AL94">
        <v>9</v>
      </c>
    </row>
    <row r="95" spans="1:38" ht="17" x14ac:dyDescent="0.2">
      <c r="A95" s="3" t="s">
        <v>177</v>
      </c>
      <c r="B95" s="86">
        <v>313</v>
      </c>
      <c r="C95" s="86" t="s">
        <v>316</v>
      </c>
      <c r="D95" s="86" t="s">
        <v>317</v>
      </c>
      <c r="E95" s="110" t="s">
        <v>305</v>
      </c>
      <c r="F95" s="111" t="s">
        <v>306</v>
      </c>
      <c r="G95" s="86" t="s">
        <v>243</v>
      </c>
      <c r="H95" s="86"/>
      <c r="I95" s="86">
        <v>2</v>
      </c>
      <c r="J95" s="86">
        <v>12</v>
      </c>
      <c r="K95" s="86">
        <v>17</v>
      </c>
      <c r="L95" s="88">
        <v>629</v>
      </c>
      <c r="M95" s="89">
        <f>(L95*$M$2)</f>
        <v>15.725000000000001</v>
      </c>
      <c r="N95" s="89"/>
      <c r="O95" s="86" t="s">
        <v>177</v>
      </c>
      <c r="P95" s="86" t="s">
        <v>322</v>
      </c>
      <c r="Q95" s="99"/>
      <c r="R95" s="113" t="s">
        <v>130</v>
      </c>
      <c r="S95" s="113" t="s">
        <v>28</v>
      </c>
      <c r="T95" s="113" t="s">
        <v>2</v>
      </c>
      <c r="U95" s="86" t="s">
        <v>3</v>
      </c>
      <c r="V95" s="19"/>
      <c r="W95" s="19"/>
      <c r="X95" s="95">
        <v>107152163</v>
      </c>
      <c r="Y95" s="19"/>
      <c r="Z95" s="19"/>
      <c r="AA95" s="19"/>
      <c r="AB95" s="19"/>
      <c r="AC95" s="19"/>
      <c r="AD95" s="135" t="str">
        <f>+INDEX('NGP Chairs CoChairs'!$A$2:$M$53,MATCH('Supersite Working-AW'!$X98,'NGP Chairs CoChairs'!$A$2:$A$53,0),12)</f>
        <v>Jennifer Bales</v>
      </c>
      <c r="AE95" s="135" t="e">
        <f>+INDEX('NGP Chairs CoChairs'!$A$2:$M$53,MATCH('Supersite Working-AW'!$Y98,'NGP Chairs CoChairs'!$A$2:$A$53,0),12)</f>
        <v>#N/A</v>
      </c>
      <c r="AF95" s="135" t="e">
        <f>+INDEX('NGP Chairs CoChairs'!$A$2:$M$53,MATCH('Supersite Working-AW'!$Z98,'NGP Chairs CoChairs'!$A$2:$A$53,0),12)</f>
        <v>#N/A</v>
      </c>
      <c r="AG95" s="135" t="e">
        <f>+INDEX('NGP Chairs CoChairs'!$A$2:$M$53,MATCH('Supersite Working-AW'!$AA98,'NGP Chairs CoChairs'!$A$2:$A$53,0),12)</f>
        <v>#N/A</v>
      </c>
      <c r="AH95" s="69" t="str">
        <f>+INDEX('NGP Chairs CoChairs'!$A$2:$M$53,MATCH('Supersite Working-AW'!$X98,'NGP Chairs CoChairs'!$A$2:$A$53,0),7)</f>
        <v>3039479447</v>
      </c>
      <c r="AI95" s="69" t="e">
        <f>+INDEX('NGP Chairs CoChairs'!$A$2:$M$53,MATCH('Supersite Working-AW'!$Y98,'NGP Chairs CoChairs'!$A$2:$A$53,0),7)</f>
        <v>#N/A</v>
      </c>
      <c r="AJ95" s="69" t="e">
        <f>+INDEX('NGP Chairs CoChairs'!$A$2:$M$53,MATCH('Supersite Working-AW'!$Z98,'NGP Chairs CoChairs'!$A$2:$A$53,0),7)</f>
        <v>#N/A</v>
      </c>
      <c r="AK95" s="69" t="e">
        <f>+INDEX('NGP Chairs CoChairs'!$A$2:$M$53,MATCH('Supersite Working-AW'!$AA98,'NGP Chairs CoChairs'!$A$2:$A$53,0),7)</f>
        <v>#N/A</v>
      </c>
      <c r="AL95">
        <v>9</v>
      </c>
    </row>
    <row r="96" spans="1:38" ht="17" x14ac:dyDescent="0.2">
      <c r="A96" s="3" t="s">
        <v>177</v>
      </c>
      <c r="B96" s="86">
        <v>314</v>
      </c>
      <c r="C96" s="86" t="s">
        <v>316</v>
      </c>
      <c r="D96" s="86" t="s">
        <v>317</v>
      </c>
      <c r="E96" s="110" t="s">
        <v>305</v>
      </c>
      <c r="F96" s="111" t="s">
        <v>306</v>
      </c>
      <c r="G96" s="86" t="s">
        <v>243</v>
      </c>
      <c r="H96" s="86"/>
      <c r="I96" s="86">
        <v>2</v>
      </c>
      <c r="J96" s="86">
        <v>12</v>
      </c>
      <c r="K96" s="86">
        <v>17</v>
      </c>
      <c r="L96" s="88">
        <v>685</v>
      </c>
      <c r="M96" s="89">
        <f>(L96*$M$2)</f>
        <v>17.125</v>
      </c>
      <c r="N96" s="89"/>
      <c r="O96" s="86" t="s">
        <v>177</v>
      </c>
      <c r="P96" s="86" t="s">
        <v>323</v>
      </c>
      <c r="Q96" s="99"/>
      <c r="R96" s="113" t="s">
        <v>130</v>
      </c>
      <c r="S96" s="113" t="s">
        <v>28</v>
      </c>
      <c r="T96" s="113" t="s">
        <v>2</v>
      </c>
      <c r="U96" s="86" t="s">
        <v>3</v>
      </c>
      <c r="V96" s="19"/>
      <c r="W96" s="19"/>
      <c r="X96" s="95">
        <v>107152163</v>
      </c>
      <c r="Y96" s="19"/>
      <c r="Z96" s="19"/>
      <c r="AA96" s="19"/>
      <c r="AB96" s="19"/>
      <c r="AC96" s="19"/>
      <c r="AD96" s="135" t="str">
        <f>+INDEX('NGP Chairs CoChairs'!$A$2:$M$53,MATCH('Supersite Working-AW'!$X99,'NGP Chairs CoChairs'!$A$2:$A$53,0),12)</f>
        <v>Jennifer Bales</v>
      </c>
      <c r="AE96" s="135" t="e">
        <f>+INDEX('NGP Chairs CoChairs'!$A$2:$M$53,MATCH('Supersite Working-AW'!$Y99,'NGP Chairs CoChairs'!$A$2:$A$53,0),12)</f>
        <v>#N/A</v>
      </c>
      <c r="AF96" s="135" t="e">
        <f>+INDEX('NGP Chairs CoChairs'!$A$2:$M$53,MATCH('Supersite Working-AW'!$Z99,'NGP Chairs CoChairs'!$A$2:$A$53,0),12)</f>
        <v>#N/A</v>
      </c>
      <c r="AG96" s="135" t="e">
        <f>+INDEX('NGP Chairs CoChairs'!$A$2:$M$53,MATCH('Supersite Working-AW'!$AA99,'NGP Chairs CoChairs'!$A$2:$A$53,0),12)</f>
        <v>#N/A</v>
      </c>
      <c r="AH96" s="69" t="str">
        <f>+INDEX('NGP Chairs CoChairs'!$A$2:$M$53,MATCH('Supersite Working-AW'!$X99,'NGP Chairs CoChairs'!$A$2:$A$53,0),7)</f>
        <v>3039479447</v>
      </c>
      <c r="AI96" s="69" t="e">
        <f>+INDEX('NGP Chairs CoChairs'!$A$2:$M$53,MATCH('Supersite Working-AW'!$Y99,'NGP Chairs CoChairs'!$A$2:$A$53,0),7)</f>
        <v>#N/A</v>
      </c>
      <c r="AJ96" s="69" t="e">
        <f>+INDEX('NGP Chairs CoChairs'!$A$2:$M$53,MATCH('Supersite Working-AW'!$Z99,'NGP Chairs CoChairs'!$A$2:$A$53,0),7)</f>
        <v>#N/A</v>
      </c>
      <c r="AK96" s="69" t="e">
        <f>+INDEX('NGP Chairs CoChairs'!$A$2:$M$53,MATCH('Supersite Working-AW'!$AA99,'NGP Chairs CoChairs'!$A$2:$A$53,0),7)</f>
        <v>#N/A</v>
      </c>
      <c r="AL96">
        <v>9</v>
      </c>
    </row>
    <row r="97" spans="1:38" ht="17" x14ac:dyDescent="0.2">
      <c r="A97" s="3" t="s">
        <v>177</v>
      </c>
      <c r="B97" s="86">
        <v>315</v>
      </c>
      <c r="C97" s="86" t="s">
        <v>316</v>
      </c>
      <c r="D97" s="86" t="s">
        <v>317</v>
      </c>
      <c r="E97" s="110" t="s">
        <v>305</v>
      </c>
      <c r="F97" s="111" t="s">
        <v>306</v>
      </c>
      <c r="G97" s="86" t="s">
        <v>243</v>
      </c>
      <c r="H97" s="86"/>
      <c r="I97" s="86">
        <v>2</v>
      </c>
      <c r="J97" s="86">
        <v>12</v>
      </c>
      <c r="K97" s="86">
        <v>17</v>
      </c>
      <c r="L97" s="88">
        <v>360</v>
      </c>
      <c r="M97" s="89">
        <f>(L97*$M$2)</f>
        <v>9</v>
      </c>
      <c r="N97" s="89"/>
      <c r="O97" s="86" t="s">
        <v>177</v>
      </c>
      <c r="P97" s="86" t="s">
        <v>324</v>
      </c>
      <c r="Q97" s="99"/>
      <c r="R97" s="113" t="s">
        <v>130</v>
      </c>
      <c r="S97" s="113" t="s">
        <v>28</v>
      </c>
      <c r="T97" s="113" t="s">
        <v>2</v>
      </c>
      <c r="U97" s="86" t="s">
        <v>3</v>
      </c>
      <c r="V97" s="19"/>
      <c r="W97" s="19"/>
      <c r="X97" s="95">
        <v>107152163</v>
      </c>
      <c r="Y97" s="19"/>
      <c r="Z97" s="19"/>
      <c r="AA97" s="19"/>
      <c r="AB97" s="19"/>
      <c r="AC97" s="19"/>
      <c r="AD97" s="135" t="str">
        <f>+INDEX('NGP Chairs CoChairs'!$A$2:$M$53,MATCH('Supersite Working-AW'!$X100,'NGP Chairs CoChairs'!$A$2:$A$53,0),12)</f>
        <v>Jennifer Bales</v>
      </c>
      <c r="AE97" s="135" t="e">
        <f>+INDEX('NGP Chairs CoChairs'!$A$2:$M$53,MATCH('Supersite Working-AW'!$Y100,'NGP Chairs CoChairs'!$A$2:$A$53,0),12)</f>
        <v>#N/A</v>
      </c>
      <c r="AF97" s="135" t="e">
        <f>+INDEX('NGP Chairs CoChairs'!$A$2:$M$53,MATCH('Supersite Working-AW'!$Z100,'NGP Chairs CoChairs'!$A$2:$A$53,0),12)</f>
        <v>#N/A</v>
      </c>
      <c r="AG97" s="135" t="e">
        <f>+INDEX('NGP Chairs CoChairs'!$A$2:$M$53,MATCH('Supersite Working-AW'!$AA100,'NGP Chairs CoChairs'!$A$2:$A$53,0),12)</f>
        <v>#N/A</v>
      </c>
      <c r="AH97" s="69" t="str">
        <f>+INDEX('NGP Chairs CoChairs'!$A$2:$M$53,MATCH('Supersite Working-AW'!$X100,'NGP Chairs CoChairs'!$A$2:$A$53,0),7)</f>
        <v>3039479447</v>
      </c>
      <c r="AI97" s="69" t="e">
        <f>+INDEX('NGP Chairs CoChairs'!$A$2:$M$53,MATCH('Supersite Working-AW'!$Y100,'NGP Chairs CoChairs'!$A$2:$A$53,0),7)</f>
        <v>#N/A</v>
      </c>
      <c r="AJ97" s="69" t="e">
        <f>+INDEX('NGP Chairs CoChairs'!$A$2:$M$53,MATCH('Supersite Working-AW'!$Z100,'NGP Chairs CoChairs'!$A$2:$A$53,0),7)</f>
        <v>#N/A</v>
      </c>
      <c r="AK97" s="69" t="e">
        <f>+INDEX('NGP Chairs CoChairs'!$A$2:$M$53,MATCH('Supersite Working-AW'!$AA100,'NGP Chairs CoChairs'!$A$2:$A$53,0),7)</f>
        <v>#N/A</v>
      </c>
      <c r="AL97">
        <v>9</v>
      </c>
    </row>
    <row r="98" spans="1:38" ht="17" x14ac:dyDescent="0.2">
      <c r="A98" s="3" t="s">
        <v>177</v>
      </c>
      <c r="B98" s="86">
        <v>316</v>
      </c>
      <c r="C98" s="86" t="s">
        <v>316</v>
      </c>
      <c r="D98" s="86" t="s">
        <v>317</v>
      </c>
      <c r="E98" s="110" t="s">
        <v>305</v>
      </c>
      <c r="F98" s="111" t="s">
        <v>306</v>
      </c>
      <c r="G98" s="86" t="s">
        <v>243</v>
      </c>
      <c r="H98" s="86"/>
      <c r="I98" s="86">
        <v>2</v>
      </c>
      <c r="J98" s="86">
        <v>12</v>
      </c>
      <c r="K98" s="86">
        <v>17</v>
      </c>
      <c r="L98" s="88">
        <v>505</v>
      </c>
      <c r="M98" s="89">
        <f>(L98*$M$2)</f>
        <v>12.625</v>
      </c>
      <c r="N98" s="89"/>
      <c r="O98" s="86" t="s">
        <v>177</v>
      </c>
      <c r="P98" s="86" t="s">
        <v>325</v>
      </c>
      <c r="Q98" s="99"/>
      <c r="R98" s="113" t="s">
        <v>130</v>
      </c>
      <c r="S98" s="113" t="s">
        <v>28</v>
      </c>
      <c r="T98" s="113" t="s">
        <v>2</v>
      </c>
      <c r="U98" s="86" t="s">
        <v>3</v>
      </c>
      <c r="V98" s="19"/>
      <c r="W98" s="19"/>
      <c r="X98" s="95">
        <v>107152163</v>
      </c>
      <c r="Y98" s="19"/>
      <c r="Z98" s="19"/>
      <c r="AA98" s="19"/>
      <c r="AB98" s="19"/>
      <c r="AC98" s="19"/>
      <c r="AD98" s="135" t="str">
        <f>+INDEX('NGP Chairs CoChairs'!$A$2:$M$53,MATCH('Supersite Working-AW'!$X101,'NGP Chairs CoChairs'!$A$2:$A$53,0),12)</f>
        <v>Jennifer Bales</v>
      </c>
      <c r="AE98" s="135" t="e">
        <f>+INDEX('NGP Chairs CoChairs'!$A$2:$M$53,MATCH('Supersite Working-AW'!$Y101,'NGP Chairs CoChairs'!$A$2:$A$53,0),12)</f>
        <v>#N/A</v>
      </c>
      <c r="AF98" s="135" t="e">
        <f>+INDEX('NGP Chairs CoChairs'!$A$2:$M$53,MATCH('Supersite Working-AW'!$Z101,'NGP Chairs CoChairs'!$A$2:$A$53,0),12)</f>
        <v>#N/A</v>
      </c>
      <c r="AG98" s="135" t="e">
        <f>+INDEX('NGP Chairs CoChairs'!$A$2:$M$53,MATCH('Supersite Working-AW'!$AA101,'NGP Chairs CoChairs'!$A$2:$A$53,0),12)</f>
        <v>#N/A</v>
      </c>
      <c r="AH98" s="69" t="str">
        <f>+INDEX('NGP Chairs CoChairs'!$A$2:$M$53,MATCH('Supersite Working-AW'!$X101,'NGP Chairs CoChairs'!$A$2:$A$53,0),7)</f>
        <v>3039479447</v>
      </c>
      <c r="AI98" s="69" t="e">
        <f>+INDEX('NGP Chairs CoChairs'!$A$2:$M$53,MATCH('Supersite Working-AW'!$Y101,'NGP Chairs CoChairs'!$A$2:$A$53,0),7)</f>
        <v>#N/A</v>
      </c>
      <c r="AJ98" s="69" t="e">
        <f>+INDEX('NGP Chairs CoChairs'!$A$2:$M$53,MATCH('Supersite Working-AW'!$Z101,'NGP Chairs CoChairs'!$A$2:$A$53,0),7)</f>
        <v>#N/A</v>
      </c>
      <c r="AK98" s="69" t="e">
        <f>+INDEX('NGP Chairs CoChairs'!$A$2:$M$53,MATCH('Supersite Working-AW'!$AA101,'NGP Chairs CoChairs'!$A$2:$A$53,0),7)</f>
        <v>#N/A</v>
      </c>
      <c r="AL98">
        <v>9</v>
      </c>
    </row>
    <row r="99" spans="1:38" ht="16" x14ac:dyDescent="0.2">
      <c r="A99" s="3" t="s">
        <v>336</v>
      </c>
      <c r="B99" s="86">
        <v>500</v>
      </c>
      <c r="C99" s="86" t="s">
        <v>316</v>
      </c>
      <c r="D99" s="86" t="s">
        <v>317</v>
      </c>
      <c r="E99" s="86" t="s">
        <v>93</v>
      </c>
      <c r="F99" s="111" t="s">
        <v>306</v>
      </c>
      <c r="G99" s="86" t="s">
        <v>243</v>
      </c>
      <c r="H99" s="86"/>
      <c r="I99" s="86">
        <v>2</v>
      </c>
      <c r="J99" s="86">
        <v>12</v>
      </c>
      <c r="K99" s="86">
        <v>18</v>
      </c>
      <c r="L99" s="88">
        <v>500</v>
      </c>
      <c r="M99" s="89">
        <f>(L99*$M$2)</f>
        <v>12.5</v>
      </c>
      <c r="N99" s="89"/>
      <c r="O99" s="86" t="s">
        <v>177</v>
      </c>
      <c r="P99" s="87" t="s">
        <v>337</v>
      </c>
      <c r="Q99" s="119"/>
      <c r="R99" s="113" t="s">
        <v>130</v>
      </c>
      <c r="S99" s="113" t="s">
        <v>28</v>
      </c>
      <c r="T99" s="113" t="s">
        <v>2</v>
      </c>
      <c r="U99" s="86" t="s">
        <v>3</v>
      </c>
      <c r="V99" s="19"/>
      <c r="W99" s="19"/>
      <c r="X99" s="95">
        <v>107152163</v>
      </c>
      <c r="Y99" s="95"/>
      <c r="Z99" s="95"/>
      <c r="AA99" s="95"/>
      <c r="AB99" s="19"/>
      <c r="AC99" s="19"/>
      <c r="AD99" s="135" t="str">
        <f>+INDEX('NGP Chairs CoChairs'!$A$2:$M$53,MATCH('Supersite Working-AW'!$X102,'NGP Chairs CoChairs'!$A$2:$A$53,0),12)</f>
        <v>Kendra Appelman-Eastvedt</v>
      </c>
      <c r="AE99" s="135" t="str">
        <f>+INDEX('NGP Chairs CoChairs'!$A$2:$M$53,MATCH('Supersite Working-AW'!$Y102,'NGP Chairs CoChairs'!$A$2:$A$53,0),12)</f>
        <v>Erin Eastvedt</v>
      </c>
      <c r="AF99" s="135" t="e">
        <f>+INDEX('NGP Chairs CoChairs'!$A$2:$M$53,MATCH('Supersite Working-AW'!$Z102,'NGP Chairs CoChairs'!$A$2:$A$53,0),12)</f>
        <v>#N/A</v>
      </c>
      <c r="AG99" s="135" t="e">
        <f>+INDEX('NGP Chairs CoChairs'!$A$2:$M$53,MATCH('Supersite Working-AW'!$AA102,'NGP Chairs CoChairs'!$A$2:$A$53,0),12)</f>
        <v>#N/A</v>
      </c>
      <c r="AH99" s="69" t="str">
        <f>+INDEX('NGP Chairs CoChairs'!$A$2:$M$53,MATCH('Supersite Working-AW'!$X102,'NGP Chairs CoChairs'!$A$2:$A$53,0),7)</f>
        <v>4048226732</v>
      </c>
      <c r="AI99" s="69" t="str">
        <f>+INDEX('NGP Chairs CoChairs'!$A$2:$M$53,MATCH('Supersite Working-AW'!$Y102,'NGP Chairs CoChairs'!$A$2:$A$53,0),7)</f>
        <v>6783573242</v>
      </c>
      <c r="AJ99" s="69" t="e">
        <f>+INDEX('NGP Chairs CoChairs'!$A$2:$M$53,MATCH('Supersite Working-AW'!$Z102,'NGP Chairs CoChairs'!$A$2:$A$53,0),7)</f>
        <v>#N/A</v>
      </c>
      <c r="AK99" s="69" t="e">
        <f>+INDEX('NGP Chairs CoChairs'!$A$2:$M$53,MATCH('Supersite Working-AW'!$AA102,'NGP Chairs CoChairs'!$A$2:$A$53,0),7)</f>
        <v>#N/A</v>
      </c>
      <c r="AL99">
        <v>9</v>
      </c>
    </row>
    <row r="100" spans="1:38" ht="16" x14ac:dyDescent="0.2">
      <c r="A100" s="3" t="s">
        <v>336</v>
      </c>
      <c r="B100" s="86">
        <v>501</v>
      </c>
      <c r="C100" s="86" t="s">
        <v>316</v>
      </c>
      <c r="D100" s="86" t="s">
        <v>317</v>
      </c>
      <c r="E100" s="86" t="s">
        <v>93</v>
      </c>
      <c r="F100" s="111" t="s">
        <v>306</v>
      </c>
      <c r="G100" s="86" t="s">
        <v>243</v>
      </c>
      <c r="H100" s="86"/>
      <c r="I100" s="86">
        <v>2</v>
      </c>
      <c r="J100" s="86">
        <v>12</v>
      </c>
      <c r="K100" s="86">
        <v>18</v>
      </c>
      <c r="L100" s="88">
        <v>453</v>
      </c>
      <c r="M100" s="89">
        <f>(L100*$M$2)</f>
        <v>11.325000000000001</v>
      </c>
      <c r="N100" s="89"/>
      <c r="O100" s="86" t="s">
        <v>177</v>
      </c>
      <c r="P100" s="87" t="s">
        <v>337</v>
      </c>
      <c r="Q100" s="119"/>
      <c r="R100" s="113" t="s">
        <v>130</v>
      </c>
      <c r="S100" s="113" t="s">
        <v>28</v>
      </c>
      <c r="T100" s="113" t="s">
        <v>2</v>
      </c>
      <c r="U100" s="86" t="s">
        <v>3</v>
      </c>
      <c r="V100" s="19"/>
      <c r="W100" s="19"/>
      <c r="X100" s="95">
        <v>107152163</v>
      </c>
      <c r="Y100" s="95"/>
      <c r="Z100" s="95"/>
      <c r="AA100" s="95"/>
      <c r="AB100" s="19"/>
      <c r="AC100" s="19"/>
      <c r="AD100" s="135" t="str">
        <f>+INDEX('NGP Chairs CoChairs'!$A$2:$M$53,MATCH('Supersite Working-AW'!$X103,'NGP Chairs CoChairs'!$A$2:$A$53,0),12)</f>
        <v>Kendra Appelman-Eastvedt</v>
      </c>
      <c r="AE100" s="135" t="str">
        <f>+INDEX('NGP Chairs CoChairs'!$A$2:$M$53,MATCH('Supersite Working-AW'!$Y103,'NGP Chairs CoChairs'!$A$2:$A$53,0),12)</f>
        <v>Erin Eastvedt</v>
      </c>
      <c r="AF100" s="135" t="e">
        <f>+INDEX('NGP Chairs CoChairs'!$A$2:$M$53,MATCH('Supersite Working-AW'!$Z103,'NGP Chairs CoChairs'!$A$2:$A$53,0),12)</f>
        <v>#N/A</v>
      </c>
      <c r="AG100" s="135" t="e">
        <f>+INDEX('NGP Chairs CoChairs'!$A$2:$M$53,MATCH('Supersite Working-AW'!$AA103,'NGP Chairs CoChairs'!$A$2:$A$53,0),12)</f>
        <v>#N/A</v>
      </c>
      <c r="AH100" s="69" t="str">
        <f>+INDEX('NGP Chairs CoChairs'!$A$2:$M$53,MATCH('Supersite Working-AW'!$X103,'NGP Chairs CoChairs'!$A$2:$A$53,0),7)</f>
        <v>4048226732</v>
      </c>
      <c r="AI100" s="69" t="str">
        <f>+INDEX('NGP Chairs CoChairs'!$A$2:$M$53,MATCH('Supersite Working-AW'!$Y103,'NGP Chairs CoChairs'!$A$2:$A$53,0),7)</f>
        <v>6783573242</v>
      </c>
      <c r="AJ100" s="69" t="e">
        <f>+INDEX('NGP Chairs CoChairs'!$A$2:$M$53,MATCH('Supersite Working-AW'!$Z103,'NGP Chairs CoChairs'!$A$2:$A$53,0),7)</f>
        <v>#N/A</v>
      </c>
      <c r="AK100" s="69" t="e">
        <f>+INDEX('NGP Chairs CoChairs'!$A$2:$M$53,MATCH('Supersite Working-AW'!$AA103,'NGP Chairs CoChairs'!$A$2:$A$53,0),7)</f>
        <v>#N/A</v>
      </c>
      <c r="AL100">
        <v>9</v>
      </c>
    </row>
    <row r="101" spans="1:38" ht="17" x14ac:dyDescent="0.2">
      <c r="A101" s="3" t="s">
        <v>177</v>
      </c>
      <c r="B101" s="86">
        <v>502</v>
      </c>
      <c r="C101" s="86" t="s">
        <v>316</v>
      </c>
      <c r="D101" s="86" t="s">
        <v>317</v>
      </c>
      <c r="E101" s="110" t="s">
        <v>305</v>
      </c>
      <c r="F101" s="111" t="s">
        <v>306</v>
      </c>
      <c r="G101" s="86" t="s">
        <v>243</v>
      </c>
      <c r="H101" s="86"/>
      <c r="I101" s="86">
        <v>2</v>
      </c>
      <c r="J101" s="86">
        <v>12</v>
      </c>
      <c r="K101" s="86">
        <v>18</v>
      </c>
      <c r="L101" s="88">
        <v>574</v>
      </c>
      <c r="M101" s="89">
        <f>(L101*$M$2)</f>
        <v>14.350000000000001</v>
      </c>
      <c r="N101" s="89">
        <f>SUM(M84:M101)</f>
        <v>245.54999999999998</v>
      </c>
      <c r="O101" s="86" t="s">
        <v>177</v>
      </c>
      <c r="P101" s="86" t="s">
        <v>326</v>
      </c>
      <c r="Q101" s="99"/>
      <c r="R101" s="113" t="s">
        <v>130</v>
      </c>
      <c r="S101" s="113" t="s">
        <v>28</v>
      </c>
      <c r="T101" s="113" t="s">
        <v>2</v>
      </c>
      <c r="U101" s="86" t="s">
        <v>3</v>
      </c>
      <c r="V101" s="19"/>
      <c r="W101" s="19"/>
      <c r="X101" s="95">
        <v>107152163</v>
      </c>
      <c r="Y101" s="19"/>
      <c r="Z101" s="19"/>
      <c r="AA101" s="19"/>
      <c r="AB101" s="19"/>
      <c r="AC101" s="19"/>
      <c r="AD101" s="135" t="str">
        <f>+INDEX('NGP Chairs CoChairs'!$A$2:$M$53,MATCH('Supersite Working-AW'!$X104,'NGP Chairs CoChairs'!$A$2:$A$53,0),12)</f>
        <v>Kendra Appelman-Eastvedt</v>
      </c>
      <c r="AE101" s="135" t="str">
        <f>+INDEX('NGP Chairs CoChairs'!$A$2:$M$53,MATCH('Supersite Working-AW'!$Y104,'NGP Chairs CoChairs'!$A$2:$A$53,0),12)</f>
        <v>Erin Eastvedt</v>
      </c>
      <c r="AF101" s="135" t="e">
        <f>+INDEX('NGP Chairs CoChairs'!$A$2:$M$53,MATCH('Supersite Working-AW'!$Z104,'NGP Chairs CoChairs'!$A$2:$A$53,0),12)</f>
        <v>#N/A</v>
      </c>
      <c r="AG101" s="135" t="e">
        <f>+INDEX('NGP Chairs CoChairs'!$A$2:$M$53,MATCH('Supersite Working-AW'!$AA104,'NGP Chairs CoChairs'!$A$2:$A$53,0),12)</f>
        <v>#N/A</v>
      </c>
      <c r="AH101" s="69" t="str">
        <f>+INDEX('NGP Chairs CoChairs'!$A$2:$M$53,MATCH('Supersite Working-AW'!$X104,'NGP Chairs CoChairs'!$A$2:$A$53,0),7)</f>
        <v>4048226732</v>
      </c>
      <c r="AI101" s="69" t="str">
        <f>+INDEX('NGP Chairs CoChairs'!$A$2:$M$53,MATCH('Supersite Working-AW'!$Y104,'NGP Chairs CoChairs'!$A$2:$A$53,0),7)</f>
        <v>6783573242</v>
      </c>
      <c r="AJ101" s="69" t="e">
        <f>+INDEX('NGP Chairs CoChairs'!$A$2:$M$53,MATCH('Supersite Working-AW'!$Z104,'NGP Chairs CoChairs'!$A$2:$A$53,0),7)</f>
        <v>#N/A</v>
      </c>
      <c r="AK101" s="69" t="e">
        <f>+INDEX('NGP Chairs CoChairs'!$A$2:$M$53,MATCH('Supersite Working-AW'!$AA104,'NGP Chairs CoChairs'!$A$2:$A$53,0),7)</f>
        <v>#N/A</v>
      </c>
      <c r="AL101">
        <v>9</v>
      </c>
    </row>
    <row r="102" spans="1:38" ht="16" x14ac:dyDescent="0.2">
      <c r="A102" s="3" t="s">
        <v>369</v>
      </c>
      <c r="B102" s="86">
        <v>600</v>
      </c>
      <c r="C102" s="86" t="s">
        <v>370</v>
      </c>
      <c r="D102" s="86" t="s">
        <v>371</v>
      </c>
      <c r="E102" s="86" t="s">
        <v>372</v>
      </c>
      <c r="F102" s="86" t="s">
        <v>373</v>
      </c>
      <c r="G102" s="86" t="s">
        <v>243</v>
      </c>
      <c r="H102" s="86"/>
      <c r="I102" s="86">
        <v>2</v>
      </c>
      <c r="J102" s="86">
        <v>11</v>
      </c>
      <c r="K102" s="86">
        <v>17</v>
      </c>
      <c r="L102" s="88">
        <v>642</v>
      </c>
      <c r="M102" s="89">
        <f>(L102*$M$2)</f>
        <v>16.05</v>
      </c>
      <c r="N102" s="89"/>
      <c r="O102" s="86" t="s">
        <v>180</v>
      </c>
      <c r="P102" s="19"/>
      <c r="Q102" s="86" t="s">
        <v>374</v>
      </c>
      <c r="R102" s="124" t="s">
        <v>127</v>
      </c>
      <c r="S102" s="97" t="s">
        <v>375</v>
      </c>
      <c r="T102" s="125"/>
      <c r="U102" s="106" t="s">
        <v>56</v>
      </c>
      <c r="V102" s="19"/>
      <c r="W102" s="19"/>
      <c r="X102" s="95">
        <v>138232649</v>
      </c>
      <c r="Y102" s="95">
        <v>111502459</v>
      </c>
      <c r="Z102" s="19">
        <v>111502455</v>
      </c>
      <c r="AA102" s="19"/>
      <c r="AB102" s="19"/>
      <c r="AC102" s="19"/>
      <c r="AD102" s="135" t="str">
        <f>+INDEX('NGP Chairs CoChairs'!$A$2:$M$53,MATCH('Supersite Working-AW'!$X119,'NGP Chairs CoChairs'!$A$2:$A$53,0),12)</f>
        <v>Gaythia Weis</v>
      </c>
      <c r="AE102" s="135" t="str">
        <f>+INDEX('NGP Chairs CoChairs'!$A$2:$M$53,MATCH('Supersite Working-AW'!$Y119,'NGP Chairs CoChairs'!$A$2:$A$53,0),12)</f>
        <v>sharon malloy</v>
      </c>
      <c r="AF102" s="135" t="str">
        <f>+INDEX('NGP Chairs CoChairs'!$A$2:$M$53,MATCH('Supersite Working-AW'!$Z119,'NGP Chairs CoChairs'!$A$2:$A$53,0),12)</f>
        <v>marilyn hughes</v>
      </c>
      <c r="AG102" s="135" t="e">
        <f>+INDEX('NGP Chairs CoChairs'!$A$2:$M$53,MATCH('Supersite Working-AW'!$AA119,'NGP Chairs CoChairs'!$A$2:$A$53,0),12)</f>
        <v>#N/A</v>
      </c>
      <c r="AH102" s="69" t="str">
        <f>+INDEX('NGP Chairs CoChairs'!$A$2:$M$53,MATCH('Supersite Working-AW'!$X119,'NGP Chairs CoChairs'!$A$2:$A$53,0),7)</f>
        <v>3032426450</v>
      </c>
      <c r="AI102" s="69" t="str">
        <f>+INDEX('NGP Chairs CoChairs'!$A$2:$M$53,MATCH('Supersite Working-AW'!$Y119,'NGP Chairs CoChairs'!$A$2:$A$53,0),7)</f>
        <v>3035884452</v>
      </c>
      <c r="AJ102" s="69" t="str">
        <f>+INDEX('NGP Chairs CoChairs'!$A$2:$M$53,MATCH('Supersite Working-AW'!$Z119,'NGP Chairs CoChairs'!$A$2:$A$53,0),7)</f>
        <v>3038810816</v>
      </c>
      <c r="AK102" s="69" t="e">
        <f>+INDEX('NGP Chairs CoChairs'!$A$2:$M$53,MATCH('Supersite Working-AW'!$AA119,'NGP Chairs CoChairs'!$A$2:$A$53,0),7)</f>
        <v>#N/A</v>
      </c>
      <c r="AL102">
        <v>11</v>
      </c>
    </row>
    <row r="103" spans="1:38" ht="16" x14ac:dyDescent="0.2">
      <c r="A103" s="3" t="s">
        <v>369</v>
      </c>
      <c r="B103" s="86">
        <v>601</v>
      </c>
      <c r="C103" s="86" t="s">
        <v>370</v>
      </c>
      <c r="D103" s="86" t="s">
        <v>371</v>
      </c>
      <c r="E103" s="86" t="s">
        <v>372</v>
      </c>
      <c r="F103" s="86" t="s">
        <v>373</v>
      </c>
      <c r="G103" s="86" t="s">
        <v>243</v>
      </c>
      <c r="H103" s="86"/>
      <c r="I103" s="86">
        <v>2</v>
      </c>
      <c r="J103" s="86">
        <v>11</v>
      </c>
      <c r="K103" s="86">
        <v>17</v>
      </c>
      <c r="L103" s="88">
        <v>536</v>
      </c>
      <c r="M103" s="89">
        <f>(L103*$M$2)</f>
        <v>13.4</v>
      </c>
      <c r="N103" s="89"/>
      <c r="O103" s="86" t="s">
        <v>180</v>
      </c>
      <c r="P103" s="19"/>
      <c r="Q103" s="86"/>
      <c r="R103" s="124" t="s">
        <v>127</v>
      </c>
      <c r="S103" s="97" t="s">
        <v>375</v>
      </c>
      <c r="T103" s="125"/>
      <c r="U103" s="106" t="s">
        <v>56</v>
      </c>
      <c r="V103" s="19"/>
      <c r="W103" s="19"/>
      <c r="X103" s="95">
        <v>138232649</v>
      </c>
      <c r="Y103" s="95">
        <v>111502459</v>
      </c>
      <c r="Z103" s="19">
        <v>111502455</v>
      </c>
      <c r="AA103" s="19"/>
      <c r="AB103" s="19"/>
      <c r="AC103" s="19"/>
      <c r="AD103" s="135" t="str">
        <f>+INDEX('NGP Chairs CoChairs'!$A$2:$M$53,MATCH('Supersite Working-AW'!$X120,'NGP Chairs CoChairs'!$A$2:$A$53,0),12)</f>
        <v>Gaythia Weis</v>
      </c>
      <c r="AE103" s="135" t="str">
        <f>+INDEX('NGP Chairs CoChairs'!$A$2:$M$53,MATCH('Supersite Working-AW'!$Y120,'NGP Chairs CoChairs'!$A$2:$A$53,0),12)</f>
        <v>sharon malloy</v>
      </c>
      <c r="AF103" s="135" t="str">
        <f>+INDEX('NGP Chairs CoChairs'!$A$2:$M$53,MATCH('Supersite Working-AW'!$Z120,'NGP Chairs CoChairs'!$A$2:$A$53,0),12)</f>
        <v>marilyn hughes</v>
      </c>
      <c r="AG103" s="135" t="e">
        <f>+INDEX('NGP Chairs CoChairs'!$A$2:$M$53,MATCH('Supersite Working-AW'!$AA120,'NGP Chairs CoChairs'!$A$2:$A$53,0),12)</f>
        <v>#N/A</v>
      </c>
      <c r="AH103" s="69" t="str">
        <f>+INDEX('NGP Chairs CoChairs'!$A$2:$M$53,MATCH('Supersite Working-AW'!$X120,'NGP Chairs CoChairs'!$A$2:$A$53,0),7)</f>
        <v>3032426450</v>
      </c>
      <c r="AI103" s="69" t="str">
        <f>+INDEX('NGP Chairs CoChairs'!$A$2:$M$53,MATCH('Supersite Working-AW'!$Y120,'NGP Chairs CoChairs'!$A$2:$A$53,0),7)</f>
        <v>3035884452</v>
      </c>
      <c r="AJ103" s="69" t="str">
        <f>+INDEX('NGP Chairs CoChairs'!$A$2:$M$53,MATCH('Supersite Working-AW'!$Z120,'NGP Chairs CoChairs'!$A$2:$A$53,0),7)</f>
        <v>3038810816</v>
      </c>
      <c r="AK103" s="69" t="e">
        <f>+INDEX('NGP Chairs CoChairs'!$A$2:$M$53,MATCH('Supersite Working-AW'!$AA120,'NGP Chairs CoChairs'!$A$2:$A$53,0),7)</f>
        <v>#N/A</v>
      </c>
      <c r="AL103">
        <v>11</v>
      </c>
    </row>
    <row r="104" spans="1:38" ht="16" x14ac:dyDescent="0.2">
      <c r="A104" s="3" t="s">
        <v>369</v>
      </c>
      <c r="B104" s="86">
        <v>602</v>
      </c>
      <c r="C104" s="86" t="s">
        <v>370</v>
      </c>
      <c r="D104" s="86" t="s">
        <v>371</v>
      </c>
      <c r="E104" s="86" t="s">
        <v>372</v>
      </c>
      <c r="F104" s="86" t="s">
        <v>373</v>
      </c>
      <c r="G104" s="86" t="s">
        <v>243</v>
      </c>
      <c r="H104" s="86"/>
      <c r="I104" s="86">
        <v>2</v>
      </c>
      <c r="J104" s="86">
        <v>11</v>
      </c>
      <c r="K104" s="86">
        <v>17</v>
      </c>
      <c r="L104" s="88">
        <v>330</v>
      </c>
      <c r="M104" s="89">
        <f>(L104*$M$2)</f>
        <v>8.25</v>
      </c>
      <c r="N104" s="89"/>
      <c r="O104" s="86" t="s">
        <v>180</v>
      </c>
      <c r="P104" s="19"/>
      <c r="Q104" s="86"/>
      <c r="R104" s="124" t="s">
        <v>127</v>
      </c>
      <c r="S104" s="97" t="s">
        <v>375</v>
      </c>
      <c r="T104" s="125"/>
      <c r="U104" s="106" t="s">
        <v>56</v>
      </c>
      <c r="V104" s="19"/>
      <c r="W104" s="19"/>
      <c r="X104" s="95">
        <v>138232649</v>
      </c>
      <c r="Y104" s="95">
        <v>111502459</v>
      </c>
      <c r="Z104" s="19">
        <v>111502455</v>
      </c>
      <c r="AA104" s="19"/>
      <c r="AB104" s="19"/>
      <c r="AC104" s="19"/>
      <c r="AD104" s="135" t="str">
        <f>+INDEX('NGP Chairs CoChairs'!$A$2:$M$53,MATCH('Supersite Working-AW'!$X121,'NGP Chairs CoChairs'!$A$2:$A$53,0),12)</f>
        <v>Gaythia Weis</v>
      </c>
      <c r="AE104" s="135" t="str">
        <f>+INDEX('NGP Chairs CoChairs'!$A$2:$M$53,MATCH('Supersite Working-AW'!$Y121,'NGP Chairs CoChairs'!$A$2:$A$53,0),12)</f>
        <v>sharon malloy</v>
      </c>
      <c r="AF104" s="135" t="str">
        <f>+INDEX('NGP Chairs CoChairs'!$A$2:$M$53,MATCH('Supersite Working-AW'!$Z121,'NGP Chairs CoChairs'!$A$2:$A$53,0),12)</f>
        <v>marilyn hughes</v>
      </c>
      <c r="AG104" s="135" t="e">
        <f>+INDEX('NGP Chairs CoChairs'!$A$2:$M$53,MATCH('Supersite Working-AW'!$AA121,'NGP Chairs CoChairs'!$A$2:$A$53,0),12)</f>
        <v>#N/A</v>
      </c>
      <c r="AH104" s="69" t="str">
        <f>+INDEX('NGP Chairs CoChairs'!$A$2:$M$53,MATCH('Supersite Working-AW'!$X121,'NGP Chairs CoChairs'!$A$2:$A$53,0),7)</f>
        <v>3032426450</v>
      </c>
      <c r="AI104" s="69" t="str">
        <f>+INDEX('NGP Chairs CoChairs'!$A$2:$M$53,MATCH('Supersite Working-AW'!$Y121,'NGP Chairs CoChairs'!$A$2:$A$53,0),7)</f>
        <v>3035884452</v>
      </c>
      <c r="AJ104" s="69" t="str">
        <f>+INDEX('NGP Chairs CoChairs'!$A$2:$M$53,MATCH('Supersite Working-AW'!$Z121,'NGP Chairs CoChairs'!$A$2:$A$53,0),7)</f>
        <v>3038810816</v>
      </c>
      <c r="AK104" s="69" t="e">
        <f>+INDEX('NGP Chairs CoChairs'!$A$2:$M$53,MATCH('Supersite Working-AW'!$AA121,'NGP Chairs CoChairs'!$A$2:$A$53,0),7)</f>
        <v>#N/A</v>
      </c>
      <c r="AL104">
        <v>11</v>
      </c>
    </row>
    <row r="105" spans="1:38" ht="16" x14ac:dyDescent="0.2">
      <c r="A105" s="3" t="s">
        <v>369</v>
      </c>
      <c r="B105" s="86">
        <v>603</v>
      </c>
      <c r="C105" s="86" t="s">
        <v>370</v>
      </c>
      <c r="D105" s="86" t="s">
        <v>371</v>
      </c>
      <c r="E105" s="86" t="s">
        <v>372</v>
      </c>
      <c r="F105" s="86" t="s">
        <v>373</v>
      </c>
      <c r="G105" s="86" t="s">
        <v>243</v>
      </c>
      <c r="H105" s="86"/>
      <c r="I105" s="86">
        <v>2</v>
      </c>
      <c r="J105" s="86">
        <v>11</v>
      </c>
      <c r="K105" s="86">
        <v>17</v>
      </c>
      <c r="L105" s="88">
        <v>567</v>
      </c>
      <c r="M105" s="89">
        <f>(L105*$M$2)</f>
        <v>14.175000000000001</v>
      </c>
      <c r="N105" s="89"/>
      <c r="O105" s="86" t="s">
        <v>180</v>
      </c>
      <c r="P105" s="19"/>
      <c r="Q105" s="86"/>
      <c r="R105" s="124" t="s">
        <v>127</v>
      </c>
      <c r="S105" s="97" t="s">
        <v>375</v>
      </c>
      <c r="T105" s="125"/>
      <c r="U105" s="106" t="s">
        <v>56</v>
      </c>
      <c r="V105" s="19"/>
      <c r="W105" s="19"/>
      <c r="X105" s="95">
        <v>138232649</v>
      </c>
      <c r="Y105" s="95">
        <v>111502459</v>
      </c>
      <c r="Z105" s="19">
        <v>111502455</v>
      </c>
      <c r="AA105" s="19"/>
      <c r="AB105" s="19"/>
      <c r="AC105" s="19"/>
      <c r="AD105" s="135" t="str">
        <f>+INDEX('NGP Chairs CoChairs'!$A$2:$M$53,MATCH('Supersite Working-AW'!$X122,'NGP Chairs CoChairs'!$A$2:$A$53,0),12)</f>
        <v>Gaythia Weis</v>
      </c>
      <c r="AE105" s="135" t="str">
        <f>+INDEX('NGP Chairs CoChairs'!$A$2:$M$53,MATCH('Supersite Working-AW'!$Y122,'NGP Chairs CoChairs'!$A$2:$A$53,0),12)</f>
        <v>sharon malloy</v>
      </c>
      <c r="AF105" s="135" t="str">
        <f>+INDEX('NGP Chairs CoChairs'!$A$2:$M$53,MATCH('Supersite Working-AW'!$Z122,'NGP Chairs CoChairs'!$A$2:$A$53,0),12)</f>
        <v>marilyn hughes</v>
      </c>
      <c r="AG105" s="135" t="e">
        <f>+INDEX('NGP Chairs CoChairs'!$A$2:$M$53,MATCH('Supersite Working-AW'!$AA122,'NGP Chairs CoChairs'!$A$2:$A$53,0),12)</f>
        <v>#N/A</v>
      </c>
      <c r="AH105" s="69" t="str">
        <f>+INDEX('NGP Chairs CoChairs'!$A$2:$M$53,MATCH('Supersite Working-AW'!$X122,'NGP Chairs CoChairs'!$A$2:$A$53,0),7)</f>
        <v>3032426450</v>
      </c>
      <c r="AI105" s="69" t="str">
        <f>+INDEX('NGP Chairs CoChairs'!$A$2:$M$53,MATCH('Supersite Working-AW'!$Y122,'NGP Chairs CoChairs'!$A$2:$A$53,0),7)</f>
        <v>3035884452</v>
      </c>
      <c r="AJ105" s="69" t="str">
        <f>+INDEX('NGP Chairs CoChairs'!$A$2:$M$53,MATCH('Supersite Working-AW'!$Z122,'NGP Chairs CoChairs'!$A$2:$A$53,0),7)</f>
        <v>3038810816</v>
      </c>
      <c r="AK105" s="69" t="e">
        <f>+INDEX('NGP Chairs CoChairs'!$A$2:$M$53,MATCH('Supersite Working-AW'!$AA122,'NGP Chairs CoChairs'!$A$2:$A$53,0),7)</f>
        <v>#N/A</v>
      </c>
      <c r="AL105">
        <v>11</v>
      </c>
    </row>
    <row r="106" spans="1:38" ht="16" x14ac:dyDescent="0.2">
      <c r="A106" s="3" t="s">
        <v>369</v>
      </c>
      <c r="B106" s="86">
        <v>604</v>
      </c>
      <c r="C106" s="86" t="s">
        <v>370</v>
      </c>
      <c r="D106" s="86" t="s">
        <v>371</v>
      </c>
      <c r="E106" s="86" t="s">
        <v>372</v>
      </c>
      <c r="F106" s="86" t="s">
        <v>373</v>
      </c>
      <c r="G106" s="86" t="s">
        <v>243</v>
      </c>
      <c r="H106" s="86"/>
      <c r="I106" s="86">
        <v>2</v>
      </c>
      <c r="J106" s="86">
        <v>11</v>
      </c>
      <c r="K106" s="86">
        <v>17</v>
      </c>
      <c r="L106" s="88">
        <v>425</v>
      </c>
      <c r="M106" s="89">
        <f>(L106*$M$2)</f>
        <v>10.625</v>
      </c>
      <c r="N106" s="89"/>
      <c r="O106" s="86" t="s">
        <v>180</v>
      </c>
      <c r="P106" s="19"/>
      <c r="Q106" s="86"/>
      <c r="R106" s="124" t="s">
        <v>127</v>
      </c>
      <c r="S106" s="97" t="s">
        <v>375</v>
      </c>
      <c r="T106" s="125"/>
      <c r="U106" s="106" t="s">
        <v>56</v>
      </c>
      <c r="V106" s="19"/>
      <c r="W106" s="19"/>
      <c r="X106" s="95">
        <v>138232649</v>
      </c>
      <c r="Y106" s="95">
        <v>111502459</v>
      </c>
      <c r="Z106" s="19">
        <v>111502455</v>
      </c>
      <c r="AA106" s="19"/>
      <c r="AB106" s="19"/>
      <c r="AC106" s="19"/>
      <c r="AD106" s="135" t="str">
        <f>+INDEX('NGP Chairs CoChairs'!$A$2:$M$53,MATCH('Supersite Working-AW'!$X123,'NGP Chairs CoChairs'!$A$2:$A$53,0),12)</f>
        <v>Lynne McNamara</v>
      </c>
      <c r="AE106" s="135" t="str">
        <f>+INDEX('NGP Chairs CoChairs'!$A$2:$M$53,MATCH('Supersite Working-AW'!$Y123,'NGP Chairs CoChairs'!$A$2:$A$53,0),12)</f>
        <v>Lynette McClain</v>
      </c>
      <c r="AF106" s="135" t="str">
        <f>+INDEX('NGP Chairs CoChairs'!$A$2:$M$53,MATCH('Supersite Working-AW'!$Z123,'NGP Chairs CoChairs'!$A$2:$A$53,0),12)</f>
        <v>Virginia Carlson</v>
      </c>
      <c r="AG106" s="135" t="str">
        <f>+INDEX('NGP Chairs CoChairs'!$A$2:$M$53,MATCH('Supersite Working-AW'!$AA123,'NGP Chairs CoChairs'!$A$2:$A$53,0),12)</f>
        <v>Marcela Stras</v>
      </c>
      <c r="AH106" s="69" t="str">
        <f>+INDEX('NGP Chairs CoChairs'!$A$2:$M$53,MATCH('Supersite Working-AW'!$X123,'NGP Chairs CoChairs'!$A$2:$A$53,0),7)</f>
        <v>4108187383</v>
      </c>
      <c r="AI106" s="69" t="str">
        <f>+INDEX('NGP Chairs CoChairs'!$A$2:$M$53,MATCH('Supersite Working-AW'!$Y123,'NGP Chairs CoChairs'!$A$2:$A$53,0),7)</f>
        <v>3036817722</v>
      </c>
      <c r="AJ106" s="69" t="str">
        <f>+INDEX('NGP Chairs CoChairs'!$A$2:$M$53,MATCH('Supersite Working-AW'!$Z123,'NGP Chairs CoChairs'!$A$2:$A$53,0),7)</f>
        <v>7203082474</v>
      </c>
      <c r="AK106" s="69" t="str">
        <f>+INDEX('NGP Chairs CoChairs'!$A$2:$M$53,MATCH('Supersite Working-AW'!$AA123,'NGP Chairs CoChairs'!$A$2:$A$53,0),7)</f>
        <v>2408990037</v>
      </c>
      <c r="AL106">
        <v>11</v>
      </c>
    </row>
    <row r="107" spans="1:38" ht="16" x14ac:dyDescent="0.2">
      <c r="A107" s="3" t="s">
        <v>369</v>
      </c>
      <c r="B107" s="86">
        <v>612</v>
      </c>
      <c r="C107" s="86" t="s">
        <v>370</v>
      </c>
      <c r="D107" s="86" t="s">
        <v>371</v>
      </c>
      <c r="E107" s="86" t="s">
        <v>372</v>
      </c>
      <c r="F107" s="86" t="s">
        <v>373</v>
      </c>
      <c r="G107" s="86" t="s">
        <v>243</v>
      </c>
      <c r="H107" s="86"/>
      <c r="I107" s="86">
        <v>2</v>
      </c>
      <c r="J107" s="86">
        <v>11</v>
      </c>
      <c r="K107" s="86">
        <v>17</v>
      </c>
      <c r="L107" s="88">
        <v>428</v>
      </c>
      <c r="M107" s="89">
        <f>(L107*$M$2)</f>
        <v>10.700000000000001</v>
      </c>
      <c r="N107" s="89"/>
      <c r="O107" s="86" t="s">
        <v>180</v>
      </c>
      <c r="P107" s="19"/>
      <c r="Q107" s="86"/>
      <c r="R107" s="124" t="s">
        <v>127</v>
      </c>
      <c r="S107" s="97" t="s">
        <v>375</v>
      </c>
      <c r="T107" s="125"/>
      <c r="U107" s="106" t="s">
        <v>56</v>
      </c>
      <c r="V107" s="19"/>
      <c r="W107" s="19"/>
      <c r="X107" s="95">
        <v>138232649</v>
      </c>
      <c r="Y107" s="95">
        <v>111502459</v>
      </c>
      <c r="Z107" s="19">
        <v>111502455</v>
      </c>
      <c r="AA107" s="19"/>
      <c r="AB107" s="19"/>
      <c r="AC107" s="19"/>
      <c r="AD107" s="135" t="str">
        <f>+INDEX('NGP Chairs CoChairs'!$A$2:$M$53,MATCH('Supersite Working-AW'!$X124,'NGP Chairs CoChairs'!$A$2:$A$53,0),12)</f>
        <v>Lynne McNamara</v>
      </c>
      <c r="AE107" s="135" t="str">
        <f>+INDEX('NGP Chairs CoChairs'!$A$2:$M$53,MATCH('Supersite Working-AW'!$Y124,'NGP Chairs CoChairs'!$A$2:$A$53,0),12)</f>
        <v>Lynette McClain</v>
      </c>
      <c r="AF107" s="135" t="str">
        <f>+INDEX('NGP Chairs CoChairs'!$A$2:$M$53,MATCH('Supersite Working-AW'!$Z124,'NGP Chairs CoChairs'!$A$2:$A$53,0),12)</f>
        <v>Virginia Carlson</v>
      </c>
      <c r="AG107" s="135" t="str">
        <f>+INDEX('NGP Chairs CoChairs'!$A$2:$M$53,MATCH('Supersite Working-AW'!$AA124,'NGP Chairs CoChairs'!$A$2:$A$53,0),12)</f>
        <v>Marcela Stras</v>
      </c>
      <c r="AH107" s="69" t="str">
        <f>+INDEX('NGP Chairs CoChairs'!$A$2:$M$53,MATCH('Supersite Working-AW'!$X124,'NGP Chairs CoChairs'!$A$2:$A$53,0),7)</f>
        <v>4108187383</v>
      </c>
      <c r="AI107" s="69" t="str">
        <f>+INDEX('NGP Chairs CoChairs'!$A$2:$M$53,MATCH('Supersite Working-AW'!$Y124,'NGP Chairs CoChairs'!$A$2:$A$53,0),7)</f>
        <v>3036817722</v>
      </c>
      <c r="AJ107" s="69" t="str">
        <f>+INDEX('NGP Chairs CoChairs'!$A$2:$M$53,MATCH('Supersite Working-AW'!$Z124,'NGP Chairs CoChairs'!$A$2:$A$53,0),7)</f>
        <v>7203082474</v>
      </c>
      <c r="AK107" s="69" t="str">
        <f>+INDEX('NGP Chairs CoChairs'!$A$2:$M$53,MATCH('Supersite Working-AW'!$AA124,'NGP Chairs CoChairs'!$A$2:$A$53,0),7)</f>
        <v>2408990037</v>
      </c>
      <c r="AL107">
        <v>11</v>
      </c>
    </row>
    <row r="108" spans="1:38" ht="16" x14ac:dyDescent="0.2">
      <c r="A108" s="3" t="s">
        <v>369</v>
      </c>
      <c r="B108" s="86">
        <v>613</v>
      </c>
      <c r="C108" s="86" t="s">
        <v>370</v>
      </c>
      <c r="D108" s="86" t="s">
        <v>371</v>
      </c>
      <c r="E108" s="86" t="s">
        <v>372</v>
      </c>
      <c r="F108" s="86" t="s">
        <v>373</v>
      </c>
      <c r="G108" s="86" t="s">
        <v>243</v>
      </c>
      <c r="H108" s="86"/>
      <c r="I108" s="86">
        <v>2</v>
      </c>
      <c r="J108" s="86">
        <v>11</v>
      </c>
      <c r="K108" s="86">
        <v>17</v>
      </c>
      <c r="L108" s="88">
        <v>423</v>
      </c>
      <c r="M108" s="89">
        <f>(L108*$M$2)</f>
        <v>10.575000000000001</v>
      </c>
      <c r="N108" s="89">
        <f>SUM(M102:M108)</f>
        <v>83.775000000000006</v>
      </c>
      <c r="O108" s="86" t="s">
        <v>180</v>
      </c>
      <c r="P108" s="19"/>
      <c r="Q108" s="86"/>
      <c r="R108" s="124" t="s">
        <v>127</v>
      </c>
      <c r="S108" s="97" t="s">
        <v>375</v>
      </c>
      <c r="T108" s="125"/>
      <c r="U108" s="106" t="s">
        <v>56</v>
      </c>
      <c r="V108" s="19"/>
      <c r="W108" s="19"/>
      <c r="X108" s="95">
        <v>138232649</v>
      </c>
      <c r="Y108" s="95">
        <v>111502459</v>
      </c>
      <c r="Z108" s="19">
        <v>111502455</v>
      </c>
      <c r="AA108" s="19"/>
      <c r="AB108" s="19"/>
      <c r="AC108" s="19"/>
      <c r="AD108" s="135" t="str">
        <f>+INDEX('NGP Chairs CoChairs'!$A$2:$M$53,MATCH('Supersite Working-AW'!$X125,'NGP Chairs CoChairs'!$A$2:$A$53,0),12)</f>
        <v>Lynne McNamara</v>
      </c>
      <c r="AE108" s="135" t="str">
        <f>+INDEX('NGP Chairs CoChairs'!$A$2:$M$53,MATCH('Supersite Working-AW'!$Y125,'NGP Chairs CoChairs'!$A$2:$A$53,0),12)</f>
        <v>Lynette McClain</v>
      </c>
      <c r="AF108" s="135" t="str">
        <f>+INDEX('NGP Chairs CoChairs'!$A$2:$M$53,MATCH('Supersite Working-AW'!$Z125,'NGP Chairs CoChairs'!$A$2:$A$53,0),12)</f>
        <v>Virginia Carlson</v>
      </c>
      <c r="AG108" s="135" t="str">
        <f>+INDEX('NGP Chairs CoChairs'!$A$2:$M$53,MATCH('Supersite Working-AW'!$AA125,'NGP Chairs CoChairs'!$A$2:$A$53,0),12)</f>
        <v>Marcela Stras</v>
      </c>
      <c r="AH108" s="69" t="str">
        <f>+INDEX('NGP Chairs CoChairs'!$A$2:$M$53,MATCH('Supersite Working-AW'!$X125,'NGP Chairs CoChairs'!$A$2:$A$53,0),7)</f>
        <v>4108187383</v>
      </c>
      <c r="AI108" s="69" t="str">
        <f>+INDEX('NGP Chairs CoChairs'!$A$2:$M$53,MATCH('Supersite Working-AW'!$Y125,'NGP Chairs CoChairs'!$A$2:$A$53,0),7)</f>
        <v>3036817722</v>
      </c>
      <c r="AJ108" s="69" t="str">
        <f>+INDEX('NGP Chairs CoChairs'!$A$2:$M$53,MATCH('Supersite Working-AW'!$Z125,'NGP Chairs CoChairs'!$A$2:$A$53,0),7)</f>
        <v>7203082474</v>
      </c>
      <c r="AK108" s="69" t="str">
        <f>+INDEX('NGP Chairs CoChairs'!$A$2:$M$53,MATCH('Supersite Working-AW'!$AA125,'NGP Chairs CoChairs'!$A$2:$A$53,0),7)</f>
        <v>2408990037</v>
      </c>
      <c r="AL108">
        <v>11</v>
      </c>
    </row>
    <row r="109" spans="1:38" ht="16" x14ac:dyDescent="0.2">
      <c r="A109" s="3" t="s">
        <v>376</v>
      </c>
      <c r="B109" s="86">
        <v>605</v>
      </c>
      <c r="C109" s="86" t="s">
        <v>377</v>
      </c>
      <c r="D109" s="86" t="s">
        <v>378</v>
      </c>
      <c r="E109" s="86" t="s">
        <v>379</v>
      </c>
      <c r="F109" s="86" t="s">
        <v>380</v>
      </c>
      <c r="G109" s="86" t="s">
        <v>243</v>
      </c>
      <c r="H109" s="86"/>
      <c r="I109" s="86">
        <v>2</v>
      </c>
      <c r="J109" s="86">
        <v>11</v>
      </c>
      <c r="K109" s="86">
        <v>17</v>
      </c>
      <c r="L109" s="88">
        <v>411</v>
      </c>
      <c r="M109" s="89">
        <f>(L109*$M$2)</f>
        <v>10.275</v>
      </c>
      <c r="N109" s="89"/>
      <c r="O109" s="86" t="s">
        <v>180</v>
      </c>
      <c r="P109" s="19"/>
      <c r="Q109" s="86"/>
      <c r="R109" s="124" t="s">
        <v>123</v>
      </c>
      <c r="S109" s="97" t="s">
        <v>97</v>
      </c>
      <c r="T109" s="125"/>
      <c r="U109" s="106" t="s">
        <v>56</v>
      </c>
      <c r="V109" s="19"/>
      <c r="W109" s="19"/>
      <c r="X109" s="95">
        <v>107153150</v>
      </c>
      <c r="Y109" s="95">
        <v>107152750</v>
      </c>
      <c r="Z109" s="95">
        <v>107152594</v>
      </c>
      <c r="AA109" s="19"/>
      <c r="AB109" s="19"/>
      <c r="AC109" s="19"/>
      <c r="AD109" s="135" t="str">
        <f>+INDEX('NGP Chairs CoChairs'!$A$2:$M$53,MATCH('Supersite Working-AW'!$X105,'NGP Chairs CoChairs'!$A$2:$A$53,0),12)</f>
        <v>Kendra Appelman-Eastvedt</v>
      </c>
      <c r="AE109" s="135" t="str">
        <f>+INDEX('NGP Chairs CoChairs'!$A$2:$M$53,MATCH('Supersite Working-AW'!$Y105,'NGP Chairs CoChairs'!$A$2:$A$53,0),12)</f>
        <v>Erin Eastvedt</v>
      </c>
      <c r="AF109" s="135" t="e">
        <f>+INDEX('NGP Chairs CoChairs'!$A$2:$M$53,MATCH('Supersite Working-AW'!$Z105,'NGP Chairs CoChairs'!$A$2:$A$53,0),12)</f>
        <v>#N/A</v>
      </c>
      <c r="AG109" s="135" t="e">
        <f>+INDEX('NGP Chairs CoChairs'!$A$2:$M$53,MATCH('Supersite Working-AW'!$AA105,'NGP Chairs CoChairs'!$A$2:$A$53,0),12)</f>
        <v>#N/A</v>
      </c>
      <c r="AH109" s="69" t="str">
        <f>+INDEX('NGP Chairs CoChairs'!$A$2:$M$53,MATCH('Supersite Working-AW'!$X105,'NGP Chairs CoChairs'!$A$2:$A$53,0),7)</f>
        <v>4048226732</v>
      </c>
      <c r="AI109" s="69" t="str">
        <f>+INDEX('NGP Chairs CoChairs'!$A$2:$M$53,MATCH('Supersite Working-AW'!$Y105,'NGP Chairs CoChairs'!$A$2:$A$53,0),7)</f>
        <v>6783573242</v>
      </c>
      <c r="AJ109" s="69" t="e">
        <f>+INDEX('NGP Chairs CoChairs'!$A$2:$M$53,MATCH('Supersite Working-AW'!$Z105,'NGP Chairs CoChairs'!$A$2:$A$53,0),7)</f>
        <v>#N/A</v>
      </c>
      <c r="AK109" s="69" t="e">
        <f>+INDEX('NGP Chairs CoChairs'!$A$2:$M$53,MATCH('Supersite Working-AW'!$AA105,'NGP Chairs CoChairs'!$A$2:$A$53,0),7)</f>
        <v>#N/A</v>
      </c>
      <c r="AL109">
        <v>10</v>
      </c>
    </row>
    <row r="110" spans="1:38" ht="16" x14ac:dyDescent="0.2">
      <c r="A110" s="3" t="s">
        <v>376</v>
      </c>
      <c r="B110" s="86">
        <v>606</v>
      </c>
      <c r="C110" s="86" t="s">
        <v>377</v>
      </c>
      <c r="D110" s="86" t="s">
        <v>378</v>
      </c>
      <c r="E110" s="86" t="s">
        <v>379</v>
      </c>
      <c r="F110" s="86" t="s">
        <v>380</v>
      </c>
      <c r="G110" s="86" t="s">
        <v>243</v>
      </c>
      <c r="H110" s="86"/>
      <c r="I110" s="86">
        <v>2</v>
      </c>
      <c r="J110" s="86">
        <v>11</v>
      </c>
      <c r="K110" s="86">
        <v>17</v>
      </c>
      <c r="L110" s="88">
        <v>556</v>
      </c>
      <c r="M110" s="89">
        <f>(L110*$M$2)</f>
        <v>13.9</v>
      </c>
      <c r="N110" s="89"/>
      <c r="O110" s="86" t="s">
        <v>180</v>
      </c>
      <c r="P110" s="19" t="s">
        <v>381</v>
      </c>
      <c r="Q110" s="86" t="s">
        <v>382</v>
      </c>
      <c r="R110" s="124" t="s">
        <v>123</v>
      </c>
      <c r="S110" s="97"/>
      <c r="T110" s="126"/>
      <c r="U110" s="106" t="s">
        <v>56</v>
      </c>
      <c r="V110" s="19"/>
      <c r="W110" s="19"/>
      <c r="X110" s="95">
        <v>107153150</v>
      </c>
      <c r="Y110" s="95">
        <v>107152750</v>
      </c>
      <c r="Z110" s="95">
        <v>107152594</v>
      </c>
      <c r="AA110" s="19"/>
      <c r="AB110" s="19"/>
      <c r="AC110" s="19"/>
      <c r="AD110" s="135" t="str">
        <f>+INDEX('NGP Chairs CoChairs'!$A$2:$M$53,MATCH('Supersite Working-AW'!$X106,'NGP Chairs CoChairs'!$A$2:$A$53,0),12)</f>
        <v>Kendra Appelman-Eastvedt</v>
      </c>
      <c r="AE110" s="135" t="str">
        <f>+INDEX('NGP Chairs CoChairs'!$A$2:$M$53,MATCH('Supersite Working-AW'!$Y106,'NGP Chairs CoChairs'!$A$2:$A$53,0),12)</f>
        <v>Erin Eastvedt</v>
      </c>
      <c r="AF110" s="135" t="e">
        <f>+INDEX('NGP Chairs CoChairs'!$A$2:$M$53,MATCH('Supersite Working-AW'!$Z106,'NGP Chairs CoChairs'!$A$2:$A$53,0),12)</f>
        <v>#N/A</v>
      </c>
      <c r="AG110" s="135" t="e">
        <f>+INDEX('NGP Chairs CoChairs'!$A$2:$M$53,MATCH('Supersite Working-AW'!$AA106,'NGP Chairs CoChairs'!$A$2:$A$53,0),12)</f>
        <v>#N/A</v>
      </c>
      <c r="AH110" s="69" t="str">
        <f>+INDEX('NGP Chairs CoChairs'!$A$2:$M$53,MATCH('Supersite Working-AW'!$X106,'NGP Chairs CoChairs'!$A$2:$A$53,0),7)</f>
        <v>4048226732</v>
      </c>
      <c r="AI110" s="69" t="str">
        <f>+INDEX('NGP Chairs CoChairs'!$A$2:$M$53,MATCH('Supersite Working-AW'!$Y106,'NGP Chairs CoChairs'!$A$2:$A$53,0),7)</f>
        <v>6783573242</v>
      </c>
      <c r="AJ110" s="69" t="e">
        <f>+INDEX('NGP Chairs CoChairs'!$A$2:$M$53,MATCH('Supersite Working-AW'!$Z106,'NGP Chairs CoChairs'!$A$2:$A$53,0),7)</f>
        <v>#N/A</v>
      </c>
      <c r="AK110" s="69" t="e">
        <f>+INDEX('NGP Chairs CoChairs'!$A$2:$M$53,MATCH('Supersite Working-AW'!$AA106,'NGP Chairs CoChairs'!$A$2:$A$53,0),7)</f>
        <v>#N/A</v>
      </c>
      <c r="AL110">
        <v>10</v>
      </c>
    </row>
    <row r="111" spans="1:38" ht="16" x14ac:dyDescent="0.2">
      <c r="A111" s="3" t="s">
        <v>376</v>
      </c>
      <c r="B111" s="86">
        <v>607</v>
      </c>
      <c r="C111" s="86" t="s">
        <v>377</v>
      </c>
      <c r="D111" s="86" t="s">
        <v>378</v>
      </c>
      <c r="E111" s="86" t="s">
        <v>379</v>
      </c>
      <c r="F111" s="86" t="s">
        <v>380</v>
      </c>
      <c r="G111" s="86" t="s">
        <v>243</v>
      </c>
      <c r="H111" s="86"/>
      <c r="I111" s="86">
        <v>2</v>
      </c>
      <c r="J111" s="86">
        <v>11</v>
      </c>
      <c r="K111" s="86">
        <v>17</v>
      </c>
      <c r="L111" s="88">
        <v>695</v>
      </c>
      <c r="M111" s="89">
        <f>(L111*$M$2)</f>
        <v>17.375</v>
      </c>
      <c r="N111" s="89"/>
      <c r="O111" s="86" t="s">
        <v>180</v>
      </c>
      <c r="P111" s="19"/>
      <c r="Q111" s="86"/>
      <c r="R111" s="124" t="s">
        <v>123</v>
      </c>
      <c r="S111" s="97"/>
      <c r="T111" s="127"/>
      <c r="U111" s="106" t="s">
        <v>56</v>
      </c>
      <c r="V111" s="19"/>
      <c r="W111" s="19"/>
      <c r="X111" s="95">
        <v>107153150</v>
      </c>
      <c r="Y111" s="95">
        <v>107152750</v>
      </c>
      <c r="Z111" s="95">
        <v>107152594</v>
      </c>
      <c r="AA111" s="19"/>
      <c r="AB111" s="19"/>
      <c r="AC111" s="19"/>
      <c r="AD111" s="135" t="str">
        <f>+INDEX('NGP Chairs CoChairs'!$A$2:$M$53,MATCH('Supersite Working-AW'!$X107,'NGP Chairs CoChairs'!$A$2:$A$53,0),12)</f>
        <v>Kendra Appelman-Eastvedt</v>
      </c>
      <c r="AE111" s="135" t="str">
        <f>+INDEX('NGP Chairs CoChairs'!$A$2:$M$53,MATCH('Supersite Working-AW'!$Y107,'NGP Chairs CoChairs'!$A$2:$A$53,0),12)</f>
        <v>Erin Eastvedt</v>
      </c>
      <c r="AF111" s="135" t="e">
        <f>+INDEX('NGP Chairs CoChairs'!$A$2:$M$53,MATCH('Supersite Working-AW'!$Z107,'NGP Chairs CoChairs'!$A$2:$A$53,0),12)</f>
        <v>#N/A</v>
      </c>
      <c r="AG111" s="135" t="e">
        <f>+INDEX('NGP Chairs CoChairs'!$A$2:$M$53,MATCH('Supersite Working-AW'!$AA107,'NGP Chairs CoChairs'!$A$2:$A$53,0),12)</f>
        <v>#N/A</v>
      </c>
      <c r="AH111" s="69" t="str">
        <f>+INDEX('NGP Chairs CoChairs'!$A$2:$M$53,MATCH('Supersite Working-AW'!$X107,'NGP Chairs CoChairs'!$A$2:$A$53,0),7)</f>
        <v>4048226732</v>
      </c>
      <c r="AI111" s="69" t="str">
        <f>+INDEX('NGP Chairs CoChairs'!$A$2:$M$53,MATCH('Supersite Working-AW'!$Y107,'NGP Chairs CoChairs'!$A$2:$A$53,0),7)</f>
        <v>6783573242</v>
      </c>
      <c r="AJ111" s="69" t="e">
        <f>+INDEX('NGP Chairs CoChairs'!$A$2:$M$53,MATCH('Supersite Working-AW'!$Z107,'NGP Chairs CoChairs'!$A$2:$A$53,0),7)</f>
        <v>#N/A</v>
      </c>
      <c r="AK111" s="69" t="e">
        <f>+INDEX('NGP Chairs CoChairs'!$A$2:$M$53,MATCH('Supersite Working-AW'!$AA107,'NGP Chairs CoChairs'!$A$2:$A$53,0),7)</f>
        <v>#N/A</v>
      </c>
      <c r="AL111">
        <v>10</v>
      </c>
    </row>
    <row r="112" spans="1:38" ht="16" x14ac:dyDescent="0.2">
      <c r="A112" s="3" t="s">
        <v>376</v>
      </c>
      <c r="B112" s="86">
        <v>608</v>
      </c>
      <c r="C112" s="86" t="s">
        <v>377</v>
      </c>
      <c r="D112" s="86" t="s">
        <v>378</v>
      </c>
      <c r="E112" s="86" t="s">
        <v>379</v>
      </c>
      <c r="F112" s="86" t="s">
        <v>380</v>
      </c>
      <c r="G112" s="86" t="s">
        <v>243</v>
      </c>
      <c r="H112" s="86"/>
      <c r="I112" s="86">
        <v>2</v>
      </c>
      <c r="J112" s="86">
        <v>11</v>
      </c>
      <c r="K112" s="86">
        <v>17</v>
      </c>
      <c r="L112" s="88">
        <v>513</v>
      </c>
      <c r="M112" s="89">
        <f>(L112*$M$2)</f>
        <v>12.825000000000001</v>
      </c>
      <c r="N112" s="89"/>
      <c r="O112" s="86" t="s">
        <v>180</v>
      </c>
      <c r="P112" s="19"/>
      <c r="Q112" s="86"/>
      <c r="R112" s="124" t="s">
        <v>123</v>
      </c>
      <c r="S112" s="97"/>
      <c r="T112" s="127"/>
      <c r="U112" s="106" t="s">
        <v>56</v>
      </c>
      <c r="V112" s="19"/>
      <c r="W112" s="19"/>
      <c r="X112" s="95">
        <v>107153150</v>
      </c>
      <c r="Y112" s="95">
        <v>107152750</v>
      </c>
      <c r="Z112" s="95">
        <v>107152594</v>
      </c>
      <c r="AA112" s="19"/>
      <c r="AB112" s="19"/>
      <c r="AC112" s="19"/>
      <c r="AD112" s="135" t="str">
        <f>+INDEX('NGP Chairs CoChairs'!$A$2:$M$53,MATCH('Supersite Working-AW'!$X108,'NGP Chairs CoChairs'!$A$2:$A$53,0),12)</f>
        <v>Kendra Appelman-Eastvedt</v>
      </c>
      <c r="AE112" s="135" t="str">
        <f>+INDEX('NGP Chairs CoChairs'!$A$2:$M$53,MATCH('Supersite Working-AW'!$Y108,'NGP Chairs CoChairs'!$A$2:$A$53,0),12)</f>
        <v>Erin Eastvedt</v>
      </c>
      <c r="AF112" s="135" t="e">
        <f>+INDEX('NGP Chairs CoChairs'!$A$2:$M$53,MATCH('Supersite Working-AW'!$Z108,'NGP Chairs CoChairs'!$A$2:$A$53,0),12)</f>
        <v>#N/A</v>
      </c>
      <c r="AG112" s="135" t="e">
        <f>+INDEX('NGP Chairs CoChairs'!$A$2:$M$53,MATCH('Supersite Working-AW'!$AA108,'NGP Chairs CoChairs'!$A$2:$A$53,0),12)</f>
        <v>#N/A</v>
      </c>
      <c r="AH112" s="69" t="str">
        <f>+INDEX('NGP Chairs CoChairs'!$A$2:$M$53,MATCH('Supersite Working-AW'!$X108,'NGP Chairs CoChairs'!$A$2:$A$53,0),7)</f>
        <v>4048226732</v>
      </c>
      <c r="AI112" s="69" t="str">
        <f>+INDEX('NGP Chairs CoChairs'!$A$2:$M$53,MATCH('Supersite Working-AW'!$Y108,'NGP Chairs CoChairs'!$A$2:$A$53,0),7)</f>
        <v>6783573242</v>
      </c>
      <c r="AJ112" s="69" t="e">
        <f>+INDEX('NGP Chairs CoChairs'!$A$2:$M$53,MATCH('Supersite Working-AW'!$Z108,'NGP Chairs CoChairs'!$A$2:$A$53,0),7)</f>
        <v>#N/A</v>
      </c>
      <c r="AK112" s="69" t="e">
        <f>+INDEX('NGP Chairs CoChairs'!$A$2:$M$53,MATCH('Supersite Working-AW'!$AA108,'NGP Chairs CoChairs'!$A$2:$A$53,0),7)</f>
        <v>#N/A</v>
      </c>
      <c r="AL112">
        <v>10</v>
      </c>
    </row>
    <row r="113" spans="1:38" ht="16" x14ac:dyDescent="0.2">
      <c r="A113" s="3" t="s">
        <v>376</v>
      </c>
      <c r="B113" s="86">
        <v>609</v>
      </c>
      <c r="C113" s="86" t="s">
        <v>377</v>
      </c>
      <c r="D113" s="86" t="s">
        <v>378</v>
      </c>
      <c r="E113" s="86" t="s">
        <v>379</v>
      </c>
      <c r="F113" s="86" t="s">
        <v>380</v>
      </c>
      <c r="G113" s="86" t="s">
        <v>243</v>
      </c>
      <c r="H113" s="86"/>
      <c r="I113" s="86">
        <v>2</v>
      </c>
      <c r="J113" s="86">
        <v>11</v>
      </c>
      <c r="K113" s="86">
        <v>17</v>
      </c>
      <c r="L113" s="88">
        <v>724</v>
      </c>
      <c r="M113" s="89">
        <f>(L113*$M$2)</f>
        <v>18.100000000000001</v>
      </c>
      <c r="N113" s="89"/>
      <c r="O113" s="86" t="s">
        <v>180</v>
      </c>
      <c r="P113" s="19"/>
      <c r="Q113" s="86"/>
      <c r="R113" s="124" t="s">
        <v>123</v>
      </c>
      <c r="S113" s="97"/>
      <c r="T113" s="127"/>
      <c r="U113" s="106" t="s">
        <v>56</v>
      </c>
      <c r="V113" s="19"/>
      <c r="W113" s="19"/>
      <c r="X113" s="95">
        <v>107153150</v>
      </c>
      <c r="Y113" s="95">
        <v>107152750</v>
      </c>
      <c r="Z113" s="95">
        <v>107152594</v>
      </c>
      <c r="AA113" s="19"/>
      <c r="AB113" s="19"/>
      <c r="AC113" s="19"/>
      <c r="AD113" s="135" t="str">
        <f>+INDEX('NGP Chairs CoChairs'!$A$2:$M$53,MATCH('Supersite Working-AW'!$X109,'NGP Chairs CoChairs'!$A$2:$A$53,0),12)</f>
        <v>Gaythia Weis</v>
      </c>
      <c r="AE113" s="135" t="str">
        <f>+INDEX('NGP Chairs CoChairs'!$A$2:$M$53,MATCH('Supersite Working-AW'!$Y109,'NGP Chairs CoChairs'!$A$2:$A$53,0),12)</f>
        <v>sharon malloy</v>
      </c>
      <c r="AF113" s="135" t="str">
        <f>+INDEX('NGP Chairs CoChairs'!$A$2:$M$53,MATCH('Supersite Working-AW'!$Z109,'NGP Chairs CoChairs'!$A$2:$A$53,0),12)</f>
        <v>marilyn hughes</v>
      </c>
      <c r="AG113" s="135" t="e">
        <f>+INDEX('NGP Chairs CoChairs'!$A$2:$M$53,MATCH('Supersite Working-AW'!$AA109,'NGP Chairs CoChairs'!$A$2:$A$53,0),12)</f>
        <v>#N/A</v>
      </c>
      <c r="AH113" s="69" t="str">
        <f>+INDEX('NGP Chairs CoChairs'!$A$2:$M$53,MATCH('Supersite Working-AW'!$X109,'NGP Chairs CoChairs'!$A$2:$A$53,0),7)</f>
        <v>3032426450</v>
      </c>
      <c r="AI113" s="69" t="str">
        <f>+INDEX('NGP Chairs CoChairs'!$A$2:$M$53,MATCH('Supersite Working-AW'!$Y109,'NGP Chairs CoChairs'!$A$2:$A$53,0),7)</f>
        <v>3035884452</v>
      </c>
      <c r="AJ113" s="69" t="str">
        <f>+INDEX('NGP Chairs CoChairs'!$A$2:$M$53,MATCH('Supersite Working-AW'!$Z109,'NGP Chairs CoChairs'!$A$2:$A$53,0),7)</f>
        <v>3038810816</v>
      </c>
      <c r="AK113" s="69" t="e">
        <f>+INDEX('NGP Chairs CoChairs'!$A$2:$M$53,MATCH('Supersite Working-AW'!$AA109,'NGP Chairs CoChairs'!$A$2:$A$53,0),7)</f>
        <v>#N/A</v>
      </c>
      <c r="AL113">
        <v>10</v>
      </c>
    </row>
    <row r="114" spans="1:38" ht="16" x14ac:dyDescent="0.2">
      <c r="A114" s="3" t="s">
        <v>376</v>
      </c>
      <c r="B114" s="86">
        <v>610</v>
      </c>
      <c r="C114" s="86" t="s">
        <v>377</v>
      </c>
      <c r="D114" s="86" t="s">
        <v>378</v>
      </c>
      <c r="E114" s="86" t="s">
        <v>379</v>
      </c>
      <c r="F114" s="86" t="s">
        <v>380</v>
      </c>
      <c r="G114" s="86" t="s">
        <v>243</v>
      </c>
      <c r="H114" s="86"/>
      <c r="I114" s="86">
        <v>2</v>
      </c>
      <c r="J114" s="86">
        <v>11</v>
      </c>
      <c r="K114" s="86">
        <v>17</v>
      </c>
      <c r="L114" s="88">
        <v>711</v>
      </c>
      <c r="M114" s="89">
        <f>(L114*$M$2)</f>
        <v>17.775000000000002</v>
      </c>
      <c r="N114" s="89"/>
      <c r="O114" s="86" t="s">
        <v>180</v>
      </c>
      <c r="P114" s="19"/>
      <c r="Q114" s="86"/>
      <c r="R114" s="124" t="s">
        <v>123</v>
      </c>
      <c r="S114" s="97"/>
      <c r="T114" s="127"/>
      <c r="U114" s="106" t="s">
        <v>56</v>
      </c>
      <c r="V114" s="19"/>
      <c r="W114" s="19"/>
      <c r="X114" s="95">
        <v>107153150</v>
      </c>
      <c r="Y114" s="95">
        <v>107152750</v>
      </c>
      <c r="Z114" s="95">
        <v>107152594</v>
      </c>
      <c r="AA114" s="19"/>
      <c r="AB114" s="19"/>
      <c r="AC114" s="19"/>
      <c r="AD114" s="135" t="str">
        <f>+INDEX('NGP Chairs CoChairs'!$A$2:$M$53,MATCH('Supersite Working-AW'!$X110,'NGP Chairs CoChairs'!$A$2:$A$53,0),12)</f>
        <v>Gaythia Weis</v>
      </c>
      <c r="AE114" s="135" t="str">
        <f>+INDEX('NGP Chairs CoChairs'!$A$2:$M$53,MATCH('Supersite Working-AW'!$Y110,'NGP Chairs CoChairs'!$A$2:$A$53,0),12)</f>
        <v>sharon malloy</v>
      </c>
      <c r="AF114" s="135" t="str">
        <f>+INDEX('NGP Chairs CoChairs'!$A$2:$M$53,MATCH('Supersite Working-AW'!$Z110,'NGP Chairs CoChairs'!$A$2:$A$53,0),12)</f>
        <v>marilyn hughes</v>
      </c>
      <c r="AG114" s="135" t="e">
        <f>+INDEX('NGP Chairs CoChairs'!$A$2:$M$53,MATCH('Supersite Working-AW'!$AA110,'NGP Chairs CoChairs'!$A$2:$A$53,0),12)</f>
        <v>#N/A</v>
      </c>
      <c r="AH114" s="69" t="str">
        <f>+INDEX('NGP Chairs CoChairs'!$A$2:$M$53,MATCH('Supersite Working-AW'!$X110,'NGP Chairs CoChairs'!$A$2:$A$53,0),7)</f>
        <v>3032426450</v>
      </c>
      <c r="AI114" s="69" t="str">
        <f>+INDEX('NGP Chairs CoChairs'!$A$2:$M$53,MATCH('Supersite Working-AW'!$Y110,'NGP Chairs CoChairs'!$A$2:$A$53,0),7)</f>
        <v>3035884452</v>
      </c>
      <c r="AJ114" s="69" t="str">
        <f>+INDEX('NGP Chairs CoChairs'!$A$2:$M$53,MATCH('Supersite Working-AW'!$Z110,'NGP Chairs CoChairs'!$A$2:$A$53,0),7)</f>
        <v>3038810816</v>
      </c>
      <c r="AK114" s="69" t="e">
        <f>+INDEX('NGP Chairs CoChairs'!$A$2:$M$53,MATCH('Supersite Working-AW'!$AA110,'NGP Chairs CoChairs'!$A$2:$A$53,0),7)</f>
        <v>#N/A</v>
      </c>
      <c r="AL114">
        <v>10</v>
      </c>
    </row>
    <row r="115" spans="1:38" ht="16" x14ac:dyDescent="0.2">
      <c r="A115" s="3" t="s">
        <v>376</v>
      </c>
      <c r="B115" s="86">
        <v>611</v>
      </c>
      <c r="C115" s="86" t="s">
        <v>377</v>
      </c>
      <c r="D115" s="86" t="s">
        <v>378</v>
      </c>
      <c r="E115" s="86" t="s">
        <v>379</v>
      </c>
      <c r="F115" s="86" t="s">
        <v>380</v>
      </c>
      <c r="G115" s="86" t="s">
        <v>243</v>
      </c>
      <c r="H115" s="86"/>
      <c r="I115" s="86">
        <v>2</v>
      </c>
      <c r="J115" s="86">
        <v>11</v>
      </c>
      <c r="K115" s="86">
        <v>17</v>
      </c>
      <c r="L115" s="88">
        <v>467</v>
      </c>
      <c r="M115" s="89">
        <f>(L115*$M$2)</f>
        <v>11.675000000000001</v>
      </c>
      <c r="N115" s="89">
        <f>SUM(M109:M115)</f>
        <v>101.925</v>
      </c>
      <c r="O115" s="86" t="s">
        <v>180</v>
      </c>
      <c r="P115" s="19"/>
      <c r="Q115" s="86"/>
      <c r="R115" s="124" t="s">
        <v>123</v>
      </c>
      <c r="S115" s="97"/>
      <c r="T115" s="127"/>
      <c r="U115" s="106" t="s">
        <v>56</v>
      </c>
      <c r="V115" s="19"/>
      <c r="W115" s="19"/>
      <c r="X115" s="95">
        <v>107153150</v>
      </c>
      <c r="Y115" s="95">
        <v>107152750</v>
      </c>
      <c r="Z115" s="95">
        <v>107152594</v>
      </c>
      <c r="AA115" s="19"/>
      <c r="AB115" s="19"/>
      <c r="AC115" s="19"/>
      <c r="AD115" s="135" t="str">
        <f>+INDEX('NGP Chairs CoChairs'!$A$2:$M$53,MATCH('Supersite Working-AW'!$X111,'NGP Chairs CoChairs'!$A$2:$A$53,0),12)</f>
        <v>Gaythia Weis</v>
      </c>
      <c r="AE115" s="135" t="str">
        <f>+INDEX('NGP Chairs CoChairs'!$A$2:$M$53,MATCH('Supersite Working-AW'!$Y111,'NGP Chairs CoChairs'!$A$2:$A$53,0),12)</f>
        <v>sharon malloy</v>
      </c>
      <c r="AF115" s="135" t="str">
        <f>+INDEX('NGP Chairs CoChairs'!$A$2:$M$53,MATCH('Supersite Working-AW'!$Z111,'NGP Chairs CoChairs'!$A$2:$A$53,0),12)</f>
        <v>marilyn hughes</v>
      </c>
      <c r="AG115" s="135" t="e">
        <f>+INDEX('NGP Chairs CoChairs'!$A$2:$M$53,MATCH('Supersite Working-AW'!$AA111,'NGP Chairs CoChairs'!$A$2:$A$53,0),12)</f>
        <v>#N/A</v>
      </c>
      <c r="AH115" s="69" t="str">
        <f>+INDEX('NGP Chairs CoChairs'!$A$2:$M$53,MATCH('Supersite Working-AW'!$X111,'NGP Chairs CoChairs'!$A$2:$A$53,0),7)</f>
        <v>3032426450</v>
      </c>
      <c r="AI115" s="69" t="str">
        <f>+INDEX('NGP Chairs CoChairs'!$A$2:$M$53,MATCH('Supersite Working-AW'!$Y111,'NGP Chairs CoChairs'!$A$2:$A$53,0),7)</f>
        <v>3035884452</v>
      </c>
      <c r="AJ115" s="69" t="str">
        <f>+INDEX('NGP Chairs CoChairs'!$A$2:$M$53,MATCH('Supersite Working-AW'!$Z111,'NGP Chairs CoChairs'!$A$2:$A$53,0),7)</f>
        <v>3038810816</v>
      </c>
      <c r="AK115" s="69" t="e">
        <f>+INDEX('NGP Chairs CoChairs'!$A$2:$M$53,MATCH('Supersite Working-AW'!$AA111,'NGP Chairs CoChairs'!$A$2:$A$53,0),7)</f>
        <v>#N/A</v>
      </c>
      <c r="AL115">
        <v>10</v>
      </c>
    </row>
    <row r="116" spans="1:38" ht="16" x14ac:dyDescent="0.2">
      <c r="A116" s="3" t="s">
        <v>383</v>
      </c>
      <c r="B116" s="86">
        <v>614</v>
      </c>
      <c r="C116" s="86" t="s">
        <v>384</v>
      </c>
      <c r="D116" s="86" t="s">
        <v>385</v>
      </c>
      <c r="E116" s="86" t="s">
        <v>386</v>
      </c>
      <c r="F116" s="86" t="s">
        <v>380</v>
      </c>
      <c r="G116" s="86" t="s">
        <v>243</v>
      </c>
      <c r="H116" s="86"/>
      <c r="I116" s="86">
        <v>2</v>
      </c>
      <c r="J116" s="86">
        <v>11</v>
      </c>
      <c r="K116" s="86">
        <v>17</v>
      </c>
      <c r="L116" s="88">
        <v>310</v>
      </c>
      <c r="M116" s="89">
        <f>(L116*$M$2)</f>
        <v>7.75</v>
      </c>
      <c r="N116" s="89"/>
      <c r="O116" s="86" t="s">
        <v>180</v>
      </c>
      <c r="P116" s="19" t="s">
        <v>387</v>
      </c>
      <c r="Q116" s="86"/>
      <c r="R116" s="128" t="s">
        <v>123</v>
      </c>
      <c r="S116" s="97" t="s">
        <v>60</v>
      </c>
      <c r="T116" s="127"/>
      <c r="U116" s="106" t="s">
        <v>56</v>
      </c>
      <c r="V116" s="19"/>
      <c r="W116" s="19"/>
      <c r="X116" s="95">
        <v>107153150</v>
      </c>
      <c r="Y116" s="95">
        <v>107152750</v>
      </c>
      <c r="Z116" s="95">
        <v>107152594</v>
      </c>
      <c r="AA116" s="19"/>
      <c r="AB116" s="19"/>
      <c r="AC116" s="19"/>
      <c r="AD116" s="135" t="str">
        <f>+INDEX('NGP Chairs CoChairs'!$A$2:$M$53,MATCH('Supersite Working-AW'!$X112,'NGP Chairs CoChairs'!$A$2:$A$53,0),12)</f>
        <v>Gaythia Weis</v>
      </c>
      <c r="AE116" s="135" t="str">
        <f>+INDEX('NGP Chairs CoChairs'!$A$2:$M$53,MATCH('Supersite Working-AW'!$Y112,'NGP Chairs CoChairs'!$A$2:$A$53,0),12)</f>
        <v>sharon malloy</v>
      </c>
      <c r="AF116" s="135" t="str">
        <f>+INDEX('NGP Chairs CoChairs'!$A$2:$M$53,MATCH('Supersite Working-AW'!$Z112,'NGP Chairs CoChairs'!$A$2:$A$53,0),12)</f>
        <v>marilyn hughes</v>
      </c>
      <c r="AG116" s="135" t="e">
        <f>+INDEX('NGP Chairs CoChairs'!$A$2:$M$53,MATCH('Supersite Working-AW'!$AA112,'NGP Chairs CoChairs'!$A$2:$A$53,0),12)</f>
        <v>#N/A</v>
      </c>
      <c r="AH116" s="69" t="str">
        <f>+INDEX('NGP Chairs CoChairs'!$A$2:$M$53,MATCH('Supersite Working-AW'!$X112,'NGP Chairs CoChairs'!$A$2:$A$53,0),7)</f>
        <v>3032426450</v>
      </c>
      <c r="AI116" s="69" t="str">
        <f>+INDEX('NGP Chairs CoChairs'!$A$2:$M$53,MATCH('Supersite Working-AW'!$Y112,'NGP Chairs CoChairs'!$A$2:$A$53,0),7)</f>
        <v>3035884452</v>
      </c>
      <c r="AJ116" s="69" t="str">
        <f>+INDEX('NGP Chairs CoChairs'!$A$2:$M$53,MATCH('Supersite Working-AW'!$Z112,'NGP Chairs CoChairs'!$A$2:$A$53,0),7)</f>
        <v>3038810816</v>
      </c>
      <c r="AK116" s="69" t="e">
        <f>+INDEX('NGP Chairs CoChairs'!$A$2:$M$53,MATCH('Supersite Working-AW'!$AA112,'NGP Chairs CoChairs'!$A$2:$A$53,0),7)</f>
        <v>#N/A</v>
      </c>
      <c r="AL116">
        <v>10</v>
      </c>
    </row>
    <row r="117" spans="1:38" ht="16" x14ac:dyDescent="0.2">
      <c r="A117" s="3" t="s">
        <v>383</v>
      </c>
      <c r="B117" s="86">
        <v>615</v>
      </c>
      <c r="C117" s="86" t="s">
        <v>384</v>
      </c>
      <c r="D117" s="86" t="s">
        <v>385</v>
      </c>
      <c r="E117" s="86" t="s">
        <v>386</v>
      </c>
      <c r="F117" s="86" t="s">
        <v>380</v>
      </c>
      <c r="G117" s="86" t="s">
        <v>243</v>
      </c>
      <c r="H117" s="86"/>
      <c r="I117" s="86">
        <v>2</v>
      </c>
      <c r="J117" s="86">
        <v>11</v>
      </c>
      <c r="K117" s="86">
        <v>17</v>
      </c>
      <c r="L117" s="88">
        <v>857</v>
      </c>
      <c r="M117" s="89">
        <f>(L117*$M$2)</f>
        <v>21.425000000000001</v>
      </c>
      <c r="N117" s="89"/>
      <c r="O117" s="86" t="s">
        <v>180</v>
      </c>
      <c r="P117" s="19"/>
      <c r="Q117" s="86"/>
      <c r="R117" s="128" t="s">
        <v>123</v>
      </c>
      <c r="S117" s="97" t="s">
        <v>60</v>
      </c>
      <c r="T117" s="19"/>
      <c r="U117" s="106" t="s">
        <v>56</v>
      </c>
      <c r="V117" s="19"/>
      <c r="W117" s="19"/>
      <c r="X117" s="95">
        <v>107153150</v>
      </c>
      <c r="Y117" s="95">
        <v>107152750</v>
      </c>
      <c r="Z117" s="95">
        <v>107152594</v>
      </c>
      <c r="AA117" s="19"/>
      <c r="AB117" s="19"/>
      <c r="AC117" s="19"/>
      <c r="AD117" s="135" t="str">
        <f>+INDEX('NGP Chairs CoChairs'!$A$2:$M$53,MATCH('Supersite Working-AW'!$X113,'NGP Chairs CoChairs'!$A$2:$A$53,0),12)</f>
        <v>Gaythia Weis</v>
      </c>
      <c r="AE117" s="135" t="str">
        <f>+INDEX('NGP Chairs CoChairs'!$A$2:$M$53,MATCH('Supersite Working-AW'!$Y113,'NGP Chairs CoChairs'!$A$2:$A$53,0),12)</f>
        <v>sharon malloy</v>
      </c>
      <c r="AF117" s="135" t="str">
        <f>+INDEX('NGP Chairs CoChairs'!$A$2:$M$53,MATCH('Supersite Working-AW'!$Z113,'NGP Chairs CoChairs'!$A$2:$A$53,0),12)</f>
        <v>marilyn hughes</v>
      </c>
      <c r="AG117" s="135" t="e">
        <f>+INDEX('NGP Chairs CoChairs'!$A$2:$M$53,MATCH('Supersite Working-AW'!$AA113,'NGP Chairs CoChairs'!$A$2:$A$53,0),12)</f>
        <v>#N/A</v>
      </c>
      <c r="AH117" s="69" t="str">
        <f>+INDEX('NGP Chairs CoChairs'!$A$2:$M$53,MATCH('Supersite Working-AW'!$X113,'NGP Chairs CoChairs'!$A$2:$A$53,0),7)</f>
        <v>3032426450</v>
      </c>
      <c r="AI117" s="69" t="str">
        <f>+INDEX('NGP Chairs CoChairs'!$A$2:$M$53,MATCH('Supersite Working-AW'!$Y113,'NGP Chairs CoChairs'!$A$2:$A$53,0),7)</f>
        <v>3035884452</v>
      </c>
      <c r="AJ117" s="69" t="str">
        <f>+INDEX('NGP Chairs CoChairs'!$A$2:$M$53,MATCH('Supersite Working-AW'!$Z113,'NGP Chairs CoChairs'!$A$2:$A$53,0),7)</f>
        <v>3038810816</v>
      </c>
      <c r="AK117" s="69" t="e">
        <f>+INDEX('NGP Chairs CoChairs'!$A$2:$M$53,MATCH('Supersite Working-AW'!$AA113,'NGP Chairs CoChairs'!$A$2:$A$53,0),7)</f>
        <v>#N/A</v>
      </c>
      <c r="AL117">
        <v>10</v>
      </c>
    </row>
    <row r="118" spans="1:38" ht="16" x14ac:dyDescent="0.2">
      <c r="A118" s="3" t="s">
        <v>383</v>
      </c>
      <c r="B118" s="86">
        <v>616</v>
      </c>
      <c r="C118" s="86" t="s">
        <v>384</v>
      </c>
      <c r="D118" s="86" t="s">
        <v>385</v>
      </c>
      <c r="E118" s="86" t="s">
        <v>386</v>
      </c>
      <c r="F118" s="86" t="s">
        <v>380</v>
      </c>
      <c r="G118" s="86" t="s">
        <v>243</v>
      </c>
      <c r="H118" s="86"/>
      <c r="I118" s="86">
        <v>2</v>
      </c>
      <c r="J118" s="86">
        <v>11</v>
      </c>
      <c r="K118" s="86">
        <v>17</v>
      </c>
      <c r="L118" s="88">
        <v>617</v>
      </c>
      <c r="M118" s="89">
        <f>(L118*$M$2)</f>
        <v>15.425000000000001</v>
      </c>
      <c r="N118" s="89"/>
      <c r="O118" s="86" t="s">
        <v>180</v>
      </c>
      <c r="P118" s="19"/>
      <c r="Q118" s="86"/>
      <c r="R118" s="128" t="s">
        <v>123</v>
      </c>
      <c r="S118" s="97" t="s">
        <v>60</v>
      </c>
      <c r="T118" s="19"/>
      <c r="U118" s="106" t="s">
        <v>56</v>
      </c>
      <c r="V118" s="19"/>
      <c r="W118" s="19"/>
      <c r="X118" s="95">
        <v>107153150</v>
      </c>
      <c r="Y118" s="95">
        <v>107152750</v>
      </c>
      <c r="Z118" s="95">
        <v>107152594</v>
      </c>
      <c r="AA118" s="19"/>
      <c r="AB118" s="19"/>
      <c r="AC118" s="19"/>
      <c r="AD118" s="135" t="str">
        <f>+INDEX('NGP Chairs CoChairs'!$A$2:$M$53,MATCH('Supersite Working-AW'!$X114,'NGP Chairs CoChairs'!$A$2:$A$53,0),12)</f>
        <v>Gaythia Weis</v>
      </c>
      <c r="AE118" s="135" t="str">
        <f>+INDEX('NGP Chairs CoChairs'!$A$2:$M$53,MATCH('Supersite Working-AW'!$Y114,'NGP Chairs CoChairs'!$A$2:$A$53,0),12)</f>
        <v>sharon malloy</v>
      </c>
      <c r="AF118" s="135" t="str">
        <f>+INDEX('NGP Chairs CoChairs'!$A$2:$M$53,MATCH('Supersite Working-AW'!$Z114,'NGP Chairs CoChairs'!$A$2:$A$53,0),12)</f>
        <v>marilyn hughes</v>
      </c>
      <c r="AG118" s="135" t="e">
        <f>+INDEX('NGP Chairs CoChairs'!$A$2:$M$53,MATCH('Supersite Working-AW'!$AA114,'NGP Chairs CoChairs'!$A$2:$A$53,0),12)</f>
        <v>#N/A</v>
      </c>
      <c r="AH118" s="69" t="str">
        <f>+INDEX('NGP Chairs CoChairs'!$A$2:$M$53,MATCH('Supersite Working-AW'!$X114,'NGP Chairs CoChairs'!$A$2:$A$53,0),7)</f>
        <v>3032426450</v>
      </c>
      <c r="AI118" s="69" t="str">
        <f>+INDEX('NGP Chairs CoChairs'!$A$2:$M$53,MATCH('Supersite Working-AW'!$Y114,'NGP Chairs CoChairs'!$A$2:$A$53,0),7)</f>
        <v>3035884452</v>
      </c>
      <c r="AJ118" s="69" t="str">
        <f>+INDEX('NGP Chairs CoChairs'!$A$2:$M$53,MATCH('Supersite Working-AW'!$Z114,'NGP Chairs CoChairs'!$A$2:$A$53,0),7)</f>
        <v>3038810816</v>
      </c>
      <c r="AK118" s="69" t="e">
        <f>+INDEX('NGP Chairs CoChairs'!$A$2:$M$53,MATCH('Supersite Working-AW'!$AA114,'NGP Chairs CoChairs'!$A$2:$A$53,0),7)</f>
        <v>#N/A</v>
      </c>
      <c r="AL118">
        <v>10</v>
      </c>
    </row>
    <row r="119" spans="1:38" ht="16" x14ac:dyDescent="0.2">
      <c r="A119" s="3" t="s">
        <v>383</v>
      </c>
      <c r="B119" s="86">
        <v>624</v>
      </c>
      <c r="C119" s="86" t="s">
        <v>384</v>
      </c>
      <c r="D119" s="86" t="s">
        <v>385</v>
      </c>
      <c r="E119" s="86" t="s">
        <v>386</v>
      </c>
      <c r="F119" s="86" t="s">
        <v>380</v>
      </c>
      <c r="G119" s="86" t="s">
        <v>243</v>
      </c>
      <c r="H119" s="86"/>
      <c r="I119" s="86">
        <v>2</v>
      </c>
      <c r="J119" s="86">
        <v>11</v>
      </c>
      <c r="K119" s="86">
        <v>17</v>
      </c>
      <c r="L119" s="88">
        <v>631</v>
      </c>
      <c r="M119" s="89">
        <f>(L119*$M$2)</f>
        <v>15.775</v>
      </c>
      <c r="N119" s="89"/>
      <c r="O119" s="86" t="s">
        <v>180</v>
      </c>
      <c r="P119" s="19"/>
      <c r="Q119" s="86"/>
      <c r="R119" s="128" t="s">
        <v>123</v>
      </c>
      <c r="S119" s="97" t="s">
        <v>60</v>
      </c>
      <c r="T119" s="19"/>
      <c r="U119" s="106" t="s">
        <v>56</v>
      </c>
      <c r="V119" s="19"/>
      <c r="W119" s="19"/>
      <c r="X119" s="95">
        <v>107153150</v>
      </c>
      <c r="Y119" s="95">
        <v>107152750</v>
      </c>
      <c r="Z119" s="95">
        <v>107152594</v>
      </c>
      <c r="AA119" s="19"/>
      <c r="AB119" s="19"/>
      <c r="AC119" s="19"/>
      <c r="AD119" s="135" t="str">
        <f>+INDEX('NGP Chairs CoChairs'!$A$2:$M$53,MATCH('Supersite Working-AW'!$X115,'NGP Chairs CoChairs'!$A$2:$A$53,0),12)</f>
        <v>Gaythia Weis</v>
      </c>
      <c r="AE119" s="135" t="str">
        <f>+INDEX('NGP Chairs CoChairs'!$A$2:$M$53,MATCH('Supersite Working-AW'!$Y115,'NGP Chairs CoChairs'!$A$2:$A$53,0),12)</f>
        <v>sharon malloy</v>
      </c>
      <c r="AF119" s="135" t="str">
        <f>+INDEX('NGP Chairs CoChairs'!$A$2:$M$53,MATCH('Supersite Working-AW'!$Z115,'NGP Chairs CoChairs'!$A$2:$A$53,0),12)</f>
        <v>marilyn hughes</v>
      </c>
      <c r="AG119" s="135" t="e">
        <f>+INDEX('NGP Chairs CoChairs'!$A$2:$M$53,MATCH('Supersite Working-AW'!$AA115,'NGP Chairs CoChairs'!$A$2:$A$53,0),12)</f>
        <v>#N/A</v>
      </c>
      <c r="AH119" s="69" t="str">
        <f>+INDEX('NGP Chairs CoChairs'!$A$2:$M$53,MATCH('Supersite Working-AW'!$X115,'NGP Chairs CoChairs'!$A$2:$A$53,0),7)</f>
        <v>3032426450</v>
      </c>
      <c r="AI119" s="69" t="str">
        <f>+INDEX('NGP Chairs CoChairs'!$A$2:$M$53,MATCH('Supersite Working-AW'!$Y115,'NGP Chairs CoChairs'!$A$2:$A$53,0),7)</f>
        <v>3035884452</v>
      </c>
      <c r="AJ119" s="69" t="str">
        <f>+INDEX('NGP Chairs CoChairs'!$A$2:$M$53,MATCH('Supersite Working-AW'!$Z115,'NGP Chairs CoChairs'!$A$2:$A$53,0),7)</f>
        <v>3038810816</v>
      </c>
      <c r="AK119" s="69" t="e">
        <f>+INDEX('NGP Chairs CoChairs'!$A$2:$M$53,MATCH('Supersite Working-AW'!$AA115,'NGP Chairs CoChairs'!$A$2:$A$53,0),7)</f>
        <v>#N/A</v>
      </c>
      <c r="AL119">
        <v>10</v>
      </c>
    </row>
    <row r="120" spans="1:38" ht="16" x14ac:dyDescent="0.2">
      <c r="A120" s="3" t="s">
        <v>383</v>
      </c>
      <c r="B120" s="86">
        <v>625</v>
      </c>
      <c r="C120" s="86" t="s">
        <v>384</v>
      </c>
      <c r="D120" s="86" t="s">
        <v>385</v>
      </c>
      <c r="E120" s="86" t="s">
        <v>386</v>
      </c>
      <c r="F120" s="86" t="s">
        <v>380</v>
      </c>
      <c r="G120" s="86" t="s">
        <v>243</v>
      </c>
      <c r="H120" s="86"/>
      <c r="I120" s="86">
        <v>2</v>
      </c>
      <c r="J120" s="86">
        <v>11</v>
      </c>
      <c r="K120" s="86">
        <v>17</v>
      </c>
      <c r="L120" s="88">
        <v>464</v>
      </c>
      <c r="M120" s="89">
        <f>(L120*$M$2)</f>
        <v>11.600000000000001</v>
      </c>
      <c r="N120" s="89"/>
      <c r="O120" s="86" t="s">
        <v>180</v>
      </c>
      <c r="P120" s="19"/>
      <c r="Q120" s="86"/>
      <c r="R120" s="128" t="s">
        <v>123</v>
      </c>
      <c r="S120" s="97" t="s">
        <v>60</v>
      </c>
      <c r="T120" s="19"/>
      <c r="U120" s="106" t="s">
        <v>56</v>
      </c>
      <c r="V120" s="19"/>
      <c r="W120" s="19"/>
      <c r="X120" s="95">
        <v>107153150</v>
      </c>
      <c r="Y120" s="95">
        <v>107152750</v>
      </c>
      <c r="Z120" s="95">
        <v>107152594</v>
      </c>
      <c r="AA120" s="19"/>
      <c r="AB120" s="19"/>
      <c r="AC120" s="19"/>
      <c r="AD120" s="135" t="str">
        <f>+INDEX('NGP Chairs CoChairs'!$A$2:$M$53,MATCH('Supersite Working-AW'!$X116,'NGP Chairs CoChairs'!$A$2:$A$53,0),12)</f>
        <v>Gaythia Weis</v>
      </c>
      <c r="AE120" s="135" t="str">
        <f>+INDEX('NGP Chairs CoChairs'!$A$2:$M$53,MATCH('Supersite Working-AW'!$Y116,'NGP Chairs CoChairs'!$A$2:$A$53,0),12)</f>
        <v>sharon malloy</v>
      </c>
      <c r="AF120" s="135" t="str">
        <f>+INDEX('NGP Chairs CoChairs'!$A$2:$M$53,MATCH('Supersite Working-AW'!$Z116,'NGP Chairs CoChairs'!$A$2:$A$53,0),12)</f>
        <v>marilyn hughes</v>
      </c>
      <c r="AG120" s="135" t="e">
        <f>+INDEX('NGP Chairs CoChairs'!$A$2:$M$53,MATCH('Supersite Working-AW'!$AA116,'NGP Chairs CoChairs'!$A$2:$A$53,0),12)</f>
        <v>#N/A</v>
      </c>
      <c r="AH120" s="69" t="str">
        <f>+INDEX('NGP Chairs CoChairs'!$A$2:$M$53,MATCH('Supersite Working-AW'!$X116,'NGP Chairs CoChairs'!$A$2:$A$53,0),7)</f>
        <v>3032426450</v>
      </c>
      <c r="AI120" s="69" t="str">
        <f>+INDEX('NGP Chairs CoChairs'!$A$2:$M$53,MATCH('Supersite Working-AW'!$Y116,'NGP Chairs CoChairs'!$A$2:$A$53,0),7)</f>
        <v>3035884452</v>
      </c>
      <c r="AJ120" s="69" t="str">
        <f>+INDEX('NGP Chairs CoChairs'!$A$2:$M$53,MATCH('Supersite Working-AW'!$Z116,'NGP Chairs CoChairs'!$A$2:$A$53,0),7)</f>
        <v>3038810816</v>
      </c>
      <c r="AK120" s="69" t="e">
        <f>+INDEX('NGP Chairs CoChairs'!$A$2:$M$53,MATCH('Supersite Working-AW'!$AA116,'NGP Chairs CoChairs'!$A$2:$A$53,0),7)</f>
        <v>#N/A</v>
      </c>
      <c r="AL120">
        <v>10</v>
      </c>
    </row>
    <row r="121" spans="1:38" ht="16" x14ac:dyDescent="0.2">
      <c r="A121" s="3" t="s">
        <v>383</v>
      </c>
      <c r="B121" s="86">
        <v>630</v>
      </c>
      <c r="C121" s="86" t="s">
        <v>384</v>
      </c>
      <c r="D121" s="86" t="s">
        <v>385</v>
      </c>
      <c r="E121" s="86" t="s">
        <v>386</v>
      </c>
      <c r="F121" s="86" t="s">
        <v>380</v>
      </c>
      <c r="G121" s="86" t="s">
        <v>243</v>
      </c>
      <c r="H121" s="86"/>
      <c r="I121" s="86">
        <v>2</v>
      </c>
      <c r="J121" s="86">
        <v>11</v>
      </c>
      <c r="K121" s="86">
        <v>17</v>
      </c>
      <c r="L121" s="88">
        <v>285</v>
      </c>
      <c r="M121" s="89">
        <f>(L121*$M$2)</f>
        <v>7.125</v>
      </c>
      <c r="N121" s="89"/>
      <c r="O121" s="86" t="s">
        <v>180</v>
      </c>
      <c r="P121" s="86"/>
      <c r="Q121" s="86"/>
      <c r="R121" s="128" t="s">
        <v>123</v>
      </c>
      <c r="S121" s="97" t="s">
        <v>60</v>
      </c>
      <c r="T121" s="19"/>
      <c r="U121" s="106" t="s">
        <v>56</v>
      </c>
      <c r="V121" s="19"/>
      <c r="W121" s="19"/>
      <c r="X121" s="95">
        <v>107153150</v>
      </c>
      <c r="Y121" s="95">
        <v>107152750</v>
      </c>
      <c r="Z121" s="95">
        <v>107152594</v>
      </c>
      <c r="AA121" s="19"/>
      <c r="AB121" s="19"/>
      <c r="AC121" s="19"/>
      <c r="AD121" s="135" t="str">
        <f>+INDEX('NGP Chairs CoChairs'!$A$2:$M$53,MATCH('Supersite Working-AW'!$X117,'NGP Chairs CoChairs'!$A$2:$A$53,0),12)</f>
        <v>Gaythia Weis</v>
      </c>
      <c r="AE121" s="135" t="str">
        <f>+INDEX('NGP Chairs CoChairs'!$A$2:$M$53,MATCH('Supersite Working-AW'!$Y117,'NGP Chairs CoChairs'!$A$2:$A$53,0),12)</f>
        <v>sharon malloy</v>
      </c>
      <c r="AF121" s="135" t="str">
        <f>+INDEX('NGP Chairs CoChairs'!$A$2:$M$53,MATCH('Supersite Working-AW'!$Z117,'NGP Chairs CoChairs'!$A$2:$A$53,0),12)</f>
        <v>marilyn hughes</v>
      </c>
      <c r="AG121" s="135" t="e">
        <f>+INDEX('NGP Chairs CoChairs'!$A$2:$M$53,MATCH('Supersite Working-AW'!$AA117,'NGP Chairs CoChairs'!$A$2:$A$53,0),12)</f>
        <v>#N/A</v>
      </c>
      <c r="AH121" s="69" t="str">
        <f>+INDEX('NGP Chairs CoChairs'!$A$2:$M$53,MATCH('Supersite Working-AW'!$X117,'NGP Chairs CoChairs'!$A$2:$A$53,0),7)</f>
        <v>3032426450</v>
      </c>
      <c r="AI121" s="69" t="str">
        <f>+INDEX('NGP Chairs CoChairs'!$A$2:$M$53,MATCH('Supersite Working-AW'!$Y117,'NGP Chairs CoChairs'!$A$2:$A$53,0),7)</f>
        <v>3035884452</v>
      </c>
      <c r="AJ121" s="69" t="str">
        <f>+INDEX('NGP Chairs CoChairs'!$A$2:$M$53,MATCH('Supersite Working-AW'!$Z117,'NGP Chairs CoChairs'!$A$2:$A$53,0),7)</f>
        <v>3038810816</v>
      </c>
      <c r="AK121" s="69" t="e">
        <f>+INDEX('NGP Chairs CoChairs'!$A$2:$M$53,MATCH('Supersite Working-AW'!$AA117,'NGP Chairs CoChairs'!$A$2:$A$53,0),7)</f>
        <v>#N/A</v>
      </c>
      <c r="AL121">
        <v>10</v>
      </c>
    </row>
    <row r="122" spans="1:38" ht="16" x14ac:dyDescent="0.2">
      <c r="A122" s="3" t="s">
        <v>383</v>
      </c>
      <c r="B122" s="86">
        <v>631</v>
      </c>
      <c r="C122" s="86" t="s">
        <v>384</v>
      </c>
      <c r="D122" s="86" t="s">
        <v>385</v>
      </c>
      <c r="E122" s="86" t="s">
        <v>386</v>
      </c>
      <c r="F122" s="86" t="s">
        <v>380</v>
      </c>
      <c r="G122" s="86" t="s">
        <v>243</v>
      </c>
      <c r="H122" s="86"/>
      <c r="I122" s="86">
        <v>2</v>
      </c>
      <c r="J122" s="86">
        <v>11</v>
      </c>
      <c r="K122" s="86">
        <v>17</v>
      </c>
      <c r="L122" s="88">
        <v>277</v>
      </c>
      <c r="M122" s="89">
        <f>(L122*$M$2)</f>
        <v>6.9250000000000007</v>
      </c>
      <c r="N122" s="89">
        <f>SUM(M116:M122)</f>
        <v>86.024999999999991</v>
      </c>
      <c r="O122" s="86" t="s">
        <v>180</v>
      </c>
      <c r="P122" s="86"/>
      <c r="Q122" s="86"/>
      <c r="R122" s="128" t="s">
        <v>123</v>
      </c>
      <c r="S122" s="97" t="s">
        <v>60</v>
      </c>
      <c r="T122" s="19"/>
      <c r="U122" s="106" t="s">
        <v>56</v>
      </c>
      <c r="V122" s="19"/>
      <c r="W122" s="19"/>
      <c r="X122" s="95">
        <v>107153150</v>
      </c>
      <c r="Y122" s="95">
        <v>107152750</v>
      </c>
      <c r="Z122" s="95">
        <v>107152594</v>
      </c>
      <c r="AA122" s="19"/>
      <c r="AB122" s="19"/>
      <c r="AC122" s="19"/>
      <c r="AD122" s="135" t="str">
        <f>+INDEX('NGP Chairs CoChairs'!$A$2:$M$53,MATCH('Supersite Working-AW'!$X118,'NGP Chairs CoChairs'!$A$2:$A$53,0),12)</f>
        <v>Gaythia Weis</v>
      </c>
      <c r="AE122" s="135" t="str">
        <f>+INDEX('NGP Chairs CoChairs'!$A$2:$M$53,MATCH('Supersite Working-AW'!$Y118,'NGP Chairs CoChairs'!$A$2:$A$53,0),12)</f>
        <v>sharon malloy</v>
      </c>
      <c r="AF122" s="135" t="str">
        <f>+INDEX('NGP Chairs CoChairs'!$A$2:$M$53,MATCH('Supersite Working-AW'!$Z118,'NGP Chairs CoChairs'!$A$2:$A$53,0),12)</f>
        <v>marilyn hughes</v>
      </c>
      <c r="AG122" s="135" t="e">
        <f>+INDEX('NGP Chairs CoChairs'!$A$2:$M$53,MATCH('Supersite Working-AW'!$AA118,'NGP Chairs CoChairs'!$A$2:$A$53,0),12)</f>
        <v>#N/A</v>
      </c>
      <c r="AH122" s="69" t="str">
        <f>+INDEX('NGP Chairs CoChairs'!$A$2:$M$53,MATCH('Supersite Working-AW'!$X118,'NGP Chairs CoChairs'!$A$2:$A$53,0),7)</f>
        <v>3032426450</v>
      </c>
      <c r="AI122" s="69" t="str">
        <f>+INDEX('NGP Chairs CoChairs'!$A$2:$M$53,MATCH('Supersite Working-AW'!$Y118,'NGP Chairs CoChairs'!$A$2:$A$53,0),7)</f>
        <v>3035884452</v>
      </c>
      <c r="AJ122" s="69" t="str">
        <f>+INDEX('NGP Chairs CoChairs'!$A$2:$M$53,MATCH('Supersite Working-AW'!$Z118,'NGP Chairs CoChairs'!$A$2:$A$53,0),7)</f>
        <v>3038810816</v>
      </c>
      <c r="AK122" s="69" t="e">
        <f>+INDEX('NGP Chairs CoChairs'!$A$2:$M$53,MATCH('Supersite Working-AW'!$AA118,'NGP Chairs CoChairs'!$A$2:$A$53,0),7)</f>
        <v>#N/A</v>
      </c>
      <c r="AL122">
        <v>10</v>
      </c>
    </row>
    <row r="123" spans="1:38" ht="16" x14ac:dyDescent="0.2">
      <c r="A123" s="3" t="s">
        <v>402</v>
      </c>
      <c r="B123" s="86">
        <v>2</v>
      </c>
      <c r="C123" s="86" t="s">
        <v>403</v>
      </c>
      <c r="D123" s="86" t="s">
        <v>404</v>
      </c>
      <c r="E123" s="86" t="s">
        <v>405</v>
      </c>
      <c r="F123" s="86" t="s">
        <v>391</v>
      </c>
      <c r="G123" s="86" t="s">
        <v>243</v>
      </c>
      <c r="H123" s="86"/>
      <c r="I123" s="86">
        <v>2</v>
      </c>
      <c r="J123" s="86">
        <v>19</v>
      </c>
      <c r="K123" s="86">
        <v>15</v>
      </c>
      <c r="L123" s="88">
        <v>2</v>
      </c>
      <c r="M123" s="89">
        <f>(L123*$M$2)</f>
        <v>0.05</v>
      </c>
      <c r="N123" s="89"/>
      <c r="O123" s="86" t="s">
        <v>180</v>
      </c>
      <c r="P123" s="86" t="s">
        <v>392</v>
      </c>
      <c r="Q123" s="19" t="s">
        <v>393</v>
      </c>
      <c r="R123" s="129" t="s">
        <v>184</v>
      </c>
      <c r="S123" s="131" t="s">
        <v>394</v>
      </c>
      <c r="T123" s="132" t="s">
        <v>406</v>
      </c>
      <c r="U123" s="106" t="s">
        <v>56</v>
      </c>
      <c r="V123" s="19"/>
      <c r="W123" s="19"/>
      <c r="X123" s="19">
        <v>107152803</v>
      </c>
      <c r="Y123" s="19">
        <v>107152783</v>
      </c>
      <c r="Z123" s="19">
        <v>107152290</v>
      </c>
      <c r="AA123" s="19">
        <v>130838049</v>
      </c>
      <c r="AB123" s="19"/>
      <c r="AC123" s="19"/>
      <c r="AD123" s="135" t="str">
        <f>+INDEX('NGP Chairs CoChairs'!$A$2:$M$53,MATCH('Supersite Working-AW'!$X144,'NGP Chairs CoChairs'!$A$2:$A$53,0),12)</f>
        <v>Marisa Dirks</v>
      </c>
      <c r="AE123" s="135" t="str">
        <f>+INDEX('NGP Chairs CoChairs'!$A$2:$M$53,MATCH('Supersite Working-AW'!$Y144,'NGP Chairs CoChairs'!$A$2:$A$53,0),12)</f>
        <v>Stan Gelb</v>
      </c>
      <c r="AF123" s="135" t="str">
        <f>+INDEX('NGP Chairs CoChairs'!$A$2:$M$53,MATCH('Supersite Working-AW'!$Z144,'NGP Chairs CoChairs'!$A$2:$A$53,0),12)</f>
        <v>Beth Utton</v>
      </c>
      <c r="AG123" s="135" t="e">
        <f>+INDEX('NGP Chairs CoChairs'!$A$2:$M$53,MATCH('Supersite Working-AW'!$AA144,'NGP Chairs CoChairs'!$A$2:$A$53,0),12)</f>
        <v>#N/A</v>
      </c>
      <c r="AH123" s="69" t="str">
        <f>+INDEX('NGP Chairs CoChairs'!$A$2:$M$53,MATCH('Supersite Working-AW'!$X144,'NGP Chairs CoChairs'!$A$2:$A$53,0),7)</f>
        <v>3037757400</v>
      </c>
      <c r="AI123" s="69" t="str">
        <f>+INDEX('NGP Chairs CoChairs'!$A$2:$M$53,MATCH('Supersite Working-AW'!$Y144,'NGP Chairs CoChairs'!$A$2:$A$53,0),7)</f>
        <v>7205341960</v>
      </c>
      <c r="AJ123" s="69" t="str">
        <f>+INDEX('NGP Chairs CoChairs'!$A$2:$M$53,MATCH('Supersite Working-AW'!$Z144,'NGP Chairs CoChairs'!$A$2:$A$53,0),7)</f>
        <v>7205341960</v>
      </c>
      <c r="AK123" s="69" t="e">
        <f>+INDEX('NGP Chairs CoChairs'!$A$2:$M$53,MATCH('Supersite Working-AW'!$AA144,'NGP Chairs CoChairs'!$A$2:$A$53,0),7)</f>
        <v>#N/A</v>
      </c>
      <c r="AL123">
        <v>13</v>
      </c>
    </row>
    <row r="124" spans="1:38" ht="16" x14ac:dyDescent="0.2">
      <c r="A124" s="3" t="s">
        <v>407</v>
      </c>
      <c r="B124" s="86">
        <v>618</v>
      </c>
      <c r="C124" s="86" t="s">
        <v>403</v>
      </c>
      <c r="D124" s="86" t="s">
        <v>404</v>
      </c>
      <c r="E124" s="86" t="s">
        <v>405</v>
      </c>
      <c r="F124" s="86" t="s">
        <v>391</v>
      </c>
      <c r="G124" s="86" t="s">
        <v>243</v>
      </c>
      <c r="H124" s="86"/>
      <c r="I124" s="86">
        <v>2</v>
      </c>
      <c r="J124" s="86">
        <v>11</v>
      </c>
      <c r="K124" s="86">
        <v>17</v>
      </c>
      <c r="L124" s="88">
        <v>560</v>
      </c>
      <c r="M124" s="89">
        <f>(L124*$M$2)</f>
        <v>14</v>
      </c>
      <c r="N124" s="89"/>
      <c r="O124" s="86" t="s">
        <v>180</v>
      </c>
      <c r="P124" s="86" t="s">
        <v>392</v>
      </c>
      <c r="Q124" s="19" t="s">
        <v>393</v>
      </c>
      <c r="R124" s="129" t="s">
        <v>184</v>
      </c>
      <c r="S124" s="131" t="s">
        <v>394</v>
      </c>
      <c r="T124" s="131"/>
      <c r="U124" s="106" t="s">
        <v>56</v>
      </c>
      <c r="V124" s="19"/>
      <c r="W124" s="19"/>
      <c r="X124" s="19">
        <v>107152803</v>
      </c>
      <c r="Y124" s="19">
        <v>107152783</v>
      </c>
      <c r="Z124" s="19">
        <v>107152290</v>
      </c>
      <c r="AA124" s="19">
        <v>130838049</v>
      </c>
      <c r="AB124" s="19"/>
      <c r="AC124" s="19"/>
      <c r="AD124" s="135" t="str">
        <f>+INDEX('NGP Chairs CoChairs'!$A$2:$M$53,MATCH('Supersite Working-AW'!$X145,'NGP Chairs CoChairs'!$A$2:$A$53,0),12)</f>
        <v>Marisa Dirks</v>
      </c>
      <c r="AE124" s="135" t="str">
        <f>+INDEX('NGP Chairs CoChairs'!$A$2:$M$53,MATCH('Supersite Working-AW'!$Y145,'NGP Chairs CoChairs'!$A$2:$A$53,0),12)</f>
        <v>Stan Gelb</v>
      </c>
      <c r="AF124" s="135" t="str">
        <f>+INDEX('NGP Chairs CoChairs'!$A$2:$M$53,MATCH('Supersite Working-AW'!$Z145,'NGP Chairs CoChairs'!$A$2:$A$53,0),12)</f>
        <v>Beth Utton</v>
      </c>
      <c r="AG124" s="135" t="e">
        <f>+INDEX('NGP Chairs CoChairs'!$A$2:$M$53,MATCH('Supersite Working-AW'!$AA145,'NGP Chairs CoChairs'!$A$2:$A$53,0),12)</f>
        <v>#N/A</v>
      </c>
      <c r="AH124" s="69" t="str">
        <f>+INDEX('NGP Chairs CoChairs'!$A$2:$M$53,MATCH('Supersite Working-AW'!$X145,'NGP Chairs CoChairs'!$A$2:$A$53,0),7)</f>
        <v>3037757400</v>
      </c>
      <c r="AI124" s="69" t="str">
        <f>+INDEX('NGP Chairs CoChairs'!$A$2:$M$53,MATCH('Supersite Working-AW'!$Y145,'NGP Chairs CoChairs'!$A$2:$A$53,0),7)</f>
        <v>7205341960</v>
      </c>
      <c r="AJ124" s="69" t="str">
        <f>+INDEX('NGP Chairs CoChairs'!$A$2:$M$53,MATCH('Supersite Working-AW'!$Z145,'NGP Chairs CoChairs'!$A$2:$A$53,0),7)</f>
        <v>7205341960</v>
      </c>
      <c r="AK124" s="69" t="e">
        <f>+INDEX('NGP Chairs CoChairs'!$A$2:$M$53,MATCH('Supersite Working-AW'!$AA145,'NGP Chairs CoChairs'!$A$2:$A$53,0),7)</f>
        <v>#N/A</v>
      </c>
      <c r="AL124">
        <v>13</v>
      </c>
    </row>
    <row r="125" spans="1:38" ht="16" x14ac:dyDescent="0.2">
      <c r="A125" s="3" t="s">
        <v>407</v>
      </c>
      <c r="B125" s="86">
        <v>619</v>
      </c>
      <c r="C125" s="86" t="s">
        <v>403</v>
      </c>
      <c r="D125" s="86" t="s">
        <v>404</v>
      </c>
      <c r="E125" s="86" t="s">
        <v>405</v>
      </c>
      <c r="F125" s="86" t="s">
        <v>391</v>
      </c>
      <c r="G125" s="86" t="s">
        <v>243</v>
      </c>
      <c r="H125" s="86"/>
      <c r="I125" s="86">
        <v>2</v>
      </c>
      <c r="J125" s="86">
        <v>19</v>
      </c>
      <c r="K125" s="86">
        <v>17</v>
      </c>
      <c r="L125" s="88">
        <v>592</v>
      </c>
      <c r="M125" s="89">
        <f>(L125*$M$2)</f>
        <v>14.8</v>
      </c>
      <c r="N125" s="89"/>
      <c r="O125" s="86" t="s">
        <v>180</v>
      </c>
      <c r="P125" s="86" t="s">
        <v>392</v>
      </c>
      <c r="Q125" s="19" t="s">
        <v>393</v>
      </c>
      <c r="R125" s="129" t="s">
        <v>184</v>
      </c>
      <c r="S125" s="131" t="s">
        <v>394</v>
      </c>
      <c r="T125" s="131"/>
      <c r="U125" s="106" t="s">
        <v>56</v>
      </c>
      <c r="V125" s="19"/>
      <c r="W125" s="19"/>
      <c r="X125" s="19">
        <v>107152803</v>
      </c>
      <c r="Y125" s="19">
        <v>107152783</v>
      </c>
      <c r="Z125" s="19">
        <v>107152290</v>
      </c>
      <c r="AA125" s="19">
        <v>130838049</v>
      </c>
      <c r="AB125" s="19"/>
      <c r="AC125" s="19"/>
      <c r="AD125" s="135" t="str">
        <f>+INDEX('NGP Chairs CoChairs'!$A$2:$M$53,MATCH('Supersite Working-AW'!$X146,'NGP Chairs CoChairs'!$A$2:$A$53,0),12)</f>
        <v>Marisa Dirks</v>
      </c>
      <c r="AE125" s="135" t="str">
        <f>+INDEX('NGP Chairs CoChairs'!$A$2:$M$53,MATCH('Supersite Working-AW'!$Y146,'NGP Chairs CoChairs'!$A$2:$A$53,0),12)</f>
        <v>Stan Gelb</v>
      </c>
      <c r="AF125" s="135" t="str">
        <f>+INDEX('NGP Chairs CoChairs'!$A$2:$M$53,MATCH('Supersite Working-AW'!$Z146,'NGP Chairs CoChairs'!$A$2:$A$53,0),12)</f>
        <v>Beth Utton</v>
      </c>
      <c r="AG125" s="135" t="e">
        <f>+INDEX('NGP Chairs CoChairs'!$A$2:$M$53,MATCH('Supersite Working-AW'!$AA146,'NGP Chairs CoChairs'!$A$2:$A$53,0),12)</f>
        <v>#N/A</v>
      </c>
      <c r="AH125" s="69" t="str">
        <f>+INDEX('NGP Chairs CoChairs'!$A$2:$M$53,MATCH('Supersite Working-AW'!$X146,'NGP Chairs CoChairs'!$A$2:$A$53,0),7)</f>
        <v>3037757400</v>
      </c>
      <c r="AI125" s="69" t="str">
        <f>+INDEX('NGP Chairs CoChairs'!$A$2:$M$53,MATCH('Supersite Working-AW'!$Y146,'NGP Chairs CoChairs'!$A$2:$A$53,0),7)</f>
        <v>7205341960</v>
      </c>
      <c r="AJ125" s="69" t="str">
        <f>+INDEX('NGP Chairs CoChairs'!$A$2:$M$53,MATCH('Supersite Working-AW'!$Z146,'NGP Chairs CoChairs'!$A$2:$A$53,0),7)</f>
        <v>7205341960</v>
      </c>
      <c r="AK125" s="69" t="e">
        <f>+INDEX('NGP Chairs CoChairs'!$A$2:$M$53,MATCH('Supersite Working-AW'!$AA146,'NGP Chairs CoChairs'!$A$2:$A$53,0),7)</f>
        <v>#N/A</v>
      </c>
      <c r="AL125">
        <v>13</v>
      </c>
    </row>
    <row r="126" spans="1:38" ht="16" x14ac:dyDescent="0.2">
      <c r="A126" s="3" t="s">
        <v>407</v>
      </c>
      <c r="B126" s="86">
        <v>620</v>
      </c>
      <c r="C126" s="86" t="s">
        <v>403</v>
      </c>
      <c r="D126" s="86" t="s">
        <v>404</v>
      </c>
      <c r="E126" s="86" t="s">
        <v>405</v>
      </c>
      <c r="F126" s="86" t="s">
        <v>391</v>
      </c>
      <c r="G126" s="86" t="s">
        <v>243</v>
      </c>
      <c r="H126" s="86"/>
      <c r="I126" s="86">
        <v>2</v>
      </c>
      <c r="J126" s="86">
        <v>19</v>
      </c>
      <c r="K126" s="86">
        <v>17</v>
      </c>
      <c r="L126" s="88">
        <v>425</v>
      </c>
      <c r="M126" s="89">
        <f>(L126*$M$2)</f>
        <v>10.625</v>
      </c>
      <c r="N126" s="89"/>
      <c r="O126" s="86" t="s">
        <v>180</v>
      </c>
      <c r="P126" s="86" t="s">
        <v>392</v>
      </c>
      <c r="Q126" s="19" t="s">
        <v>393</v>
      </c>
      <c r="R126" s="129" t="s">
        <v>184</v>
      </c>
      <c r="S126" s="131" t="s">
        <v>394</v>
      </c>
      <c r="T126" s="131"/>
      <c r="U126" s="106" t="s">
        <v>56</v>
      </c>
      <c r="V126" s="19"/>
      <c r="W126" s="19"/>
      <c r="X126" s="19">
        <v>107152803</v>
      </c>
      <c r="Y126" s="19">
        <v>107152783</v>
      </c>
      <c r="Z126" s="19">
        <v>107152290</v>
      </c>
      <c r="AA126" s="19">
        <v>130838049</v>
      </c>
      <c r="AB126" s="19"/>
      <c r="AC126" s="19"/>
      <c r="AD126" s="135" t="str">
        <f>+INDEX('NGP Chairs CoChairs'!$A$2:$M$53,MATCH('Supersite Working-AW'!$X147,'NGP Chairs CoChairs'!$A$2:$A$53,0),12)</f>
        <v>Marisa Dirks</v>
      </c>
      <c r="AE126" s="135" t="str">
        <f>+INDEX('NGP Chairs CoChairs'!$A$2:$M$53,MATCH('Supersite Working-AW'!$Y147,'NGP Chairs CoChairs'!$A$2:$A$53,0),12)</f>
        <v>Stan Gelb</v>
      </c>
      <c r="AF126" s="135" t="str">
        <f>+INDEX('NGP Chairs CoChairs'!$A$2:$M$53,MATCH('Supersite Working-AW'!$Z147,'NGP Chairs CoChairs'!$A$2:$A$53,0),12)</f>
        <v>Beth Utton</v>
      </c>
      <c r="AG126" s="135" t="e">
        <f>+INDEX('NGP Chairs CoChairs'!$A$2:$M$53,MATCH('Supersite Working-AW'!$AA147,'NGP Chairs CoChairs'!$A$2:$A$53,0),12)</f>
        <v>#N/A</v>
      </c>
      <c r="AH126" s="69" t="str">
        <f>+INDEX('NGP Chairs CoChairs'!$A$2:$M$53,MATCH('Supersite Working-AW'!$X147,'NGP Chairs CoChairs'!$A$2:$A$53,0),7)</f>
        <v>3037757400</v>
      </c>
      <c r="AI126" s="69" t="str">
        <f>+INDEX('NGP Chairs CoChairs'!$A$2:$M$53,MATCH('Supersite Working-AW'!$Y147,'NGP Chairs CoChairs'!$A$2:$A$53,0),7)</f>
        <v>7205341960</v>
      </c>
      <c r="AJ126" s="69" t="str">
        <f>+INDEX('NGP Chairs CoChairs'!$A$2:$M$53,MATCH('Supersite Working-AW'!$Z147,'NGP Chairs CoChairs'!$A$2:$A$53,0),7)</f>
        <v>7205341960</v>
      </c>
      <c r="AK126" s="69" t="e">
        <f>+INDEX('NGP Chairs CoChairs'!$A$2:$M$53,MATCH('Supersite Working-AW'!$AA147,'NGP Chairs CoChairs'!$A$2:$A$53,0),7)</f>
        <v>#N/A</v>
      </c>
      <c r="AL126">
        <v>13</v>
      </c>
    </row>
    <row r="127" spans="1:38" ht="16" x14ac:dyDescent="0.2">
      <c r="A127" s="3" t="s">
        <v>407</v>
      </c>
      <c r="B127" s="86">
        <v>621</v>
      </c>
      <c r="C127" s="86" t="s">
        <v>403</v>
      </c>
      <c r="D127" s="86" t="s">
        <v>404</v>
      </c>
      <c r="E127" s="86" t="s">
        <v>405</v>
      </c>
      <c r="F127" s="86" t="s">
        <v>391</v>
      </c>
      <c r="G127" s="86" t="s">
        <v>243</v>
      </c>
      <c r="H127" s="86"/>
      <c r="I127" s="86">
        <v>2</v>
      </c>
      <c r="J127" s="86">
        <v>19</v>
      </c>
      <c r="K127" s="86">
        <v>17</v>
      </c>
      <c r="L127" s="88">
        <v>253</v>
      </c>
      <c r="M127" s="89">
        <f>(L127*$M$2)</f>
        <v>6.3250000000000002</v>
      </c>
      <c r="N127" s="89"/>
      <c r="O127" s="86" t="s">
        <v>180</v>
      </c>
      <c r="P127" s="86" t="s">
        <v>392</v>
      </c>
      <c r="Q127" s="19" t="s">
        <v>393</v>
      </c>
      <c r="R127" s="129" t="s">
        <v>184</v>
      </c>
      <c r="S127" s="131" t="s">
        <v>394</v>
      </c>
      <c r="T127" s="131"/>
      <c r="U127" s="106" t="s">
        <v>56</v>
      </c>
      <c r="V127" s="19"/>
      <c r="W127" s="19"/>
      <c r="X127" s="19">
        <v>107152803</v>
      </c>
      <c r="Y127" s="19">
        <v>107152783</v>
      </c>
      <c r="Z127" s="19">
        <v>107152290</v>
      </c>
      <c r="AA127" s="19">
        <v>130838049</v>
      </c>
      <c r="AB127" s="19"/>
      <c r="AC127" s="19"/>
      <c r="AD127" s="135" t="str">
        <f>+INDEX('NGP Chairs CoChairs'!$A$2:$M$53,MATCH('Supersite Working-AW'!$X148,'NGP Chairs CoChairs'!$A$2:$A$53,0),12)</f>
        <v>Marisa Dirks</v>
      </c>
      <c r="AE127" s="135" t="str">
        <f>+INDEX('NGP Chairs CoChairs'!$A$2:$M$53,MATCH('Supersite Working-AW'!$Y148,'NGP Chairs CoChairs'!$A$2:$A$53,0),12)</f>
        <v>Stan Gelb</v>
      </c>
      <c r="AF127" s="135" t="str">
        <f>+INDEX('NGP Chairs CoChairs'!$A$2:$M$53,MATCH('Supersite Working-AW'!$Z148,'NGP Chairs CoChairs'!$A$2:$A$53,0),12)</f>
        <v>Beth Utton</v>
      </c>
      <c r="AG127" s="135" t="e">
        <f>+INDEX('NGP Chairs CoChairs'!$A$2:$M$53,MATCH('Supersite Working-AW'!$AA148,'NGP Chairs CoChairs'!$A$2:$A$53,0),12)</f>
        <v>#N/A</v>
      </c>
      <c r="AH127" s="69" t="str">
        <f>+INDEX('NGP Chairs CoChairs'!$A$2:$M$53,MATCH('Supersite Working-AW'!$X148,'NGP Chairs CoChairs'!$A$2:$A$53,0),7)</f>
        <v>3037757400</v>
      </c>
      <c r="AI127" s="69" t="str">
        <f>+INDEX('NGP Chairs CoChairs'!$A$2:$M$53,MATCH('Supersite Working-AW'!$Y148,'NGP Chairs CoChairs'!$A$2:$A$53,0),7)</f>
        <v>7205341960</v>
      </c>
      <c r="AJ127" s="69" t="str">
        <f>+INDEX('NGP Chairs CoChairs'!$A$2:$M$53,MATCH('Supersite Working-AW'!$Z148,'NGP Chairs CoChairs'!$A$2:$A$53,0),7)</f>
        <v>7205341960</v>
      </c>
      <c r="AK127" s="69" t="e">
        <f>+INDEX('NGP Chairs CoChairs'!$A$2:$M$53,MATCH('Supersite Working-AW'!$AA148,'NGP Chairs CoChairs'!$A$2:$A$53,0),7)</f>
        <v>#N/A</v>
      </c>
      <c r="AL127">
        <v>13</v>
      </c>
    </row>
    <row r="128" spans="1:38" ht="16" x14ac:dyDescent="0.2">
      <c r="A128" s="3" t="s">
        <v>407</v>
      </c>
      <c r="B128" s="86">
        <v>622</v>
      </c>
      <c r="C128" s="86" t="s">
        <v>403</v>
      </c>
      <c r="D128" s="86" t="s">
        <v>404</v>
      </c>
      <c r="E128" s="86" t="s">
        <v>405</v>
      </c>
      <c r="F128" s="86" t="s">
        <v>391</v>
      </c>
      <c r="G128" s="86" t="s">
        <v>243</v>
      </c>
      <c r="H128" s="86"/>
      <c r="I128" s="86">
        <v>2</v>
      </c>
      <c r="J128" s="86">
        <v>11</v>
      </c>
      <c r="K128" s="86">
        <v>17</v>
      </c>
      <c r="L128" s="88">
        <v>348</v>
      </c>
      <c r="M128" s="89">
        <f>(L128*$M$2)</f>
        <v>8.7000000000000011</v>
      </c>
      <c r="N128" s="89"/>
      <c r="O128" s="86" t="s">
        <v>180</v>
      </c>
      <c r="P128" s="86" t="s">
        <v>392</v>
      </c>
      <c r="Q128" s="19" t="s">
        <v>393</v>
      </c>
      <c r="R128" s="129" t="s">
        <v>184</v>
      </c>
      <c r="S128" s="131" t="s">
        <v>394</v>
      </c>
      <c r="T128" s="131"/>
      <c r="U128" s="106" t="s">
        <v>56</v>
      </c>
      <c r="V128" s="19"/>
      <c r="W128" s="19"/>
      <c r="X128" s="19">
        <v>107152803</v>
      </c>
      <c r="Y128" s="19">
        <v>107152783</v>
      </c>
      <c r="Z128" s="19">
        <v>107152290</v>
      </c>
      <c r="AA128" s="19">
        <v>130838049</v>
      </c>
      <c r="AB128" s="19"/>
      <c r="AC128" s="19"/>
      <c r="AD128" s="135" t="str">
        <f>+INDEX('NGP Chairs CoChairs'!$A$2:$M$53,MATCH('Supersite Working-AW'!$X149,'NGP Chairs CoChairs'!$A$2:$A$53,0),12)</f>
        <v>Marisa Dirks</v>
      </c>
      <c r="AE128" s="135" t="str">
        <f>+INDEX('NGP Chairs CoChairs'!$A$2:$M$53,MATCH('Supersite Working-AW'!$Y149,'NGP Chairs CoChairs'!$A$2:$A$53,0),12)</f>
        <v>Stan Gelb</v>
      </c>
      <c r="AF128" s="135" t="str">
        <f>+INDEX('NGP Chairs CoChairs'!$A$2:$M$53,MATCH('Supersite Working-AW'!$Z149,'NGP Chairs CoChairs'!$A$2:$A$53,0),12)</f>
        <v>Beth Utton</v>
      </c>
      <c r="AG128" s="135" t="e">
        <f>+INDEX('NGP Chairs CoChairs'!$A$2:$M$53,MATCH('Supersite Working-AW'!$AA149,'NGP Chairs CoChairs'!$A$2:$A$53,0),12)</f>
        <v>#N/A</v>
      </c>
      <c r="AH128" s="69" t="str">
        <f>+INDEX('NGP Chairs CoChairs'!$A$2:$M$53,MATCH('Supersite Working-AW'!$X149,'NGP Chairs CoChairs'!$A$2:$A$53,0),7)</f>
        <v>3037757400</v>
      </c>
      <c r="AI128" s="69" t="str">
        <f>+INDEX('NGP Chairs CoChairs'!$A$2:$M$53,MATCH('Supersite Working-AW'!$Y149,'NGP Chairs CoChairs'!$A$2:$A$53,0),7)</f>
        <v>7205341960</v>
      </c>
      <c r="AJ128" s="69" t="str">
        <f>+INDEX('NGP Chairs CoChairs'!$A$2:$M$53,MATCH('Supersite Working-AW'!$Z149,'NGP Chairs CoChairs'!$A$2:$A$53,0),7)</f>
        <v>7205341960</v>
      </c>
      <c r="AK128" s="69" t="e">
        <f>+INDEX('NGP Chairs CoChairs'!$A$2:$M$53,MATCH('Supersite Working-AW'!$AA149,'NGP Chairs CoChairs'!$A$2:$A$53,0),7)</f>
        <v>#N/A</v>
      </c>
      <c r="AL128">
        <v>13</v>
      </c>
    </row>
    <row r="129" spans="1:38" ht="16" x14ac:dyDescent="0.2">
      <c r="A129" s="3" t="s">
        <v>407</v>
      </c>
      <c r="B129" s="86">
        <v>635</v>
      </c>
      <c r="C129" s="86" t="s">
        <v>403</v>
      </c>
      <c r="D129" s="86" t="s">
        <v>404</v>
      </c>
      <c r="E129" s="86" t="s">
        <v>405</v>
      </c>
      <c r="F129" s="86" t="s">
        <v>391</v>
      </c>
      <c r="G129" s="86" t="s">
        <v>243</v>
      </c>
      <c r="H129" s="86"/>
      <c r="I129" s="86">
        <v>2</v>
      </c>
      <c r="J129" s="86">
        <v>19</v>
      </c>
      <c r="K129" s="86">
        <v>17</v>
      </c>
      <c r="L129" s="88">
        <v>407</v>
      </c>
      <c r="M129" s="89">
        <f>(L129*$M$2)</f>
        <v>10.175000000000001</v>
      </c>
      <c r="N129" s="89"/>
      <c r="O129" s="86" t="s">
        <v>180</v>
      </c>
      <c r="P129" s="86" t="s">
        <v>392</v>
      </c>
      <c r="Q129" s="19" t="s">
        <v>393</v>
      </c>
      <c r="R129" s="129" t="s">
        <v>184</v>
      </c>
      <c r="S129" s="131" t="s">
        <v>394</v>
      </c>
      <c r="T129" s="131"/>
      <c r="U129" s="106" t="s">
        <v>56</v>
      </c>
      <c r="V129" s="19"/>
      <c r="W129" s="19"/>
      <c r="X129" s="19">
        <v>107152803</v>
      </c>
      <c r="Y129" s="19">
        <v>107152783</v>
      </c>
      <c r="Z129" s="19">
        <v>107152290</v>
      </c>
      <c r="AA129" s="19">
        <v>130838049</v>
      </c>
      <c r="AB129" s="19"/>
      <c r="AC129" s="19"/>
      <c r="AD129" s="135" t="str">
        <f>+INDEX('NGP Chairs CoChairs'!$A$2:$M$53,MATCH('Supersite Working-AW'!$X153,'NGP Chairs CoChairs'!$A$2:$A$53,0),12)</f>
        <v>Marisa Dirks</v>
      </c>
      <c r="AE129" s="135" t="str">
        <f>+INDEX('NGP Chairs CoChairs'!$A$2:$M$53,MATCH('Supersite Working-AW'!$Y153,'NGP Chairs CoChairs'!$A$2:$A$53,0),12)</f>
        <v>Stan Gelb</v>
      </c>
      <c r="AF129" s="135" t="str">
        <f>+INDEX('NGP Chairs CoChairs'!$A$2:$M$53,MATCH('Supersite Working-AW'!$Z153,'NGP Chairs CoChairs'!$A$2:$A$53,0),12)</f>
        <v>Beth Utton</v>
      </c>
      <c r="AG129" s="135" t="e">
        <f>+INDEX('NGP Chairs CoChairs'!$A$2:$M$53,MATCH('Supersite Working-AW'!$AA153,'NGP Chairs CoChairs'!$A$2:$A$53,0),12)</f>
        <v>#N/A</v>
      </c>
      <c r="AH129" s="69" t="str">
        <f>+INDEX('NGP Chairs CoChairs'!$A$2:$M$53,MATCH('Supersite Working-AW'!$X153,'NGP Chairs CoChairs'!$A$2:$A$53,0),7)</f>
        <v>3037757400</v>
      </c>
      <c r="AI129" s="69" t="str">
        <f>+INDEX('NGP Chairs CoChairs'!$A$2:$M$53,MATCH('Supersite Working-AW'!$Y153,'NGP Chairs CoChairs'!$A$2:$A$53,0),7)</f>
        <v>7205341960</v>
      </c>
      <c r="AJ129" s="69" t="str">
        <f>+INDEX('NGP Chairs CoChairs'!$A$2:$M$53,MATCH('Supersite Working-AW'!$Z153,'NGP Chairs CoChairs'!$A$2:$A$53,0),7)</f>
        <v>7205341960</v>
      </c>
      <c r="AK129" s="69" t="e">
        <f>+INDEX('NGP Chairs CoChairs'!$A$2:$M$53,MATCH('Supersite Working-AW'!$AA153,'NGP Chairs CoChairs'!$A$2:$A$53,0),7)</f>
        <v>#N/A</v>
      </c>
      <c r="AL129">
        <v>13</v>
      </c>
    </row>
    <row r="130" spans="1:38" ht="16" x14ac:dyDescent="0.2">
      <c r="A130" s="3" t="s">
        <v>407</v>
      </c>
      <c r="B130" s="86">
        <v>636</v>
      </c>
      <c r="C130" s="86" t="s">
        <v>403</v>
      </c>
      <c r="D130" s="86" t="s">
        <v>404</v>
      </c>
      <c r="E130" s="86" t="s">
        <v>405</v>
      </c>
      <c r="F130" s="86" t="s">
        <v>391</v>
      </c>
      <c r="G130" s="86" t="s">
        <v>243</v>
      </c>
      <c r="H130" s="86"/>
      <c r="I130" s="86">
        <v>2</v>
      </c>
      <c r="J130" s="86">
        <v>19</v>
      </c>
      <c r="K130" s="86">
        <v>17</v>
      </c>
      <c r="L130" s="88">
        <v>436</v>
      </c>
      <c r="M130" s="89">
        <f>(L130*$M$2)</f>
        <v>10.9</v>
      </c>
      <c r="N130" s="89"/>
      <c r="O130" s="86" t="s">
        <v>180</v>
      </c>
      <c r="P130" s="86" t="s">
        <v>392</v>
      </c>
      <c r="Q130" s="19" t="s">
        <v>393</v>
      </c>
      <c r="R130" s="129" t="s">
        <v>184</v>
      </c>
      <c r="S130" s="131" t="s">
        <v>394</v>
      </c>
      <c r="T130" s="131"/>
      <c r="U130" s="106" t="s">
        <v>56</v>
      </c>
      <c r="V130" s="19"/>
      <c r="W130" s="19"/>
      <c r="X130" s="19">
        <v>107152803</v>
      </c>
      <c r="Y130" s="19">
        <v>107152783</v>
      </c>
      <c r="Z130" s="19">
        <v>107152290</v>
      </c>
      <c r="AA130" s="19">
        <v>130838049</v>
      </c>
      <c r="AB130" s="19"/>
      <c r="AC130" s="19"/>
      <c r="AD130" s="135" t="str">
        <f>+INDEX('NGP Chairs CoChairs'!$A$2:$M$53,MATCH('Supersite Working-AW'!$X154,'NGP Chairs CoChairs'!$A$2:$A$53,0),12)</f>
        <v>Marisa Dirks</v>
      </c>
      <c r="AE130" s="135" t="str">
        <f>+INDEX('NGP Chairs CoChairs'!$A$2:$M$53,MATCH('Supersite Working-AW'!$Y154,'NGP Chairs CoChairs'!$A$2:$A$53,0),12)</f>
        <v>Stan Gelb</v>
      </c>
      <c r="AF130" s="135" t="str">
        <f>+INDEX('NGP Chairs CoChairs'!$A$2:$M$53,MATCH('Supersite Working-AW'!$Z154,'NGP Chairs CoChairs'!$A$2:$A$53,0),12)</f>
        <v>Beth Utton</v>
      </c>
      <c r="AG130" s="135" t="e">
        <f>+INDEX('NGP Chairs CoChairs'!$A$2:$M$53,MATCH('Supersite Working-AW'!$AA154,'NGP Chairs CoChairs'!$A$2:$A$53,0),12)</f>
        <v>#N/A</v>
      </c>
      <c r="AH130" s="69" t="str">
        <f>+INDEX('NGP Chairs CoChairs'!$A$2:$M$53,MATCH('Supersite Working-AW'!$X154,'NGP Chairs CoChairs'!$A$2:$A$53,0),7)</f>
        <v>3037757400</v>
      </c>
      <c r="AI130" s="69" t="str">
        <f>+INDEX('NGP Chairs CoChairs'!$A$2:$M$53,MATCH('Supersite Working-AW'!$Y154,'NGP Chairs CoChairs'!$A$2:$A$53,0),7)</f>
        <v>7205341960</v>
      </c>
      <c r="AJ130" s="69" t="str">
        <f>+INDEX('NGP Chairs CoChairs'!$A$2:$M$53,MATCH('Supersite Working-AW'!$Z154,'NGP Chairs CoChairs'!$A$2:$A$53,0),7)</f>
        <v>7205341960</v>
      </c>
      <c r="AK130" s="69" t="e">
        <f>+INDEX('NGP Chairs CoChairs'!$A$2:$M$53,MATCH('Supersite Working-AW'!$AA154,'NGP Chairs CoChairs'!$A$2:$A$53,0),7)</f>
        <v>#N/A</v>
      </c>
      <c r="AL130">
        <v>13</v>
      </c>
    </row>
    <row r="131" spans="1:38" ht="16" x14ac:dyDescent="0.2">
      <c r="A131" s="3" t="s">
        <v>407</v>
      </c>
      <c r="B131" s="86">
        <v>637</v>
      </c>
      <c r="C131" s="86" t="s">
        <v>403</v>
      </c>
      <c r="D131" s="86" t="s">
        <v>404</v>
      </c>
      <c r="E131" s="86" t="s">
        <v>405</v>
      </c>
      <c r="F131" s="86" t="s">
        <v>391</v>
      </c>
      <c r="G131" s="86" t="s">
        <v>243</v>
      </c>
      <c r="H131" s="86"/>
      <c r="I131" s="86">
        <v>2</v>
      </c>
      <c r="J131" s="86">
        <v>19</v>
      </c>
      <c r="K131" s="86">
        <v>17</v>
      </c>
      <c r="L131" s="88">
        <v>424</v>
      </c>
      <c r="M131" s="89">
        <f>(L131*$M$2)</f>
        <v>10.600000000000001</v>
      </c>
      <c r="N131" s="89">
        <f>SUM(M123:M131)</f>
        <v>86.175000000000011</v>
      </c>
      <c r="O131" s="86" t="s">
        <v>180</v>
      </c>
      <c r="P131" s="86" t="s">
        <v>392</v>
      </c>
      <c r="Q131" s="19" t="s">
        <v>393</v>
      </c>
      <c r="R131" s="129" t="s">
        <v>184</v>
      </c>
      <c r="S131" s="131" t="s">
        <v>394</v>
      </c>
      <c r="T131" s="131"/>
      <c r="U131" s="106" t="s">
        <v>56</v>
      </c>
      <c r="V131" s="19"/>
      <c r="W131" s="19"/>
      <c r="X131" s="19">
        <v>107152803</v>
      </c>
      <c r="Y131" s="19">
        <v>107152783</v>
      </c>
      <c r="Z131" s="19">
        <v>107152290</v>
      </c>
      <c r="AA131" s="19">
        <v>130838049</v>
      </c>
      <c r="AB131" s="19"/>
      <c r="AC131" s="19"/>
      <c r="AD131" s="135" t="str">
        <f>+INDEX('NGP Chairs CoChairs'!$A$2:$M$53,MATCH('Supersite Working-AW'!$X155,'NGP Chairs CoChairs'!$A$2:$A$53,0),12)</f>
        <v>Marisa Dirks</v>
      </c>
      <c r="AE131" s="135" t="str">
        <f>+INDEX('NGP Chairs CoChairs'!$A$2:$M$53,MATCH('Supersite Working-AW'!$Y155,'NGP Chairs CoChairs'!$A$2:$A$53,0),12)</f>
        <v>Stan Gelb</v>
      </c>
      <c r="AF131" s="135" t="str">
        <f>+INDEX('NGP Chairs CoChairs'!$A$2:$M$53,MATCH('Supersite Working-AW'!$Z155,'NGP Chairs CoChairs'!$A$2:$A$53,0),12)</f>
        <v>Beth Utton</v>
      </c>
      <c r="AG131" s="135" t="e">
        <f>+INDEX('NGP Chairs CoChairs'!$A$2:$M$53,MATCH('Supersite Working-AW'!$AA155,'NGP Chairs CoChairs'!$A$2:$A$53,0),12)</f>
        <v>#N/A</v>
      </c>
      <c r="AH131" s="69" t="str">
        <f>+INDEX('NGP Chairs CoChairs'!$A$2:$M$53,MATCH('Supersite Working-AW'!$X155,'NGP Chairs CoChairs'!$A$2:$A$53,0),7)</f>
        <v>3037757400</v>
      </c>
      <c r="AI131" s="69" t="str">
        <f>+INDEX('NGP Chairs CoChairs'!$A$2:$M$53,MATCH('Supersite Working-AW'!$Y155,'NGP Chairs CoChairs'!$A$2:$A$53,0),7)</f>
        <v>7205341960</v>
      </c>
      <c r="AJ131" s="69" t="str">
        <f>+INDEX('NGP Chairs CoChairs'!$A$2:$M$53,MATCH('Supersite Working-AW'!$Z155,'NGP Chairs CoChairs'!$A$2:$A$53,0),7)</f>
        <v>7205341960</v>
      </c>
      <c r="AK131" s="69" t="e">
        <f>+INDEX('NGP Chairs CoChairs'!$A$2:$M$53,MATCH('Supersite Working-AW'!$AA155,'NGP Chairs CoChairs'!$A$2:$A$53,0),7)</f>
        <v>#N/A</v>
      </c>
      <c r="AL131">
        <v>13</v>
      </c>
    </row>
    <row r="132" spans="1:38" ht="16" x14ac:dyDescent="0.2">
      <c r="A132" s="3" t="s">
        <v>388</v>
      </c>
      <c r="B132" s="86">
        <v>623</v>
      </c>
      <c r="C132" s="86" t="s">
        <v>389</v>
      </c>
      <c r="D132" s="86" t="s">
        <v>390</v>
      </c>
      <c r="E132" s="86" t="s">
        <v>95</v>
      </c>
      <c r="F132" s="86" t="s">
        <v>391</v>
      </c>
      <c r="G132" s="86" t="s">
        <v>243</v>
      </c>
      <c r="H132" s="86"/>
      <c r="I132" s="86">
        <v>2</v>
      </c>
      <c r="J132" s="86">
        <v>11</v>
      </c>
      <c r="K132" s="86">
        <v>17</v>
      </c>
      <c r="L132" s="88">
        <v>672</v>
      </c>
      <c r="M132" s="89">
        <f>(L132*$M$2)</f>
        <v>16.8</v>
      </c>
      <c r="N132" s="89"/>
      <c r="O132" s="86" t="s">
        <v>180</v>
      </c>
      <c r="P132" s="86" t="s">
        <v>392</v>
      </c>
      <c r="Q132" s="19" t="s">
        <v>393</v>
      </c>
      <c r="R132" s="129" t="s">
        <v>184</v>
      </c>
      <c r="S132" s="130" t="s">
        <v>394</v>
      </c>
      <c r="T132" s="130" t="s">
        <v>395</v>
      </c>
      <c r="U132" s="106" t="s">
        <v>56</v>
      </c>
      <c r="V132" s="19"/>
      <c r="W132" s="19"/>
      <c r="X132" s="19">
        <v>107152803</v>
      </c>
      <c r="Y132" s="19">
        <v>107152783</v>
      </c>
      <c r="Z132" s="19">
        <v>107152290</v>
      </c>
      <c r="AA132" s="19">
        <v>130838049</v>
      </c>
      <c r="AB132" s="19"/>
      <c r="AC132" s="19"/>
      <c r="AD132" s="135" t="str">
        <f>+INDEX('NGP Chairs CoChairs'!$A$2:$M$53,MATCH('Supersite Working-AW'!$X150,'NGP Chairs CoChairs'!$A$2:$A$53,0),12)</f>
        <v>Marisa Dirks</v>
      </c>
      <c r="AE132" s="135" t="str">
        <f>+INDEX('NGP Chairs CoChairs'!$A$2:$M$53,MATCH('Supersite Working-AW'!$Y150,'NGP Chairs CoChairs'!$A$2:$A$53,0),12)</f>
        <v>Stan Gelb</v>
      </c>
      <c r="AF132" s="135" t="str">
        <f>+INDEX('NGP Chairs CoChairs'!$A$2:$M$53,MATCH('Supersite Working-AW'!$Z150,'NGP Chairs CoChairs'!$A$2:$A$53,0),12)</f>
        <v>Beth Utton</v>
      </c>
      <c r="AG132" s="135" t="e">
        <f>+INDEX('NGP Chairs CoChairs'!$A$2:$M$53,MATCH('Supersite Working-AW'!$AA150,'NGP Chairs CoChairs'!$A$2:$A$53,0),12)</f>
        <v>#N/A</v>
      </c>
      <c r="AH132" s="69" t="str">
        <f>+INDEX('NGP Chairs CoChairs'!$A$2:$M$53,MATCH('Supersite Working-AW'!$X150,'NGP Chairs CoChairs'!$A$2:$A$53,0),7)</f>
        <v>3037757400</v>
      </c>
      <c r="AI132" s="69" t="str">
        <f>+INDEX('NGP Chairs CoChairs'!$A$2:$M$53,MATCH('Supersite Working-AW'!$Y150,'NGP Chairs CoChairs'!$A$2:$A$53,0),7)</f>
        <v>7205341960</v>
      </c>
      <c r="AJ132" s="69" t="str">
        <f>+INDEX('NGP Chairs CoChairs'!$A$2:$M$53,MATCH('Supersite Working-AW'!$Z150,'NGP Chairs CoChairs'!$A$2:$A$53,0),7)</f>
        <v>7205341960</v>
      </c>
      <c r="AK132" s="69" t="e">
        <f>+INDEX('NGP Chairs CoChairs'!$A$2:$M$53,MATCH('Supersite Working-AW'!$AA150,'NGP Chairs CoChairs'!$A$2:$A$53,0),7)</f>
        <v>#N/A</v>
      </c>
      <c r="AL132">
        <v>13</v>
      </c>
    </row>
    <row r="133" spans="1:38" ht="16" x14ac:dyDescent="0.2">
      <c r="A133" s="3" t="s">
        <v>388</v>
      </c>
      <c r="B133" s="86">
        <v>633</v>
      </c>
      <c r="C133" s="86" t="s">
        <v>389</v>
      </c>
      <c r="D133" s="86" t="s">
        <v>390</v>
      </c>
      <c r="E133" s="86" t="s">
        <v>95</v>
      </c>
      <c r="F133" s="86" t="s">
        <v>391</v>
      </c>
      <c r="G133" s="86" t="s">
        <v>243</v>
      </c>
      <c r="H133" s="86"/>
      <c r="I133" s="86">
        <v>2</v>
      </c>
      <c r="J133" s="86">
        <v>11</v>
      </c>
      <c r="K133" s="86">
        <v>17</v>
      </c>
      <c r="L133" s="88">
        <v>417</v>
      </c>
      <c r="M133" s="89">
        <f>(L133*$M$2)</f>
        <v>10.425000000000001</v>
      </c>
      <c r="N133" s="89"/>
      <c r="O133" s="86" t="s">
        <v>180</v>
      </c>
      <c r="P133" s="86" t="s">
        <v>392</v>
      </c>
      <c r="Q133" s="19" t="s">
        <v>393</v>
      </c>
      <c r="R133" s="129" t="s">
        <v>184</v>
      </c>
      <c r="S133" s="130" t="s">
        <v>394</v>
      </c>
      <c r="T133" s="130" t="s">
        <v>395</v>
      </c>
      <c r="U133" s="106" t="s">
        <v>56</v>
      </c>
      <c r="V133" s="19"/>
      <c r="W133" s="19"/>
      <c r="X133" s="19">
        <v>107152803</v>
      </c>
      <c r="Y133" s="19">
        <v>107152783</v>
      </c>
      <c r="Z133" s="19">
        <v>107152290</v>
      </c>
      <c r="AA133" s="19">
        <v>130838049</v>
      </c>
      <c r="AB133" s="19"/>
      <c r="AC133" s="19"/>
      <c r="AD133" s="135" t="str">
        <f>+INDEX('NGP Chairs CoChairs'!$A$2:$M$53,MATCH('Supersite Working-AW'!$X151,'NGP Chairs CoChairs'!$A$2:$A$53,0),12)</f>
        <v>Marisa Dirks</v>
      </c>
      <c r="AE133" s="135" t="str">
        <f>+INDEX('NGP Chairs CoChairs'!$A$2:$M$53,MATCH('Supersite Working-AW'!$Y151,'NGP Chairs CoChairs'!$A$2:$A$53,0),12)</f>
        <v>Stan Gelb</v>
      </c>
      <c r="AF133" s="135" t="str">
        <f>+INDEX('NGP Chairs CoChairs'!$A$2:$M$53,MATCH('Supersite Working-AW'!$Z151,'NGP Chairs CoChairs'!$A$2:$A$53,0),12)</f>
        <v>Beth Utton</v>
      </c>
      <c r="AG133" s="135" t="e">
        <f>+INDEX('NGP Chairs CoChairs'!$A$2:$M$53,MATCH('Supersite Working-AW'!$AA151,'NGP Chairs CoChairs'!$A$2:$A$53,0),12)</f>
        <v>#N/A</v>
      </c>
      <c r="AH133" s="69" t="str">
        <f>+INDEX('NGP Chairs CoChairs'!$A$2:$M$53,MATCH('Supersite Working-AW'!$X151,'NGP Chairs CoChairs'!$A$2:$A$53,0),7)</f>
        <v>3037757400</v>
      </c>
      <c r="AI133" s="69" t="str">
        <f>+INDEX('NGP Chairs CoChairs'!$A$2:$M$53,MATCH('Supersite Working-AW'!$Y151,'NGP Chairs CoChairs'!$A$2:$A$53,0),7)</f>
        <v>7205341960</v>
      </c>
      <c r="AJ133" s="69" t="str">
        <f>+INDEX('NGP Chairs CoChairs'!$A$2:$M$53,MATCH('Supersite Working-AW'!$Z151,'NGP Chairs CoChairs'!$A$2:$A$53,0),7)</f>
        <v>7205341960</v>
      </c>
      <c r="AK133" s="69" t="e">
        <f>+INDEX('NGP Chairs CoChairs'!$A$2:$M$53,MATCH('Supersite Working-AW'!$AA151,'NGP Chairs CoChairs'!$A$2:$A$53,0),7)</f>
        <v>#N/A</v>
      </c>
      <c r="AL133">
        <v>13</v>
      </c>
    </row>
    <row r="134" spans="1:38" ht="16" x14ac:dyDescent="0.2">
      <c r="A134" s="3" t="s">
        <v>388</v>
      </c>
      <c r="B134" s="86">
        <v>634</v>
      </c>
      <c r="C134" s="86" t="s">
        <v>389</v>
      </c>
      <c r="D134" s="86" t="s">
        <v>390</v>
      </c>
      <c r="E134" s="86" t="s">
        <v>95</v>
      </c>
      <c r="F134" s="86" t="s">
        <v>391</v>
      </c>
      <c r="G134" s="86" t="s">
        <v>243</v>
      </c>
      <c r="H134" s="86"/>
      <c r="I134" s="86">
        <v>2</v>
      </c>
      <c r="J134" s="86">
        <v>11</v>
      </c>
      <c r="K134" s="86">
        <v>17</v>
      </c>
      <c r="L134" s="88">
        <v>452</v>
      </c>
      <c r="M134" s="89">
        <f>(L134*$M$2)</f>
        <v>11.3</v>
      </c>
      <c r="N134" s="89"/>
      <c r="O134" s="86" t="s">
        <v>180</v>
      </c>
      <c r="P134" s="86" t="s">
        <v>392</v>
      </c>
      <c r="Q134" s="19" t="s">
        <v>393</v>
      </c>
      <c r="R134" s="129" t="s">
        <v>184</v>
      </c>
      <c r="S134" s="130" t="s">
        <v>394</v>
      </c>
      <c r="T134" s="130" t="s">
        <v>395</v>
      </c>
      <c r="U134" s="106" t="s">
        <v>56</v>
      </c>
      <c r="V134" s="19"/>
      <c r="W134" s="19"/>
      <c r="X134" s="19">
        <v>107152803</v>
      </c>
      <c r="Y134" s="19">
        <v>107152783</v>
      </c>
      <c r="Z134" s="19">
        <v>107152290</v>
      </c>
      <c r="AA134" s="19">
        <v>130838049</v>
      </c>
      <c r="AB134" s="19"/>
      <c r="AC134" s="19"/>
      <c r="AD134" s="135" t="str">
        <f>+INDEX('NGP Chairs CoChairs'!$A$2:$M$53,MATCH('Supersite Working-AW'!$X152,'NGP Chairs CoChairs'!$A$2:$A$53,0),12)</f>
        <v>Marisa Dirks</v>
      </c>
      <c r="AE134" s="135" t="str">
        <f>+INDEX('NGP Chairs CoChairs'!$A$2:$M$53,MATCH('Supersite Working-AW'!$Y152,'NGP Chairs CoChairs'!$A$2:$A$53,0),12)</f>
        <v>Stan Gelb</v>
      </c>
      <c r="AF134" s="135" t="str">
        <f>+INDEX('NGP Chairs CoChairs'!$A$2:$M$53,MATCH('Supersite Working-AW'!$Z152,'NGP Chairs CoChairs'!$A$2:$A$53,0),12)</f>
        <v>Beth Utton</v>
      </c>
      <c r="AG134" s="135" t="e">
        <f>+INDEX('NGP Chairs CoChairs'!$A$2:$M$53,MATCH('Supersite Working-AW'!$AA152,'NGP Chairs CoChairs'!$A$2:$A$53,0),12)</f>
        <v>#N/A</v>
      </c>
      <c r="AH134" s="69" t="str">
        <f>+INDEX('NGP Chairs CoChairs'!$A$2:$M$53,MATCH('Supersite Working-AW'!$X152,'NGP Chairs CoChairs'!$A$2:$A$53,0),7)</f>
        <v>3037757400</v>
      </c>
      <c r="AI134" s="69" t="str">
        <f>+INDEX('NGP Chairs CoChairs'!$A$2:$M$53,MATCH('Supersite Working-AW'!$Y152,'NGP Chairs CoChairs'!$A$2:$A$53,0),7)</f>
        <v>7205341960</v>
      </c>
      <c r="AJ134" s="69" t="str">
        <f>+INDEX('NGP Chairs CoChairs'!$A$2:$M$53,MATCH('Supersite Working-AW'!$Z152,'NGP Chairs CoChairs'!$A$2:$A$53,0),7)</f>
        <v>7205341960</v>
      </c>
      <c r="AK134" s="69" t="e">
        <f>+INDEX('NGP Chairs CoChairs'!$A$2:$M$53,MATCH('Supersite Working-AW'!$AA152,'NGP Chairs CoChairs'!$A$2:$A$53,0),7)</f>
        <v>#N/A</v>
      </c>
      <c r="AL134">
        <v>13</v>
      </c>
    </row>
    <row r="135" spans="1:38" ht="16" x14ac:dyDescent="0.2">
      <c r="A135" s="3" t="s">
        <v>388</v>
      </c>
      <c r="B135" s="86">
        <v>638</v>
      </c>
      <c r="C135" s="86" t="s">
        <v>389</v>
      </c>
      <c r="D135" s="86" t="s">
        <v>390</v>
      </c>
      <c r="E135" s="86" t="s">
        <v>95</v>
      </c>
      <c r="F135" s="86" t="s">
        <v>391</v>
      </c>
      <c r="G135" s="86" t="s">
        <v>243</v>
      </c>
      <c r="H135" s="86"/>
      <c r="I135" s="86">
        <v>2</v>
      </c>
      <c r="J135" s="86">
        <v>11</v>
      </c>
      <c r="K135" s="86">
        <v>17</v>
      </c>
      <c r="L135" s="88">
        <v>271</v>
      </c>
      <c r="M135" s="89">
        <f>(L135*$M$2)</f>
        <v>6.7750000000000004</v>
      </c>
      <c r="N135" s="89"/>
      <c r="O135" s="86" t="s">
        <v>180</v>
      </c>
      <c r="P135" s="86" t="s">
        <v>392</v>
      </c>
      <c r="Q135" s="19" t="s">
        <v>393</v>
      </c>
      <c r="R135" s="129" t="s">
        <v>184</v>
      </c>
      <c r="S135" s="130" t="s">
        <v>394</v>
      </c>
      <c r="T135" s="130" t="s">
        <v>395</v>
      </c>
      <c r="U135" s="106" t="s">
        <v>56</v>
      </c>
      <c r="V135" s="19"/>
      <c r="W135" s="19"/>
      <c r="X135" s="19">
        <v>107152803</v>
      </c>
      <c r="Y135" s="19">
        <v>107152783</v>
      </c>
      <c r="Z135" s="19">
        <v>107152290</v>
      </c>
      <c r="AA135" s="19">
        <v>130838049</v>
      </c>
      <c r="AB135" s="19"/>
      <c r="AC135" s="19"/>
      <c r="AD135" s="135" t="str">
        <f>+INDEX('NGP Chairs CoChairs'!$A$2:$M$53,MATCH('Supersite Working-AW'!$X156,'NGP Chairs CoChairs'!$A$2:$A$53,0),12)</f>
        <v>Marisa Dirks</v>
      </c>
      <c r="AE135" s="135" t="str">
        <f>+INDEX('NGP Chairs CoChairs'!$A$2:$M$53,MATCH('Supersite Working-AW'!$Y156,'NGP Chairs CoChairs'!$A$2:$A$53,0),12)</f>
        <v>Stan Gelb</v>
      </c>
      <c r="AF135" s="135" t="str">
        <f>+INDEX('NGP Chairs CoChairs'!$A$2:$M$53,MATCH('Supersite Working-AW'!$Z156,'NGP Chairs CoChairs'!$A$2:$A$53,0),12)</f>
        <v>Beth Utton</v>
      </c>
      <c r="AG135" s="135" t="e">
        <f>+INDEX('NGP Chairs CoChairs'!$A$2:$M$53,MATCH('Supersite Working-AW'!$AA156,'NGP Chairs CoChairs'!$A$2:$A$53,0),12)</f>
        <v>#N/A</v>
      </c>
      <c r="AH135" s="69" t="str">
        <f>+INDEX('NGP Chairs CoChairs'!$A$2:$M$53,MATCH('Supersite Working-AW'!$X156,'NGP Chairs CoChairs'!$A$2:$A$53,0),7)</f>
        <v>3037757400</v>
      </c>
      <c r="AI135" s="69" t="str">
        <f>+INDEX('NGP Chairs CoChairs'!$A$2:$M$53,MATCH('Supersite Working-AW'!$Y156,'NGP Chairs CoChairs'!$A$2:$A$53,0),7)</f>
        <v>7205341960</v>
      </c>
      <c r="AJ135" s="69" t="str">
        <f>+INDEX('NGP Chairs CoChairs'!$A$2:$M$53,MATCH('Supersite Working-AW'!$Z156,'NGP Chairs CoChairs'!$A$2:$A$53,0),7)</f>
        <v>7205341960</v>
      </c>
      <c r="AK135" s="69" t="e">
        <f>+INDEX('NGP Chairs CoChairs'!$A$2:$M$53,MATCH('Supersite Working-AW'!$AA156,'NGP Chairs CoChairs'!$A$2:$A$53,0),7)</f>
        <v>#N/A</v>
      </c>
      <c r="AL135">
        <v>13</v>
      </c>
    </row>
    <row r="136" spans="1:38" ht="16" x14ac:dyDescent="0.2">
      <c r="A136" s="3" t="s">
        <v>388</v>
      </c>
      <c r="B136" s="86">
        <v>639</v>
      </c>
      <c r="C136" s="86" t="s">
        <v>389</v>
      </c>
      <c r="D136" s="86" t="s">
        <v>390</v>
      </c>
      <c r="E136" s="86" t="s">
        <v>95</v>
      </c>
      <c r="F136" s="86" t="s">
        <v>391</v>
      </c>
      <c r="G136" s="86" t="s">
        <v>243</v>
      </c>
      <c r="H136" s="86"/>
      <c r="I136" s="86">
        <v>2</v>
      </c>
      <c r="J136" s="86">
        <v>11</v>
      </c>
      <c r="K136" s="86">
        <v>17</v>
      </c>
      <c r="L136" s="88">
        <v>299</v>
      </c>
      <c r="M136" s="89">
        <f>(L136*$M$2)</f>
        <v>7.4750000000000005</v>
      </c>
      <c r="N136" s="89"/>
      <c r="O136" s="86" t="s">
        <v>180</v>
      </c>
      <c r="P136" s="86" t="s">
        <v>392</v>
      </c>
      <c r="Q136" s="19" t="s">
        <v>393</v>
      </c>
      <c r="R136" s="129" t="s">
        <v>184</v>
      </c>
      <c r="S136" s="130" t="s">
        <v>394</v>
      </c>
      <c r="T136" s="130" t="s">
        <v>395</v>
      </c>
      <c r="U136" s="106" t="s">
        <v>56</v>
      </c>
      <c r="V136" s="19"/>
      <c r="W136" s="19"/>
      <c r="X136" s="19">
        <v>107152803</v>
      </c>
      <c r="Y136" s="19">
        <v>107152783</v>
      </c>
      <c r="Z136" s="19">
        <v>107152290</v>
      </c>
      <c r="AA136" s="19">
        <v>130838049</v>
      </c>
      <c r="AB136" s="19"/>
      <c r="AC136" s="19"/>
      <c r="AD136" s="135" t="str">
        <f>+INDEX('NGP Chairs CoChairs'!$A$2:$M$53,MATCH('Supersite Working-AW'!$X157,'NGP Chairs CoChairs'!$A$2:$A$53,0),12)</f>
        <v>Marisa Dirks</v>
      </c>
      <c r="AE136" s="135" t="str">
        <f>+INDEX('NGP Chairs CoChairs'!$A$2:$M$53,MATCH('Supersite Working-AW'!$Y157,'NGP Chairs CoChairs'!$A$2:$A$53,0),12)</f>
        <v>Stan Gelb</v>
      </c>
      <c r="AF136" s="135" t="str">
        <f>+INDEX('NGP Chairs CoChairs'!$A$2:$M$53,MATCH('Supersite Working-AW'!$Z157,'NGP Chairs CoChairs'!$A$2:$A$53,0),12)</f>
        <v>Beth Utton</v>
      </c>
      <c r="AG136" s="135" t="e">
        <f>+INDEX('NGP Chairs CoChairs'!$A$2:$M$53,MATCH('Supersite Working-AW'!$AA157,'NGP Chairs CoChairs'!$A$2:$A$53,0),12)</f>
        <v>#N/A</v>
      </c>
      <c r="AH136" s="69" t="str">
        <f>+INDEX('NGP Chairs CoChairs'!$A$2:$M$53,MATCH('Supersite Working-AW'!$X157,'NGP Chairs CoChairs'!$A$2:$A$53,0),7)</f>
        <v>3037757400</v>
      </c>
      <c r="AI136" s="69" t="str">
        <f>+INDEX('NGP Chairs CoChairs'!$A$2:$M$53,MATCH('Supersite Working-AW'!$Y157,'NGP Chairs CoChairs'!$A$2:$A$53,0),7)</f>
        <v>7205341960</v>
      </c>
      <c r="AJ136" s="69" t="str">
        <f>+INDEX('NGP Chairs CoChairs'!$A$2:$M$53,MATCH('Supersite Working-AW'!$Z157,'NGP Chairs CoChairs'!$A$2:$A$53,0),7)</f>
        <v>7205341960</v>
      </c>
      <c r="AK136" s="69" t="e">
        <f>+INDEX('NGP Chairs CoChairs'!$A$2:$M$53,MATCH('Supersite Working-AW'!$AA157,'NGP Chairs CoChairs'!$A$2:$A$53,0),7)</f>
        <v>#N/A</v>
      </c>
      <c r="AL136">
        <v>13</v>
      </c>
    </row>
    <row r="137" spans="1:38" ht="16" x14ac:dyDescent="0.2">
      <c r="A137" s="3" t="s">
        <v>388</v>
      </c>
      <c r="B137" s="86">
        <v>640</v>
      </c>
      <c r="C137" s="86" t="s">
        <v>389</v>
      </c>
      <c r="D137" s="86" t="s">
        <v>390</v>
      </c>
      <c r="E137" s="86" t="s">
        <v>95</v>
      </c>
      <c r="F137" s="86" t="s">
        <v>391</v>
      </c>
      <c r="G137" s="86" t="s">
        <v>243</v>
      </c>
      <c r="H137" s="86"/>
      <c r="I137" s="86">
        <v>2</v>
      </c>
      <c r="J137" s="86">
        <v>11</v>
      </c>
      <c r="K137" s="86">
        <v>17</v>
      </c>
      <c r="L137" s="88">
        <v>409</v>
      </c>
      <c r="M137" s="89">
        <f>(L137*$M$2)</f>
        <v>10.225000000000001</v>
      </c>
      <c r="N137" s="89"/>
      <c r="O137" s="86" t="s">
        <v>180</v>
      </c>
      <c r="P137" s="86" t="s">
        <v>392</v>
      </c>
      <c r="Q137" s="19" t="s">
        <v>393</v>
      </c>
      <c r="R137" s="129" t="s">
        <v>184</v>
      </c>
      <c r="S137" s="130" t="s">
        <v>394</v>
      </c>
      <c r="T137" s="130" t="s">
        <v>395</v>
      </c>
      <c r="U137" s="106" t="s">
        <v>56</v>
      </c>
      <c r="V137" s="19"/>
      <c r="W137" s="19"/>
      <c r="X137" s="19">
        <v>107152803</v>
      </c>
      <c r="Y137" s="19">
        <v>107152783</v>
      </c>
      <c r="Z137" s="19">
        <v>107152290</v>
      </c>
      <c r="AA137" s="19">
        <v>130838049</v>
      </c>
      <c r="AB137" s="19"/>
      <c r="AC137" s="19"/>
      <c r="AD137" s="135" t="str">
        <f>+INDEX('NGP Chairs CoChairs'!$A$2:$M$53,MATCH('Supersite Working-AW'!$X158,'NGP Chairs CoChairs'!$A$2:$A$53,0),12)</f>
        <v>Angelique Layton</v>
      </c>
      <c r="AE137" s="135" t="str">
        <f>+INDEX('NGP Chairs CoChairs'!$A$2:$M$53,MATCH('Supersite Working-AW'!$Y158,'NGP Chairs CoChairs'!$A$2:$A$53,0),12)</f>
        <v>Linda Lee</v>
      </c>
      <c r="AF137" s="135" t="e">
        <f>+INDEX('NGP Chairs CoChairs'!$A$2:$M$53,MATCH('Supersite Working-AW'!$Z158,'NGP Chairs CoChairs'!$A$2:$A$53,0),12)</f>
        <v>#N/A</v>
      </c>
      <c r="AG137" s="135" t="e">
        <f>+INDEX('NGP Chairs CoChairs'!$A$2:$M$53,MATCH('Supersite Working-AW'!$AA158,'NGP Chairs CoChairs'!$A$2:$A$53,0),12)</f>
        <v>#N/A</v>
      </c>
      <c r="AH137" s="69" t="str">
        <f>+INDEX('NGP Chairs CoChairs'!$A$2:$M$53,MATCH('Supersite Working-AW'!$X158,'NGP Chairs CoChairs'!$A$2:$A$53,0),7)</f>
        <v>7209349497</v>
      </c>
      <c r="AI137" s="69" t="str">
        <f>+INDEX('NGP Chairs CoChairs'!$A$2:$M$53,MATCH('Supersite Working-AW'!$Y158,'NGP Chairs CoChairs'!$A$2:$A$53,0),7)</f>
        <v>3039815392</v>
      </c>
      <c r="AJ137" s="69" t="e">
        <f>+INDEX('NGP Chairs CoChairs'!$A$2:$M$53,MATCH('Supersite Working-AW'!$Z158,'NGP Chairs CoChairs'!$A$2:$A$53,0),7)</f>
        <v>#N/A</v>
      </c>
      <c r="AK137" s="69" t="e">
        <f>+INDEX('NGP Chairs CoChairs'!$A$2:$M$53,MATCH('Supersite Working-AW'!$AA158,'NGP Chairs CoChairs'!$A$2:$A$53,0),7)</f>
        <v>#N/A</v>
      </c>
      <c r="AL137">
        <v>13</v>
      </c>
    </row>
    <row r="138" spans="1:38" ht="16" x14ac:dyDescent="0.2">
      <c r="A138" s="3" t="s">
        <v>388</v>
      </c>
      <c r="B138" s="86">
        <v>650</v>
      </c>
      <c r="C138" s="86" t="s">
        <v>389</v>
      </c>
      <c r="D138" s="86" t="s">
        <v>390</v>
      </c>
      <c r="E138" s="86" t="s">
        <v>95</v>
      </c>
      <c r="F138" s="86" t="s">
        <v>391</v>
      </c>
      <c r="G138" s="86" t="s">
        <v>243</v>
      </c>
      <c r="H138" s="86"/>
      <c r="I138" s="86">
        <v>2</v>
      </c>
      <c r="J138" s="86">
        <v>11</v>
      </c>
      <c r="K138" s="86">
        <v>17</v>
      </c>
      <c r="L138" s="88">
        <v>383</v>
      </c>
      <c r="M138" s="89">
        <f>(L138*$M$2)</f>
        <v>9.5750000000000011</v>
      </c>
      <c r="N138" s="89"/>
      <c r="O138" s="86" t="s">
        <v>180</v>
      </c>
      <c r="P138" s="86" t="s">
        <v>392</v>
      </c>
      <c r="Q138" s="19" t="s">
        <v>393</v>
      </c>
      <c r="R138" s="129" t="s">
        <v>184</v>
      </c>
      <c r="S138" s="130" t="s">
        <v>394</v>
      </c>
      <c r="T138" s="130" t="s">
        <v>395</v>
      </c>
      <c r="U138" s="106" t="s">
        <v>56</v>
      </c>
      <c r="V138" s="19"/>
      <c r="W138" s="19"/>
      <c r="X138" s="19">
        <v>107152803</v>
      </c>
      <c r="Y138" s="19">
        <v>107152783</v>
      </c>
      <c r="Z138" s="19">
        <v>107152290</v>
      </c>
      <c r="AA138" s="19">
        <v>130838049</v>
      </c>
      <c r="AB138" s="19"/>
      <c r="AC138" s="19"/>
      <c r="AD138" s="135" t="str">
        <f>+INDEX('NGP Chairs CoChairs'!$A$2:$M$53,MATCH('Supersite Working-AW'!$X159,'NGP Chairs CoChairs'!$A$2:$A$53,0),12)</f>
        <v>Angelique Layton</v>
      </c>
      <c r="AE138" s="135" t="str">
        <f>+INDEX('NGP Chairs CoChairs'!$A$2:$M$53,MATCH('Supersite Working-AW'!$Y159,'NGP Chairs CoChairs'!$A$2:$A$53,0),12)</f>
        <v>Linda Lee</v>
      </c>
      <c r="AF138" s="135" t="e">
        <f>+INDEX('NGP Chairs CoChairs'!$A$2:$M$53,MATCH('Supersite Working-AW'!$Z159,'NGP Chairs CoChairs'!$A$2:$A$53,0),12)</f>
        <v>#N/A</v>
      </c>
      <c r="AG138" s="135" t="e">
        <f>+INDEX('NGP Chairs CoChairs'!$A$2:$M$53,MATCH('Supersite Working-AW'!$AA159,'NGP Chairs CoChairs'!$A$2:$A$53,0),12)</f>
        <v>#N/A</v>
      </c>
      <c r="AH138" s="69" t="str">
        <f>+INDEX('NGP Chairs CoChairs'!$A$2:$M$53,MATCH('Supersite Working-AW'!$X159,'NGP Chairs CoChairs'!$A$2:$A$53,0),7)</f>
        <v>7209349497</v>
      </c>
      <c r="AI138" s="69" t="str">
        <f>+INDEX('NGP Chairs CoChairs'!$A$2:$M$53,MATCH('Supersite Working-AW'!$Y159,'NGP Chairs CoChairs'!$A$2:$A$53,0),7)</f>
        <v>3039815392</v>
      </c>
      <c r="AJ138" s="69" t="e">
        <f>+INDEX('NGP Chairs CoChairs'!$A$2:$M$53,MATCH('Supersite Working-AW'!$Z159,'NGP Chairs CoChairs'!$A$2:$A$53,0),7)</f>
        <v>#N/A</v>
      </c>
      <c r="AK138" s="69" t="e">
        <f>+INDEX('NGP Chairs CoChairs'!$A$2:$M$53,MATCH('Supersite Working-AW'!$AA159,'NGP Chairs CoChairs'!$A$2:$A$53,0),7)</f>
        <v>#N/A</v>
      </c>
      <c r="AL138">
        <v>13</v>
      </c>
    </row>
    <row r="139" spans="1:38" ht="16" x14ac:dyDescent="0.2">
      <c r="A139" s="3" t="s">
        <v>388</v>
      </c>
      <c r="B139" s="86">
        <v>651</v>
      </c>
      <c r="C139" s="86" t="s">
        <v>389</v>
      </c>
      <c r="D139" s="86" t="s">
        <v>390</v>
      </c>
      <c r="E139" s="86" t="s">
        <v>95</v>
      </c>
      <c r="F139" s="86" t="s">
        <v>391</v>
      </c>
      <c r="G139" s="86" t="s">
        <v>243</v>
      </c>
      <c r="H139" s="86"/>
      <c r="I139" s="86">
        <v>2</v>
      </c>
      <c r="J139" s="86">
        <v>11</v>
      </c>
      <c r="K139" s="86">
        <v>17</v>
      </c>
      <c r="L139" s="88">
        <v>678</v>
      </c>
      <c r="M139" s="89">
        <f>(L139*$M$2)</f>
        <v>16.95</v>
      </c>
      <c r="N139" s="89">
        <f>SUM(M132:M139)</f>
        <v>89.525000000000006</v>
      </c>
      <c r="O139" s="86" t="s">
        <v>180</v>
      </c>
      <c r="P139" s="86" t="s">
        <v>392</v>
      </c>
      <c r="Q139" s="19" t="s">
        <v>393</v>
      </c>
      <c r="R139" s="129" t="s">
        <v>184</v>
      </c>
      <c r="S139" s="130" t="s">
        <v>394</v>
      </c>
      <c r="T139" s="130" t="s">
        <v>395</v>
      </c>
      <c r="U139" s="106" t="s">
        <v>56</v>
      </c>
      <c r="V139" s="19"/>
      <c r="W139" s="19"/>
      <c r="X139" s="19">
        <v>107152803</v>
      </c>
      <c r="Y139" s="19">
        <v>107152783</v>
      </c>
      <c r="Z139" s="19">
        <v>107152290</v>
      </c>
      <c r="AA139" s="19">
        <v>130838049</v>
      </c>
      <c r="AB139" s="19"/>
      <c r="AC139" s="19"/>
      <c r="AD139" s="135" t="str">
        <f>+INDEX('NGP Chairs CoChairs'!$A$2:$M$53,MATCH('Supersite Working-AW'!$X160,'NGP Chairs CoChairs'!$A$2:$A$53,0),12)</f>
        <v>Angelique Layton</v>
      </c>
      <c r="AE139" s="135" t="str">
        <f>+INDEX('NGP Chairs CoChairs'!$A$2:$M$53,MATCH('Supersite Working-AW'!$Y160,'NGP Chairs CoChairs'!$A$2:$A$53,0),12)</f>
        <v>Linda Lee</v>
      </c>
      <c r="AF139" s="135" t="e">
        <f>+INDEX('NGP Chairs CoChairs'!$A$2:$M$53,MATCH('Supersite Working-AW'!$Z160,'NGP Chairs CoChairs'!$A$2:$A$53,0),12)</f>
        <v>#N/A</v>
      </c>
      <c r="AG139" s="135" t="e">
        <f>+INDEX('NGP Chairs CoChairs'!$A$2:$M$53,MATCH('Supersite Working-AW'!$AA160,'NGP Chairs CoChairs'!$A$2:$A$53,0),12)</f>
        <v>#N/A</v>
      </c>
      <c r="AH139" s="69" t="str">
        <f>+INDEX('NGP Chairs CoChairs'!$A$2:$M$53,MATCH('Supersite Working-AW'!$X160,'NGP Chairs CoChairs'!$A$2:$A$53,0),7)</f>
        <v>7209349497</v>
      </c>
      <c r="AI139" s="69" t="str">
        <f>+INDEX('NGP Chairs CoChairs'!$A$2:$M$53,MATCH('Supersite Working-AW'!$Y160,'NGP Chairs CoChairs'!$A$2:$A$53,0),7)</f>
        <v>3039815392</v>
      </c>
      <c r="AJ139" s="69" t="e">
        <f>+INDEX('NGP Chairs CoChairs'!$A$2:$M$53,MATCH('Supersite Working-AW'!$Z160,'NGP Chairs CoChairs'!$A$2:$A$53,0),7)</f>
        <v>#N/A</v>
      </c>
      <c r="AK139" s="69" t="e">
        <f>+INDEX('NGP Chairs CoChairs'!$A$2:$M$53,MATCH('Supersite Working-AW'!$AA160,'NGP Chairs CoChairs'!$A$2:$A$53,0),7)</f>
        <v>#N/A</v>
      </c>
      <c r="AL139">
        <v>13</v>
      </c>
    </row>
    <row r="140" spans="1:38" ht="16" x14ac:dyDescent="0.2">
      <c r="A140" s="3" t="s">
        <v>388</v>
      </c>
      <c r="B140" s="86">
        <v>626</v>
      </c>
      <c r="C140" s="86" t="s">
        <v>396</v>
      </c>
      <c r="D140" s="86" t="s">
        <v>397</v>
      </c>
      <c r="E140" s="86" t="s">
        <v>398</v>
      </c>
      <c r="F140" s="86" t="s">
        <v>399</v>
      </c>
      <c r="G140" s="86" t="s">
        <v>243</v>
      </c>
      <c r="H140" s="86"/>
      <c r="I140" s="86">
        <v>2</v>
      </c>
      <c r="J140" s="86">
        <v>11</v>
      </c>
      <c r="K140" s="86">
        <v>17</v>
      </c>
      <c r="L140" s="88">
        <v>579</v>
      </c>
      <c r="M140" s="89">
        <f>(L140*$M$2)</f>
        <v>14.475000000000001</v>
      </c>
      <c r="N140" s="89"/>
      <c r="O140" s="86" t="s">
        <v>180</v>
      </c>
      <c r="P140" s="19" t="s">
        <v>400</v>
      </c>
      <c r="Q140" s="19" t="s">
        <v>401</v>
      </c>
      <c r="R140" s="129" t="s">
        <v>60</v>
      </c>
      <c r="S140" s="130" t="s">
        <v>335</v>
      </c>
      <c r="T140" s="130" t="s">
        <v>395</v>
      </c>
      <c r="U140" s="106" t="s">
        <v>56</v>
      </c>
      <c r="V140" s="19"/>
      <c r="W140" s="19"/>
      <c r="X140" s="19">
        <v>137032958</v>
      </c>
      <c r="Y140" s="19">
        <v>108682188</v>
      </c>
      <c r="Z140" s="19">
        <v>107153112</v>
      </c>
      <c r="AA140" s="19"/>
      <c r="AB140" s="19"/>
      <c r="AC140" s="19"/>
      <c r="AD140" s="135" t="str">
        <f>+INDEX('NGP Chairs CoChairs'!$A$2:$M$53,MATCH('Supersite Working-AW'!$X127,'NGP Chairs CoChairs'!$A$2:$A$53,0),12)</f>
        <v>Lynne McNamara</v>
      </c>
      <c r="AE140" s="135" t="str">
        <f>+INDEX('NGP Chairs CoChairs'!$A$2:$M$53,MATCH('Supersite Working-AW'!$Y127,'NGP Chairs CoChairs'!$A$2:$A$53,0),12)</f>
        <v>Lynette McClain</v>
      </c>
      <c r="AF140" s="135" t="str">
        <f>+INDEX('NGP Chairs CoChairs'!$A$2:$M$53,MATCH('Supersite Working-AW'!$Z127,'NGP Chairs CoChairs'!$A$2:$A$53,0),12)</f>
        <v>Virginia Carlson</v>
      </c>
      <c r="AG140" s="135" t="str">
        <f>+INDEX('NGP Chairs CoChairs'!$A$2:$M$53,MATCH('Supersite Working-AW'!$AA127,'NGP Chairs CoChairs'!$A$2:$A$53,0),12)</f>
        <v>Marcela Stras</v>
      </c>
      <c r="AH140" s="69" t="str">
        <f>+INDEX('NGP Chairs CoChairs'!$A$2:$M$53,MATCH('Supersite Working-AW'!$X127,'NGP Chairs CoChairs'!$A$2:$A$53,0),7)</f>
        <v>4108187383</v>
      </c>
      <c r="AI140" s="69" t="str">
        <f>+INDEX('NGP Chairs CoChairs'!$A$2:$M$53,MATCH('Supersite Working-AW'!$Y127,'NGP Chairs CoChairs'!$A$2:$A$53,0),7)</f>
        <v>3036817722</v>
      </c>
      <c r="AJ140" s="69" t="str">
        <f>+INDEX('NGP Chairs CoChairs'!$A$2:$M$53,MATCH('Supersite Working-AW'!$Z127,'NGP Chairs CoChairs'!$A$2:$A$53,0),7)</f>
        <v>7203082474</v>
      </c>
      <c r="AK140" s="69" t="str">
        <f>+INDEX('NGP Chairs CoChairs'!$A$2:$M$53,MATCH('Supersite Working-AW'!$AA127,'NGP Chairs CoChairs'!$A$2:$A$53,0),7)</f>
        <v>2408990037</v>
      </c>
      <c r="AL140">
        <v>12</v>
      </c>
    </row>
    <row r="141" spans="1:38" ht="16" x14ac:dyDescent="0.2">
      <c r="A141" s="3" t="s">
        <v>402</v>
      </c>
      <c r="B141" s="86">
        <v>627</v>
      </c>
      <c r="C141" s="86" t="s">
        <v>396</v>
      </c>
      <c r="D141" s="86" t="s">
        <v>397</v>
      </c>
      <c r="E141" s="86" t="s">
        <v>398</v>
      </c>
      <c r="F141" s="86" t="s">
        <v>399</v>
      </c>
      <c r="G141" s="86" t="s">
        <v>243</v>
      </c>
      <c r="H141" s="86"/>
      <c r="I141" s="86">
        <v>2</v>
      </c>
      <c r="J141" s="86">
        <v>11</v>
      </c>
      <c r="K141" s="86">
        <v>17</v>
      </c>
      <c r="L141" s="88">
        <v>297</v>
      </c>
      <c r="M141" s="89">
        <f>(L141*$M$2)</f>
        <v>7.4250000000000007</v>
      </c>
      <c r="N141" s="89"/>
      <c r="O141" s="86" t="s">
        <v>180</v>
      </c>
      <c r="P141" s="19" t="s">
        <v>400</v>
      </c>
      <c r="Q141" s="19"/>
      <c r="R141" s="129" t="s">
        <v>60</v>
      </c>
      <c r="S141" s="130" t="s">
        <v>335</v>
      </c>
      <c r="T141" s="130" t="s">
        <v>395</v>
      </c>
      <c r="U141" s="106" t="s">
        <v>56</v>
      </c>
      <c r="V141" s="19"/>
      <c r="W141" s="19"/>
      <c r="X141" s="19">
        <v>137032958</v>
      </c>
      <c r="Y141" s="19">
        <v>108682188</v>
      </c>
      <c r="Z141" s="19">
        <v>107153112</v>
      </c>
      <c r="AA141" s="19"/>
      <c r="AB141" s="19"/>
      <c r="AC141" s="19"/>
      <c r="AD141" s="135" t="str">
        <f>+INDEX('NGP Chairs CoChairs'!$A$2:$M$53,MATCH('Supersite Working-AW'!$X128,'NGP Chairs CoChairs'!$A$2:$A$53,0),12)</f>
        <v>Lynne McNamara</v>
      </c>
      <c r="AE141" s="135" t="str">
        <f>+INDEX('NGP Chairs CoChairs'!$A$2:$M$53,MATCH('Supersite Working-AW'!$Y128,'NGP Chairs CoChairs'!$A$2:$A$53,0),12)</f>
        <v>Lynette McClain</v>
      </c>
      <c r="AF141" s="135" t="str">
        <f>+INDEX('NGP Chairs CoChairs'!$A$2:$M$53,MATCH('Supersite Working-AW'!$Z128,'NGP Chairs CoChairs'!$A$2:$A$53,0),12)</f>
        <v>Virginia Carlson</v>
      </c>
      <c r="AG141" s="135" t="str">
        <f>+INDEX('NGP Chairs CoChairs'!$A$2:$M$53,MATCH('Supersite Working-AW'!$AA128,'NGP Chairs CoChairs'!$A$2:$A$53,0),12)</f>
        <v>Marcela Stras</v>
      </c>
      <c r="AH141" s="69" t="str">
        <f>+INDEX('NGP Chairs CoChairs'!$A$2:$M$53,MATCH('Supersite Working-AW'!$X128,'NGP Chairs CoChairs'!$A$2:$A$53,0),7)</f>
        <v>4108187383</v>
      </c>
      <c r="AI141" s="69" t="str">
        <f>+INDEX('NGP Chairs CoChairs'!$A$2:$M$53,MATCH('Supersite Working-AW'!$Y128,'NGP Chairs CoChairs'!$A$2:$A$53,0),7)</f>
        <v>3036817722</v>
      </c>
      <c r="AJ141" s="69" t="str">
        <f>+INDEX('NGP Chairs CoChairs'!$A$2:$M$53,MATCH('Supersite Working-AW'!$Z128,'NGP Chairs CoChairs'!$A$2:$A$53,0),7)</f>
        <v>7203082474</v>
      </c>
      <c r="AK141" s="69" t="str">
        <f>+INDEX('NGP Chairs CoChairs'!$A$2:$M$53,MATCH('Supersite Working-AW'!$AA128,'NGP Chairs CoChairs'!$A$2:$A$53,0),7)</f>
        <v>2408990037</v>
      </c>
      <c r="AL141">
        <v>12</v>
      </c>
    </row>
    <row r="142" spans="1:38" ht="16" x14ac:dyDescent="0.2">
      <c r="A142" s="3" t="s">
        <v>402</v>
      </c>
      <c r="B142" s="86">
        <v>628</v>
      </c>
      <c r="C142" s="86" t="s">
        <v>396</v>
      </c>
      <c r="D142" s="86" t="s">
        <v>397</v>
      </c>
      <c r="E142" s="86" t="s">
        <v>398</v>
      </c>
      <c r="F142" s="86" t="s">
        <v>399</v>
      </c>
      <c r="G142" s="86" t="s">
        <v>243</v>
      </c>
      <c r="H142" s="86"/>
      <c r="I142" s="86">
        <v>2</v>
      </c>
      <c r="J142" s="86">
        <v>11</v>
      </c>
      <c r="K142" s="86">
        <v>17</v>
      </c>
      <c r="L142" s="88">
        <v>307</v>
      </c>
      <c r="M142" s="89">
        <f>(L142*$M$2)</f>
        <v>7.6750000000000007</v>
      </c>
      <c r="N142" s="89"/>
      <c r="O142" s="86" t="s">
        <v>180</v>
      </c>
      <c r="P142" s="19" t="s">
        <v>400</v>
      </c>
      <c r="Q142" s="19"/>
      <c r="R142" s="129" t="s">
        <v>60</v>
      </c>
      <c r="S142" s="130" t="s">
        <v>335</v>
      </c>
      <c r="T142" s="130" t="s">
        <v>395</v>
      </c>
      <c r="U142" s="106" t="s">
        <v>56</v>
      </c>
      <c r="V142" s="19"/>
      <c r="W142" s="19"/>
      <c r="X142" s="19">
        <v>137032958</v>
      </c>
      <c r="Y142" s="19">
        <v>108682188</v>
      </c>
      <c r="Z142" s="19">
        <v>107153112</v>
      </c>
      <c r="AA142" s="19"/>
      <c r="AB142" s="19"/>
      <c r="AC142" s="19"/>
      <c r="AD142" s="135" t="str">
        <f>+INDEX('NGP Chairs CoChairs'!$A$2:$M$53,MATCH('Supersite Working-AW'!$X129,'NGP Chairs CoChairs'!$A$2:$A$53,0),12)</f>
        <v>Lynne McNamara</v>
      </c>
      <c r="AE142" s="135" t="str">
        <f>+INDEX('NGP Chairs CoChairs'!$A$2:$M$53,MATCH('Supersite Working-AW'!$Y129,'NGP Chairs CoChairs'!$A$2:$A$53,0),12)</f>
        <v>Lynette McClain</v>
      </c>
      <c r="AF142" s="135" t="str">
        <f>+INDEX('NGP Chairs CoChairs'!$A$2:$M$53,MATCH('Supersite Working-AW'!$Z129,'NGP Chairs CoChairs'!$A$2:$A$53,0),12)</f>
        <v>Virginia Carlson</v>
      </c>
      <c r="AG142" s="135" t="str">
        <f>+INDEX('NGP Chairs CoChairs'!$A$2:$M$53,MATCH('Supersite Working-AW'!$AA129,'NGP Chairs CoChairs'!$A$2:$A$53,0),12)</f>
        <v>Marcela Stras</v>
      </c>
      <c r="AH142" s="69" t="str">
        <f>+INDEX('NGP Chairs CoChairs'!$A$2:$M$53,MATCH('Supersite Working-AW'!$X129,'NGP Chairs CoChairs'!$A$2:$A$53,0),7)</f>
        <v>4108187383</v>
      </c>
      <c r="AI142" s="69" t="str">
        <f>+INDEX('NGP Chairs CoChairs'!$A$2:$M$53,MATCH('Supersite Working-AW'!$Y129,'NGP Chairs CoChairs'!$A$2:$A$53,0),7)</f>
        <v>3036817722</v>
      </c>
      <c r="AJ142" s="69" t="str">
        <f>+INDEX('NGP Chairs CoChairs'!$A$2:$M$53,MATCH('Supersite Working-AW'!$Z129,'NGP Chairs CoChairs'!$A$2:$A$53,0),7)</f>
        <v>7203082474</v>
      </c>
      <c r="AK142" s="69" t="str">
        <f>+INDEX('NGP Chairs CoChairs'!$A$2:$M$53,MATCH('Supersite Working-AW'!$AA129,'NGP Chairs CoChairs'!$A$2:$A$53,0),7)</f>
        <v>2408990037</v>
      </c>
      <c r="AL142">
        <v>12</v>
      </c>
    </row>
    <row r="143" spans="1:38" ht="16" x14ac:dyDescent="0.2">
      <c r="A143" s="3" t="s">
        <v>402</v>
      </c>
      <c r="B143" s="86">
        <v>629</v>
      </c>
      <c r="C143" s="86" t="s">
        <v>396</v>
      </c>
      <c r="D143" s="86" t="s">
        <v>397</v>
      </c>
      <c r="E143" s="86" t="s">
        <v>398</v>
      </c>
      <c r="F143" s="86" t="s">
        <v>399</v>
      </c>
      <c r="G143" s="86" t="s">
        <v>243</v>
      </c>
      <c r="H143" s="86"/>
      <c r="I143" s="86">
        <v>2</v>
      </c>
      <c r="J143" s="86">
        <v>11</v>
      </c>
      <c r="K143" s="86">
        <v>17</v>
      </c>
      <c r="L143" s="88">
        <v>420</v>
      </c>
      <c r="M143" s="89">
        <f>(L143*$M$2)</f>
        <v>10.5</v>
      </c>
      <c r="N143" s="89"/>
      <c r="O143" s="86" t="s">
        <v>180</v>
      </c>
      <c r="P143" s="19" t="s">
        <v>400</v>
      </c>
      <c r="Q143" s="19"/>
      <c r="R143" s="129" t="s">
        <v>60</v>
      </c>
      <c r="S143" s="130" t="s">
        <v>335</v>
      </c>
      <c r="T143" s="130" t="s">
        <v>395</v>
      </c>
      <c r="U143" s="106" t="s">
        <v>56</v>
      </c>
      <c r="V143" s="19"/>
      <c r="W143" s="19"/>
      <c r="X143" s="19">
        <v>137032958</v>
      </c>
      <c r="Y143" s="19">
        <v>108682188</v>
      </c>
      <c r="Z143" s="19">
        <v>107153112</v>
      </c>
      <c r="AA143" s="19"/>
      <c r="AB143" s="19"/>
      <c r="AC143" s="19"/>
      <c r="AD143" s="135" t="str">
        <f>+INDEX('NGP Chairs CoChairs'!$A$2:$M$53,MATCH('Supersite Working-AW'!$X130,'NGP Chairs CoChairs'!$A$2:$A$53,0),12)</f>
        <v>Lynne McNamara</v>
      </c>
      <c r="AE143" s="135" t="str">
        <f>+INDEX('NGP Chairs CoChairs'!$A$2:$M$53,MATCH('Supersite Working-AW'!$Y130,'NGP Chairs CoChairs'!$A$2:$A$53,0),12)</f>
        <v>Lynette McClain</v>
      </c>
      <c r="AF143" s="135" t="str">
        <f>+INDEX('NGP Chairs CoChairs'!$A$2:$M$53,MATCH('Supersite Working-AW'!$Z130,'NGP Chairs CoChairs'!$A$2:$A$53,0),12)</f>
        <v>Virginia Carlson</v>
      </c>
      <c r="AG143" s="135" t="str">
        <f>+INDEX('NGP Chairs CoChairs'!$A$2:$M$53,MATCH('Supersite Working-AW'!$AA130,'NGP Chairs CoChairs'!$A$2:$A$53,0),12)</f>
        <v>Marcela Stras</v>
      </c>
      <c r="AH143" s="69" t="str">
        <f>+INDEX('NGP Chairs CoChairs'!$A$2:$M$53,MATCH('Supersite Working-AW'!$X130,'NGP Chairs CoChairs'!$A$2:$A$53,0),7)</f>
        <v>4108187383</v>
      </c>
      <c r="AI143" s="69" t="str">
        <f>+INDEX('NGP Chairs CoChairs'!$A$2:$M$53,MATCH('Supersite Working-AW'!$Y130,'NGP Chairs CoChairs'!$A$2:$A$53,0),7)</f>
        <v>3036817722</v>
      </c>
      <c r="AJ143" s="69" t="str">
        <f>+INDEX('NGP Chairs CoChairs'!$A$2:$M$53,MATCH('Supersite Working-AW'!$Z130,'NGP Chairs CoChairs'!$A$2:$A$53,0),7)</f>
        <v>7203082474</v>
      </c>
      <c r="AK143" s="69" t="str">
        <f>+INDEX('NGP Chairs CoChairs'!$A$2:$M$53,MATCH('Supersite Working-AW'!$AA130,'NGP Chairs CoChairs'!$A$2:$A$53,0),7)</f>
        <v>2408990037</v>
      </c>
      <c r="AL143">
        <v>12</v>
      </c>
    </row>
    <row r="144" spans="1:38" ht="16" x14ac:dyDescent="0.2">
      <c r="A144" s="3" t="s">
        <v>402</v>
      </c>
      <c r="B144" s="86">
        <v>643</v>
      </c>
      <c r="C144" s="86" t="s">
        <v>396</v>
      </c>
      <c r="D144" s="86" t="s">
        <v>397</v>
      </c>
      <c r="E144" s="86" t="s">
        <v>398</v>
      </c>
      <c r="F144" s="86" t="s">
        <v>399</v>
      </c>
      <c r="G144" s="86" t="s">
        <v>243</v>
      </c>
      <c r="H144" s="86"/>
      <c r="I144" s="86">
        <v>2</v>
      </c>
      <c r="J144" s="86">
        <v>11</v>
      </c>
      <c r="K144" s="86">
        <v>17</v>
      </c>
      <c r="L144" s="88">
        <v>298</v>
      </c>
      <c r="M144" s="89">
        <f>(L144*$M$2)</f>
        <v>7.45</v>
      </c>
      <c r="N144" s="89"/>
      <c r="O144" s="86" t="s">
        <v>180</v>
      </c>
      <c r="P144" s="19" t="s">
        <v>400</v>
      </c>
      <c r="Q144" s="19"/>
      <c r="R144" s="129" t="s">
        <v>60</v>
      </c>
      <c r="S144" s="130" t="s">
        <v>335</v>
      </c>
      <c r="T144" s="130" t="s">
        <v>395</v>
      </c>
      <c r="U144" s="106" t="s">
        <v>56</v>
      </c>
      <c r="V144" s="19"/>
      <c r="W144" s="19"/>
      <c r="X144" s="19">
        <v>137032958</v>
      </c>
      <c r="Y144" s="19">
        <v>108682188</v>
      </c>
      <c r="Z144" s="19">
        <v>107153112</v>
      </c>
      <c r="AA144" s="19"/>
      <c r="AB144" s="19"/>
      <c r="AC144" s="19"/>
      <c r="AD144" s="135" t="str">
        <f>+INDEX('NGP Chairs CoChairs'!$A$2:$M$53,MATCH('Supersite Working-AW'!$X134,'NGP Chairs CoChairs'!$A$2:$A$53,0),12)</f>
        <v>Lynne McNamara</v>
      </c>
      <c r="AE144" s="135" t="str">
        <f>+INDEX('NGP Chairs CoChairs'!$A$2:$M$53,MATCH('Supersite Working-AW'!$Y134,'NGP Chairs CoChairs'!$A$2:$A$53,0),12)</f>
        <v>Lynette McClain</v>
      </c>
      <c r="AF144" s="135" t="str">
        <f>+INDEX('NGP Chairs CoChairs'!$A$2:$M$53,MATCH('Supersite Working-AW'!$Z134,'NGP Chairs CoChairs'!$A$2:$A$53,0),12)</f>
        <v>Virginia Carlson</v>
      </c>
      <c r="AG144" s="135" t="str">
        <f>+INDEX('NGP Chairs CoChairs'!$A$2:$M$53,MATCH('Supersite Working-AW'!$AA134,'NGP Chairs CoChairs'!$A$2:$A$53,0),12)</f>
        <v>Marcela Stras</v>
      </c>
      <c r="AH144" s="69" t="str">
        <f>+INDEX('NGP Chairs CoChairs'!$A$2:$M$53,MATCH('Supersite Working-AW'!$X134,'NGP Chairs CoChairs'!$A$2:$A$53,0),7)</f>
        <v>4108187383</v>
      </c>
      <c r="AI144" s="69" t="str">
        <f>+INDEX('NGP Chairs CoChairs'!$A$2:$M$53,MATCH('Supersite Working-AW'!$Y134,'NGP Chairs CoChairs'!$A$2:$A$53,0),7)</f>
        <v>3036817722</v>
      </c>
      <c r="AJ144" s="69" t="str">
        <f>+INDEX('NGP Chairs CoChairs'!$A$2:$M$53,MATCH('Supersite Working-AW'!$Z134,'NGP Chairs CoChairs'!$A$2:$A$53,0),7)</f>
        <v>7203082474</v>
      </c>
      <c r="AK144" s="69" t="str">
        <f>+INDEX('NGP Chairs CoChairs'!$A$2:$M$53,MATCH('Supersite Working-AW'!$AA134,'NGP Chairs CoChairs'!$A$2:$A$53,0),7)</f>
        <v>2408990037</v>
      </c>
      <c r="AL144">
        <v>12</v>
      </c>
    </row>
    <row r="145" spans="1:38" ht="16" x14ac:dyDescent="0.2">
      <c r="A145" s="3" t="s">
        <v>402</v>
      </c>
      <c r="B145" s="86">
        <v>644</v>
      </c>
      <c r="C145" s="86" t="s">
        <v>396</v>
      </c>
      <c r="D145" s="86" t="s">
        <v>397</v>
      </c>
      <c r="E145" s="86" t="s">
        <v>398</v>
      </c>
      <c r="F145" s="86" t="s">
        <v>399</v>
      </c>
      <c r="G145" s="86" t="s">
        <v>243</v>
      </c>
      <c r="H145" s="86"/>
      <c r="I145" s="86">
        <v>2</v>
      </c>
      <c r="J145" s="86">
        <v>11</v>
      </c>
      <c r="K145" s="86">
        <v>17</v>
      </c>
      <c r="L145" s="88">
        <v>283</v>
      </c>
      <c r="M145" s="89">
        <f>(L145*$M$2)</f>
        <v>7.0750000000000002</v>
      </c>
      <c r="N145" s="89"/>
      <c r="O145" s="86" t="s">
        <v>180</v>
      </c>
      <c r="P145" s="19" t="s">
        <v>400</v>
      </c>
      <c r="Q145" s="19"/>
      <c r="R145" s="129" t="s">
        <v>60</v>
      </c>
      <c r="S145" s="130" t="s">
        <v>335</v>
      </c>
      <c r="T145" s="130" t="s">
        <v>395</v>
      </c>
      <c r="U145" s="106" t="s">
        <v>56</v>
      </c>
      <c r="V145" s="19"/>
      <c r="W145" s="19"/>
      <c r="X145" s="19">
        <v>137032958</v>
      </c>
      <c r="Y145" s="19">
        <v>108682188</v>
      </c>
      <c r="Z145" s="19">
        <v>107153112</v>
      </c>
      <c r="AA145" s="19"/>
      <c r="AB145" s="19"/>
      <c r="AC145" s="19"/>
      <c r="AD145" s="135" t="str">
        <f>+INDEX('NGP Chairs CoChairs'!$A$2:$M$53,MATCH('Supersite Working-AW'!$X135,'NGP Chairs CoChairs'!$A$2:$A$53,0),12)</f>
        <v>Lynne McNamara</v>
      </c>
      <c r="AE145" s="135" t="str">
        <f>+INDEX('NGP Chairs CoChairs'!$A$2:$M$53,MATCH('Supersite Working-AW'!$Y135,'NGP Chairs CoChairs'!$A$2:$A$53,0),12)</f>
        <v>Lynette McClain</v>
      </c>
      <c r="AF145" s="135" t="str">
        <f>+INDEX('NGP Chairs CoChairs'!$A$2:$M$53,MATCH('Supersite Working-AW'!$Z135,'NGP Chairs CoChairs'!$A$2:$A$53,0),12)</f>
        <v>Virginia Carlson</v>
      </c>
      <c r="AG145" s="135" t="str">
        <f>+INDEX('NGP Chairs CoChairs'!$A$2:$M$53,MATCH('Supersite Working-AW'!$AA135,'NGP Chairs CoChairs'!$A$2:$A$53,0),12)</f>
        <v>Marcela Stras</v>
      </c>
      <c r="AH145" s="69" t="str">
        <f>+INDEX('NGP Chairs CoChairs'!$A$2:$M$53,MATCH('Supersite Working-AW'!$X135,'NGP Chairs CoChairs'!$A$2:$A$53,0),7)</f>
        <v>4108187383</v>
      </c>
      <c r="AI145" s="69" t="str">
        <f>+INDEX('NGP Chairs CoChairs'!$A$2:$M$53,MATCH('Supersite Working-AW'!$Y135,'NGP Chairs CoChairs'!$A$2:$A$53,0),7)</f>
        <v>3036817722</v>
      </c>
      <c r="AJ145" s="69" t="str">
        <f>+INDEX('NGP Chairs CoChairs'!$A$2:$M$53,MATCH('Supersite Working-AW'!$Z135,'NGP Chairs CoChairs'!$A$2:$A$53,0),7)</f>
        <v>7203082474</v>
      </c>
      <c r="AK145" s="69" t="str">
        <f>+INDEX('NGP Chairs CoChairs'!$A$2:$M$53,MATCH('Supersite Working-AW'!$AA135,'NGP Chairs CoChairs'!$A$2:$A$53,0),7)</f>
        <v>2408990037</v>
      </c>
      <c r="AL145">
        <v>12</v>
      </c>
    </row>
    <row r="146" spans="1:38" ht="16" x14ac:dyDescent="0.2">
      <c r="A146" s="3" t="s">
        <v>402</v>
      </c>
      <c r="B146" s="86">
        <v>645</v>
      </c>
      <c r="C146" s="86" t="s">
        <v>396</v>
      </c>
      <c r="D146" s="86" t="s">
        <v>397</v>
      </c>
      <c r="E146" s="86" t="s">
        <v>398</v>
      </c>
      <c r="F146" s="86" t="s">
        <v>399</v>
      </c>
      <c r="G146" s="86" t="s">
        <v>243</v>
      </c>
      <c r="H146" s="86"/>
      <c r="I146" s="86">
        <v>2</v>
      </c>
      <c r="J146" s="86">
        <v>11</v>
      </c>
      <c r="K146" s="86">
        <v>17</v>
      </c>
      <c r="L146" s="88">
        <v>492</v>
      </c>
      <c r="M146" s="89">
        <f>(L146*$M$2)</f>
        <v>12.3</v>
      </c>
      <c r="N146" s="89"/>
      <c r="O146" s="86" t="s">
        <v>180</v>
      </c>
      <c r="P146" s="19" t="s">
        <v>400</v>
      </c>
      <c r="Q146" s="19"/>
      <c r="R146" s="129" t="s">
        <v>60</v>
      </c>
      <c r="S146" s="130" t="s">
        <v>335</v>
      </c>
      <c r="T146" s="130" t="s">
        <v>395</v>
      </c>
      <c r="U146" s="106" t="s">
        <v>56</v>
      </c>
      <c r="V146" s="19"/>
      <c r="W146" s="19"/>
      <c r="X146" s="19">
        <v>137032958</v>
      </c>
      <c r="Y146" s="19">
        <v>108682188</v>
      </c>
      <c r="Z146" s="19">
        <v>107153112</v>
      </c>
      <c r="AA146" s="19"/>
      <c r="AB146" s="19"/>
      <c r="AC146" s="19"/>
      <c r="AD146" s="135" t="str">
        <f>+INDEX('NGP Chairs CoChairs'!$A$2:$M$53,MATCH('Supersite Working-AW'!$X136,'NGP Chairs CoChairs'!$A$2:$A$53,0),12)</f>
        <v>Lynne McNamara</v>
      </c>
      <c r="AE146" s="135" t="str">
        <f>+INDEX('NGP Chairs CoChairs'!$A$2:$M$53,MATCH('Supersite Working-AW'!$Y136,'NGP Chairs CoChairs'!$A$2:$A$53,0),12)</f>
        <v>Lynette McClain</v>
      </c>
      <c r="AF146" s="135" t="str">
        <f>+INDEX('NGP Chairs CoChairs'!$A$2:$M$53,MATCH('Supersite Working-AW'!$Z136,'NGP Chairs CoChairs'!$A$2:$A$53,0),12)</f>
        <v>Virginia Carlson</v>
      </c>
      <c r="AG146" s="135" t="str">
        <f>+INDEX('NGP Chairs CoChairs'!$A$2:$M$53,MATCH('Supersite Working-AW'!$AA136,'NGP Chairs CoChairs'!$A$2:$A$53,0),12)</f>
        <v>Marcela Stras</v>
      </c>
      <c r="AH146" s="69" t="str">
        <f>+INDEX('NGP Chairs CoChairs'!$A$2:$M$53,MATCH('Supersite Working-AW'!$X136,'NGP Chairs CoChairs'!$A$2:$A$53,0),7)</f>
        <v>4108187383</v>
      </c>
      <c r="AI146" s="69" t="str">
        <f>+INDEX('NGP Chairs CoChairs'!$A$2:$M$53,MATCH('Supersite Working-AW'!$Y136,'NGP Chairs CoChairs'!$A$2:$A$53,0),7)</f>
        <v>3036817722</v>
      </c>
      <c r="AJ146" s="69" t="str">
        <f>+INDEX('NGP Chairs CoChairs'!$A$2:$M$53,MATCH('Supersite Working-AW'!$Z136,'NGP Chairs CoChairs'!$A$2:$A$53,0),7)</f>
        <v>7203082474</v>
      </c>
      <c r="AK146" s="69" t="str">
        <f>+INDEX('NGP Chairs CoChairs'!$A$2:$M$53,MATCH('Supersite Working-AW'!$AA136,'NGP Chairs CoChairs'!$A$2:$A$53,0),7)</f>
        <v>2408990037</v>
      </c>
      <c r="AL146">
        <v>12</v>
      </c>
    </row>
    <row r="147" spans="1:38" ht="16" x14ac:dyDescent="0.2">
      <c r="A147" s="3" t="s">
        <v>402</v>
      </c>
      <c r="B147" s="86">
        <v>646</v>
      </c>
      <c r="C147" s="86" t="s">
        <v>396</v>
      </c>
      <c r="D147" s="86" t="s">
        <v>397</v>
      </c>
      <c r="E147" s="86" t="s">
        <v>398</v>
      </c>
      <c r="F147" s="86" t="s">
        <v>399</v>
      </c>
      <c r="G147" s="86" t="s">
        <v>243</v>
      </c>
      <c r="H147" s="86"/>
      <c r="I147" s="86">
        <v>2</v>
      </c>
      <c r="J147" s="86">
        <v>11</v>
      </c>
      <c r="K147" s="86">
        <v>17</v>
      </c>
      <c r="L147" s="88">
        <v>210</v>
      </c>
      <c r="M147" s="89">
        <f>(L147*$M$2)</f>
        <v>5.25</v>
      </c>
      <c r="N147" s="89">
        <f>SUM(M140:M147)</f>
        <v>72.150000000000006</v>
      </c>
      <c r="O147" s="86" t="s">
        <v>180</v>
      </c>
      <c r="P147" s="19" t="s">
        <v>400</v>
      </c>
      <c r="Q147" s="19"/>
      <c r="R147" s="129" t="s">
        <v>60</v>
      </c>
      <c r="S147" s="130" t="s">
        <v>335</v>
      </c>
      <c r="T147" s="130" t="s">
        <v>395</v>
      </c>
      <c r="U147" s="106" t="s">
        <v>56</v>
      </c>
      <c r="V147" s="19"/>
      <c r="W147" s="19"/>
      <c r="X147" s="19">
        <v>137032958</v>
      </c>
      <c r="Y147" s="19">
        <v>108682188</v>
      </c>
      <c r="Z147" s="19">
        <v>107153112</v>
      </c>
      <c r="AA147" s="19"/>
      <c r="AB147" s="19"/>
      <c r="AC147" s="19"/>
      <c r="AD147" s="135" t="str">
        <f>+INDEX('NGP Chairs CoChairs'!$A$2:$M$53,MATCH('Supersite Working-AW'!$X137,'NGP Chairs CoChairs'!$A$2:$A$53,0),12)</f>
        <v>Lynne McNamara</v>
      </c>
      <c r="AE147" s="135" t="str">
        <f>+INDEX('NGP Chairs CoChairs'!$A$2:$M$53,MATCH('Supersite Working-AW'!$Y137,'NGP Chairs CoChairs'!$A$2:$A$53,0),12)</f>
        <v>Lynette McClain</v>
      </c>
      <c r="AF147" s="135" t="str">
        <f>+INDEX('NGP Chairs CoChairs'!$A$2:$M$53,MATCH('Supersite Working-AW'!$Z137,'NGP Chairs CoChairs'!$A$2:$A$53,0),12)</f>
        <v>Virginia Carlson</v>
      </c>
      <c r="AG147" s="135" t="str">
        <f>+INDEX('NGP Chairs CoChairs'!$A$2:$M$53,MATCH('Supersite Working-AW'!$AA137,'NGP Chairs CoChairs'!$A$2:$A$53,0),12)</f>
        <v>Marcela Stras</v>
      </c>
      <c r="AH147" s="69" t="str">
        <f>+INDEX('NGP Chairs CoChairs'!$A$2:$M$53,MATCH('Supersite Working-AW'!$X137,'NGP Chairs CoChairs'!$A$2:$A$53,0),7)</f>
        <v>4108187383</v>
      </c>
      <c r="AI147" s="69" t="str">
        <f>+INDEX('NGP Chairs CoChairs'!$A$2:$M$53,MATCH('Supersite Working-AW'!$Y137,'NGP Chairs CoChairs'!$A$2:$A$53,0),7)</f>
        <v>3036817722</v>
      </c>
      <c r="AJ147" s="69" t="str">
        <f>+INDEX('NGP Chairs CoChairs'!$A$2:$M$53,MATCH('Supersite Working-AW'!$Z137,'NGP Chairs CoChairs'!$A$2:$A$53,0),7)</f>
        <v>7203082474</v>
      </c>
      <c r="AK147" s="69" t="str">
        <f>+INDEX('NGP Chairs CoChairs'!$A$2:$M$53,MATCH('Supersite Working-AW'!$AA137,'NGP Chairs CoChairs'!$A$2:$A$53,0),7)</f>
        <v>2408990037</v>
      </c>
      <c r="AL147">
        <v>12</v>
      </c>
    </row>
    <row r="148" spans="1:38" ht="16" x14ac:dyDescent="0.2">
      <c r="A148" s="3" t="s">
        <v>408</v>
      </c>
      <c r="B148" s="86">
        <v>617</v>
      </c>
      <c r="C148" s="86" t="s">
        <v>409</v>
      </c>
      <c r="D148" s="86" t="s">
        <v>410</v>
      </c>
      <c r="E148" s="86" t="s">
        <v>411</v>
      </c>
      <c r="F148" s="86" t="s">
        <v>399</v>
      </c>
      <c r="G148" s="86" t="s">
        <v>243</v>
      </c>
      <c r="H148" s="86"/>
      <c r="I148" s="86">
        <v>2</v>
      </c>
      <c r="J148" s="86">
        <v>11</v>
      </c>
      <c r="K148" s="86">
        <v>17</v>
      </c>
      <c r="L148" s="88">
        <v>616</v>
      </c>
      <c r="M148" s="89">
        <f>(L148*$M$2)</f>
        <v>15.4</v>
      </c>
      <c r="N148" s="89"/>
      <c r="O148" s="86" t="s">
        <v>180</v>
      </c>
      <c r="P148" s="86" t="s">
        <v>412</v>
      </c>
      <c r="Q148" s="19"/>
      <c r="R148" s="133" t="s">
        <v>60</v>
      </c>
      <c r="S148" s="131" t="s">
        <v>335</v>
      </c>
      <c r="T148" s="131"/>
      <c r="U148" s="106" t="s">
        <v>56</v>
      </c>
      <c r="V148" s="19"/>
      <c r="W148" s="19"/>
      <c r="X148" s="19">
        <v>137032958</v>
      </c>
      <c r="Y148" s="19">
        <v>108682188</v>
      </c>
      <c r="Z148" s="19">
        <v>107153112</v>
      </c>
      <c r="AA148" s="19"/>
      <c r="AB148" s="19"/>
      <c r="AC148" s="19"/>
      <c r="AD148" s="135" t="str">
        <f>+INDEX('NGP Chairs CoChairs'!$A$2:$M$53,MATCH('Supersite Working-AW'!$X126,'NGP Chairs CoChairs'!$A$2:$A$53,0),12)</f>
        <v>Lynne McNamara</v>
      </c>
      <c r="AE148" s="135" t="str">
        <f>+INDEX('NGP Chairs CoChairs'!$A$2:$M$53,MATCH('Supersite Working-AW'!$Y126,'NGP Chairs CoChairs'!$A$2:$A$53,0),12)</f>
        <v>Lynette McClain</v>
      </c>
      <c r="AF148" s="135" t="str">
        <f>+INDEX('NGP Chairs CoChairs'!$A$2:$M$53,MATCH('Supersite Working-AW'!$Z126,'NGP Chairs CoChairs'!$A$2:$A$53,0),12)</f>
        <v>Virginia Carlson</v>
      </c>
      <c r="AG148" s="135" t="str">
        <f>+INDEX('NGP Chairs CoChairs'!$A$2:$M$53,MATCH('Supersite Working-AW'!$AA126,'NGP Chairs CoChairs'!$A$2:$A$53,0),12)</f>
        <v>Marcela Stras</v>
      </c>
      <c r="AH148" s="69" t="str">
        <f>+INDEX('NGP Chairs CoChairs'!$A$2:$M$53,MATCH('Supersite Working-AW'!$X126,'NGP Chairs CoChairs'!$A$2:$A$53,0),7)</f>
        <v>4108187383</v>
      </c>
      <c r="AI148" s="69" t="str">
        <f>+INDEX('NGP Chairs CoChairs'!$A$2:$M$53,MATCH('Supersite Working-AW'!$Y126,'NGP Chairs CoChairs'!$A$2:$A$53,0),7)</f>
        <v>3036817722</v>
      </c>
      <c r="AJ148" s="69" t="str">
        <f>+INDEX('NGP Chairs CoChairs'!$A$2:$M$53,MATCH('Supersite Working-AW'!$Z126,'NGP Chairs CoChairs'!$A$2:$A$53,0),7)</f>
        <v>7203082474</v>
      </c>
      <c r="AK148" s="69" t="str">
        <f>+INDEX('NGP Chairs CoChairs'!$A$2:$M$53,MATCH('Supersite Working-AW'!$AA126,'NGP Chairs CoChairs'!$A$2:$A$53,0),7)</f>
        <v>2408990037</v>
      </c>
      <c r="AL148">
        <v>12</v>
      </c>
    </row>
    <row r="149" spans="1:38" ht="16" x14ac:dyDescent="0.2">
      <c r="A149" s="3" t="s">
        <v>408</v>
      </c>
      <c r="B149" s="86">
        <v>632</v>
      </c>
      <c r="C149" s="86" t="s">
        <v>409</v>
      </c>
      <c r="D149" s="86" t="s">
        <v>410</v>
      </c>
      <c r="E149" s="86" t="s">
        <v>411</v>
      </c>
      <c r="F149" s="86" t="s">
        <v>399</v>
      </c>
      <c r="G149" s="86" t="s">
        <v>243</v>
      </c>
      <c r="H149" s="86"/>
      <c r="I149" s="86">
        <v>2</v>
      </c>
      <c r="J149" s="86">
        <v>11</v>
      </c>
      <c r="K149" s="86">
        <v>17</v>
      </c>
      <c r="L149" s="88">
        <v>332</v>
      </c>
      <c r="M149" s="89">
        <f>(L149*$M$2)</f>
        <v>8.3000000000000007</v>
      </c>
      <c r="N149" s="89"/>
      <c r="O149" s="86" t="s">
        <v>180</v>
      </c>
      <c r="P149" s="86" t="s">
        <v>412</v>
      </c>
      <c r="Q149" s="19"/>
      <c r="R149" s="133" t="s">
        <v>60</v>
      </c>
      <c r="S149" s="131" t="s">
        <v>335</v>
      </c>
      <c r="T149" s="131"/>
      <c r="U149" s="106" t="s">
        <v>56</v>
      </c>
      <c r="V149" s="19"/>
      <c r="W149" s="19"/>
      <c r="X149" s="19">
        <v>137032958</v>
      </c>
      <c r="Y149" s="19">
        <v>108682188</v>
      </c>
      <c r="Z149" s="19">
        <v>107153112</v>
      </c>
      <c r="AA149" s="19"/>
      <c r="AB149" s="19"/>
      <c r="AC149" s="19"/>
      <c r="AD149" s="135" t="str">
        <f>+INDEX('NGP Chairs CoChairs'!$A$2:$M$53,MATCH('Supersite Working-AW'!$X131,'NGP Chairs CoChairs'!$A$2:$A$53,0),12)</f>
        <v>Lynne McNamara</v>
      </c>
      <c r="AE149" s="135" t="str">
        <f>+INDEX('NGP Chairs CoChairs'!$A$2:$M$53,MATCH('Supersite Working-AW'!$Y131,'NGP Chairs CoChairs'!$A$2:$A$53,0),12)</f>
        <v>Lynette McClain</v>
      </c>
      <c r="AF149" s="135" t="str">
        <f>+INDEX('NGP Chairs CoChairs'!$A$2:$M$53,MATCH('Supersite Working-AW'!$Z131,'NGP Chairs CoChairs'!$A$2:$A$53,0),12)</f>
        <v>Virginia Carlson</v>
      </c>
      <c r="AG149" s="135" t="str">
        <f>+INDEX('NGP Chairs CoChairs'!$A$2:$M$53,MATCH('Supersite Working-AW'!$AA131,'NGP Chairs CoChairs'!$A$2:$A$53,0),12)</f>
        <v>Marcela Stras</v>
      </c>
      <c r="AH149" s="69" t="str">
        <f>+INDEX('NGP Chairs CoChairs'!$A$2:$M$53,MATCH('Supersite Working-AW'!$X131,'NGP Chairs CoChairs'!$A$2:$A$53,0),7)</f>
        <v>4108187383</v>
      </c>
      <c r="AI149" s="69" t="str">
        <f>+INDEX('NGP Chairs CoChairs'!$A$2:$M$53,MATCH('Supersite Working-AW'!$Y131,'NGP Chairs CoChairs'!$A$2:$A$53,0),7)</f>
        <v>3036817722</v>
      </c>
      <c r="AJ149" s="69" t="str">
        <f>+INDEX('NGP Chairs CoChairs'!$A$2:$M$53,MATCH('Supersite Working-AW'!$Z131,'NGP Chairs CoChairs'!$A$2:$A$53,0),7)</f>
        <v>7203082474</v>
      </c>
      <c r="AK149" s="69" t="str">
        <f>+INDEX('NGP Chairs CoChairs'!$A$2:$M$53,MATCH('Supersite Working-AW'!$AA131,'NGP Chairs CoChairs'!$A$2:$A$53,0),7)</f>
        <v>2408990037</v>
      </c>
      <c r="AL149">
        <v>12</v>
      </c>
    </row>
    <row r="150" spans="1:38" ht="16" x14ac:dyDescent="0.2">
      <c r="A150" s="3" t="s">
        <v>408</v>
      </c>
      <c r="B150" s="86">
        <v>641</v>
      </c>
      <c r="C150" s="86" t="s">
        <v>409</v>
      </c>
      <c r="D150" s="86" t="s">
        <v>410</v>
      </c>
      <c r="E150" s="86" t="s">
        <v>411</v>
      </c>
      <c r="F150" s="86" t="s">
        <v>399</v>
      </c>
      <c r="G150" s="86" t="s">
        <v>243</v>
      </c>
      <c r="H150" s="86"/>
      <c r="I150" s="86">
        <v>2</v>
      </c>
      <c r="J150" s="86">
        <v>11</v>
      </c>
      <c r="K150" s="86">
        <v>17</v>
      </c>
      <c r="L150" s="88">
        <v>297</v>
      </c>
      <c r="M150" s="89">
        <f>(L150*$M$2)</f>
        <v>7.4250000000000007</v>
      </c>
      <c r="N150" s="89"/>
      <c r="O150" s="86" t="s">
        <v>180</v>
      </c>
      <c r="P150" s="86" t="s">
        <v>412</v>
      </c>
      <c r="Q150" s="19"/>
      <c r="R150" s="133" t="s">
        <v>60</v>
      </c>
      <c r="S150" s="131" t="s">
        <v>335</v>
      </c>
      <c r="T150" s="131"/>
      <c r="U150" s="106" t="s">
        <v>56</v>
      </c>
      <c r="V150" s="19"/>
      <c r="W150" s="19"/>
      <c r="X150" s="19">
        <v>137032958</v>
      </c>
      <c r="Y150" s="19">
        <v>108682188</v>
      </c>
      <c r="Z150" s="19">
        <v>107153112</v>
      </c>
      <c r="AA150" s="19"/>
      <c r="AB150" s="19"/>
      <c r="AC150" s="19"/>
      <c r="AD150" s="135" t="str">
        <f>+INDEX('NGP Chairs CoChairs'!$A$2:$M$53,MATCH('Supersite Working-AW'!$X132,'NGP Chairs CoChairs'!$A$2:$A$53,0),12)</f>
        <v>Lynne McNamara</v>
      </c>
      <c r="AE150" s="135" t="str">
        <f>+INDEX('NGP Chairs CoChairs'!$A$2:$M$53,MATCH('Supersite Working-AW'!$Y132,'NGP Chairs CoChairs'!$A$2:$A$53,0),12)</f>
        <v>Lynette McClain</v>
      </c>
      <c r="AF150" s="135" t="str">
        <f>+INDEX('NGP Chairs CoChairs'!$A$2:$M$53,MATCH('Supersite Working-AW'!$Z132,'NGP Chairs CoChairs'!$A$2:$A$53,0),12)</f>
        <v>Virginia Carlson</v>
      </c>
      <c r="AG150" s="135" t="str">
        <f>+INDEX('NGP Chairs CoChairs'!$A$2:$M$53,MATCH('Supersite Working-AW'!$AA132,'NGP Chairs CoChairs'!$A$2:$A$53,0),12)</f>
        <v>Marcela Stras</v>
      </c>
      <c r="AH150" s="69" t="str">
        <f>+INDEX('NGP Chairs CoChairs'!$A$2:$M$53,MATCH('Supersite Working-AW'!$X132,'NGP Chairs CoChairs'!$A$2:$A$53,0),7)</f>
        <v>4108187383</v>
      </c>
      <c r="AI150" s="69" t="str">
        <f>+INDEX('NGP Chairs CoChairs'!$A$2:$M$53,MATCH('Supersite Working-AW'!$Y132,'NGP Chairs CoChairs'!$A$2:$A$53,0),7)</f>
        <v>3036817722</v>
      </c>
      <c r="AJ150" s="69" t="str">
        <f>+INDEX('NGP Chairs CoChairs'!$A$2:$M$53,MATCH('Supersite Working-AW'!$Z132,'NGP Chairs CoChairs'!$A$2:$A$53,0),7)</f>
        <v>7203082474</v>
      </c>
      <c r="AK150" s="69" t="str">
        <f>+INDEX('NGP Chairs CoChairs'!$A$2:$M$53,MATCH('Supersite Working-AW'!$AA132,'NGP Chairs CoChairs'!$A$2:$A$53,0),7)</f>
        <v>2408990037</v>
      </c>
      <c r="AL150">
        <v>12</v>
      </c>
    </row>
    <row r="151" spans="1:38" ht="16" x14ac:dyDescent="0.2">
      <c r="A151" s="3" t="s">
        <v>408</v>
      </c>
      <c r="B151" s="86">
        <v>642</v>
      </c>
      <c r="C151" s="86" t="s">
        <v>409</v>
      </c>
      <c r="D151" s="86" t="s">
        <v>410</v>
      </c>
      <c r="E151" s="86" t="s">
        <v>411</v>
      </c>
      <c r="F151" s="86" t="s">
        <v>399</v>
      </c>
      <c r="G151" s="86" t="s">
        <v>243</v>
      </c>
      <c r="H151" s="86"/>
      <c r="I151" s="86">
        <v>2</v>
      </c>
      <c r="J151" s="86">
        <v>11</v>
      </c>
      <c r="K151" s="86">
        <v>17</v>
      </c>
      <c r="L151" s="88">
        <v>497</v>
      </c>
      <c r="M151" s="89">
        <f>(L151*$M$2)</f>
        <v>12.425000000000001</v>
      </c>
      <c r="N151" s="89"/>
      <c r="O151" s="86" t="s">
        <v>180</v>
      </c>
      <c r="P151" s="86" t="s">
        <v>412</v>
      </c>
      <c r="Q151" s="19"/>
      <c r="R151" s="133" t="s">
        <v>60</v>
      </c>
      <c r="S151" s="131" t="s">
        <v>335</v>
      </c>
      <c r="T151" s="131"/>
      <c r="U151" s="106" t="s">
        <v>56</v>
      </c>
      <c r="V151" s="19"/>
      <c r="W151" s="19"/>
      <c r="X151" s="19">
        <v>137032958</v>
      </c>
      <c r="Y151" s="19">
        <v>108682188</v>
      </c>
      <c r="Z151" s="19">
        <v>107153112</v>
      </c>
      <c r="AA151" s="19"/>
      <c r="AB151" s="19"/>
      <c r="AC151" s="19"/>
      <c r="AD151" s="135" t="str">
        <f>+INDEX('NGP Chairs CoChairs'!$A$2:$M$53,MATCH('Supersite Working-AW'!$X133,'NGP Chairs CoChairs'!$A$2:$A$53,0),12)</f>
        <v>Lynne McNamara</v>
      </c>
      <c r="AE151" s="135" t="str">
        <f>+INDEX('NGP Chairs CoChairs'!$A$2:$M$53,MATCH('Supersite Working-AW'!$Y133,'NGP Chairs CoChairs'!$A$2:$A$53,0),12)</f>
        <v>Lynette McClain</v>
      </c>
      <c r="AF151" s="135" t="str">
        <f>+INDEX('NGP Chairs CoChairs'!$A$2:$M$53,MATCH('Supersite Working-AW'!$Z133,'NGP Chairs CoChairs'!$A$2:$A$53,0),12)</f>
        <v>Virginia Carlson</v>
      </c>
      <c r="AG151" s="135" t="str">
        <f>+INDEX('NGP Chairs CoChairs'!$A$2:$M$53,MATCH('Supersite Working-AW'!$AA133,'NGP Chairs CoChairs'!$A$2:$A$53,0),12)</f>
        <v>Marcela Stras</v>
      </c>
      <c r="AH151" s="69" t="str">
        <f>+INDEX('NGP Chairs CoChairs'!$A$2:$M$53,MATCH('Supersite Working-AW'!$X133,'NGP Chairs CoChairs'!$A$2:$A$53,0),7)</f>
        <v>4108187383</v>
      </c>
      <c r="AI151" s="69" t="str">
        <f>+INDEX('NGP Chairs CoChairs'!$A$2:$M$53,MATCH('Supersite Working-AW'!$Y133,'NGP Chairs CoChairs'!$A$2:$A$53,0),7)</f>
        <v>3036817722</v>
      </c>
      <c r="AJ151" s="69" t="str">
        <f>+INDEX('NGP Chairs CoChairs'!$A$2:$M$53,MATCH('Supersite Working-AW'!$Z133,'NGP Chairs CoChairs'!$A$2:$A$53,0),7)</f>
        <v>7203082474</v>
      </c>
      <c r="AK151" s="69" t="str">
        <f>+INDEX('NGP Chairs CoChairs'!$A$2:$M$53,MATCH('Supersite Working-AW'!$AA133,'NGP Chairs CoChairs'!$A$2:$A$53,0),7)</f>
        <v>2408990037</v>
      </c>
      <c r="AL151">
        <v>12</v>
      </c>
    </row>
    <row r="152" spans="1:38" ht="16" x14ac:dyDescent="0.2">
      <c r="A152" s="3" t="s">
        <v>408</v>
      </c>
      <c r="B152" s="86">
        <v>647</v>
      </c>
      <c r="C152" s="86" t="s">
        <v>409</v>
      </c>
      <c r="D152" s="86" t="s">
        <v>410</v>
      </c>
      <c r="E152" s="86" t="s">
        <v>411</v>
      </c>
      <c r="F152" s="86" t="s">
        <v>399</v>
      </c>
      <c r="G152" s="86" t="s">
        <v>243</v>
      </c>
      <c r="H152" s="86"/>
      <c r="I152" s="86">
        <v>2</v>
      </c>
      <c r="J152" s="86">
        <v>11</v>
      </c>
      <c r="K152" s="86">
        <v>17</v>
      </c>
      <c r="L152" s="88">
        <v>372</v>
      </c>
      <c r="M152" s="89">
        <f>(L152*$M$2)</f>
        <v>9.3000000000000007</v>
      </c>
      <c r="N152" s="89"/>
      <c r="O152" s="86" t="s">
        <v>180</v>
      </c>
      <c r="P152" s="86" t="s">
        <v>412</v>
      </c>
      <c r="Q152" s="19"/>
      <c r="R152" s="133" t="s">
        <v>60</v>
      </c>
      <c r="S152" s="131" t="s">
        <v>335</v>
      </c>
      <c r="T152" s="131"/>
      <c r="U152" s="106" t="s">
        <v>56</v>
      </c>
      <c r="V152" s="19"/>
      <c r="W152" s="19"/>
      <c r="X152" s="19">
        <v>137032958</v>
      </c>
      <c r="Y152" s="19">
        <v>108682188</v>
      </c>
      <c r="Z152" s="19">
        <v>107153112</v>
      </c>
      <c r="AA152" s="19"/>
      <c r="AB152" s="19"/>
      <c r="AC152" s="19"/>
      <c r="AD152" s="135" t="str">
        <f>+INDEX('NGP Chairs CoChairs'!$A$2:$M$53,MATCH('Supersite Working-AW'!$X138,'NGP Chairs CoChairs'!$A$2:$A$53,0),12)</f>
        <v>Lynne McNamara</v>
      </c>
      <c r="AE152" s="135" t="str">
        <f>+INDEX('NGP Chairs CoChairs'!$A$2:$M$53,MATCH('Supersite Working-AW'!$Y138,'NGP Chairs CoChairs'!$A$2:$A$53,0),12)</f>
        <v>Lynette McClain</v>
      </c>
      <c r="AF152" s="135" t="str">
        <f>+INDEX('NGP Chairs CoChairs'!$A$2:$M$53,MATCH('Supersite Working-AW'!$Z138,'NGP Chairs CoChairs'!$A$2:$A$53,0),12)</f>
        <v>Virginia Carlson</v>
      </c>
      <c r="AG152" s="135" t="str">
        <f>+INDEX('NGP Chairs CoChairs'!$A$2:$M$53,MATCH('Supersite Working-AW'!$AA138,'NGP Chairs CoChairs'!$A$2:$A$53,0),12)</f>
        <v>Marcela Stras</v>
      </c>
      <c r="AH152" s="69" t="str">
        <f>+INDEX('NGP Chairs CoChairs'!$A$2:$M$53,MATCH('Supersite Working-AW'!$X138,'NGP Chairs CoChairs'!$A$2:$A$53,0),7)</f>
        <v>4108187383</v>
      </c>
      <c r="AI152" s="69" t="str">
        <f>+INDEX('NGP Chairs CoChairs'!$A$2:$M$53,MATCH('Supersite Working-AW'!$Y138,'NGP Chairs CoChairs'!$A$2:$A$53,0),7)</f>
        <v>3036817722</v>
      </c>
      <c r="AJ152" s="69" t="str">
        <f>+INDEX('NGP Chairs CoChairs'!$A$2:$M$53,MATCH('Supersite Working-AW'!$Z138,'NGP Chairs CoChairs'!$A$2:$A$53,0),7)</f>
        <v>7203082474</v>
      </c>
      <c r="AK152" s="69" t="str">
        <f>+INDEX('NGP Chairs CoChairs'!$A$2:$M$53,MATCH('Supersite Working-AW'!$AA138,'NGP Chairs CoChairs'!$A$2:$A$53,0),7)</f>
        <v>2408990037</v>
      </c>
      <c r="AL152">
        <v>12</v>
      </c>
    </row>
    <row r="153" spans="1:38" ht="16" x14ac:dyDescent="0.2">
      <c r="A153" s="3" t="s">
        <v>408</v>
      </c>
      <c r="B153" s="86">
        <v>648</v>
      </c>
      <c r="C153" s="86" t="s">
        <v>409</v>
      </c>
      <c r="D153" s="86" t="s">
        <v>410</v>
      </c>
      <c r="E153" s="86" t="s">
        <v>411</v>
      </c>
      <c r="F153" s="86" t="s">
        <v>399</v>
      </c>
      <c r="G153" s="86" t="s">
        <v>243</v>
      </c>
      <c r="H153" s="86"/>
      <c r="I153" s="86">
        <v>2</v>
      </c>
      <c r="J153" s="86">
        <v>11</v>
      </c>
      <c r="K153" s="86">
        <v>17</v>
      </c>
      <c r="L153" s="88">
        <v>377</v>
      </c>
      <c r="M153" s="89">
        <f>(L153*$M$2)</f>
        <v>9.4250000000000007</v>
      </c>
      <c r="N153" s="89"/>
      <c r="O153" s="86" t="s">
        <v>180</v>
      </c>
      <c r="P153" s="86" t="s">
        <v>412</v>
      </c>
      <c r="Q153" s="19"/>
      <c r="R153" s="133" t="s">
        <v>60</v>
      </c>
      <c r="S153" s="131" t="s">
        <v>335</v>
      </c>
      <c r="T153" s="131"/>
      <c r="U153" s="106" t="s">
        <v>56</v>
      </c>
      <c r="V153" s="19"/>
      <c r="W153" s="19"/>
      <c r="X153" s="19">
        <v>137032958</v>
      </c>
      <c r="Y153" s="19">
        <v>108682188</v>
      </c>
      <c r="Z153" s="19">
        <v>107153112</v>
      </c>
      <c r="AA153" s="19"/>
      <c r="AB153" s="19"/>
      <c r="AC153" s="19"/>
      <c r="AD153" s="135" t="str">
        <f>+INDEX('NGP Chairs CoChairs'!$A$2:$M$53,MATCH('Supersite Working-AW'!$X139,'NGP Chairs CoChairs'!$A$2:$A$53,0),12)</f>
        <v>Lynne McNamara</v>
      </c>
      <c r="AE153" s="135" t="str">
        <f>+INDEX('NGP Chairs CoChairs'!$A$2:$M$53,MATCH('Supersite Working-AW'!$Y139,'NGP Chairs CoChairs'!$A$2:$A$53,0),12)</f>
        <v>Lynette McClain</v>
      </c>
      <c r="AF153" s="135" t="str">
        <f>+INDEX('NGP Chairs CoChairs'!$A$2:$M$53,MATCH('Supersite Working-AW'!$Z139,'NGP Chairs CoChairs'!$A$2:$A$53,0),12)</f>
        <v>Virginia Carlson</v>
      </c>
      <c r="AG153" s="135" t="str">
        <f>+INDEX('NGP Chairs CoChairs'!$A$2:$M$53,MATCH('Supersite Working-AW'!$AA139,'NGP Chairs CoChairs'!$A$2:$A$53,0),12)</f>
        <v>Marcela Stras</v>
      </c>
      <c r="AH153" s="69" t="str">
        <f>+INDEX('NGP Chairs CoChairs'!$A$2:$M$53,MATCH('Supersite Working-AW'!$X139,'NGP Chairs CoChairs'!$A$2:$A$53,0),7)</f>
        <v>4108187383</v>
      </c>
      <c r="AI153" s="69" t="str">
        <f>+INDEX('NGP Chairs CoChairs'!$A$2:$M$53,MATCH('Supersite Working-AW'!$Y139,'NGP Chairs CoChairs'!$A$2:$A$53,0),7)</f>
        <v>3036817722</v>
      </c>
      <c r="AJ153" s="69" t="str">
        <f>+INDEX('NGP Chairs CoChairs'!$A$2:$M$53,MATCH('Supersite Working-AW'!$Z139,'NGP Chairs CoChairs'!$A$2:$A$53,0),7)</f>
        <v>7203082474</v>
      </c>
      <c r="AK153" s="69" t="str">
        <f>+INDEX('NGP Chairs CoChairs'!$A$2:$M$53,MATCH('Supersite Working-AW'!$AA139,'NGP Chairs CoChairs'!$A$2:$A$53,0),7)</f>
        <v>2408990037</v>
      </c>
      <c r="AL153">
        <v>12</v>
      </c>
    </row>
    <row r="154" spans="1:38" ht="16" x14ac:dyDescent="0.2">
      <c r="A154" s="3" t="s">
        <v>408</v>
      </c>
      <c r="B154" s="86">
        <v>649</v>
      </c>
      <c r="C154" s="86" t="s">
        <v>409</v>
      </c>
      <c r="D154" s="86" t="s">
        <v>410</v>
      </c>
      <c r="E154" s="86" t="s">
        <v>411</v>
      </c>
      <c r="F154" s="86" t="s">
        <v>399</v>
      </c>
      <c r="G154" s="86" t="s">
        <v>243</v>
      </c>
      <c r="H154" s="86"/>
      <c r="I154" s="86">
        <v>2</v>
      </c>
      <c r="J154" s="86">
        <v>11</v>
      </c>
      <c r="K154" s="86">
        <v>17</v>
      </c>
      <c r="L154" s="88">
        <v>614</v>
      </c>
      <c r="M154" s="89">
        <f>(L154*$M$2)</f>
        <v>15.350000000000001</v>
      </c>
      <c r="N154" s="89"/>
      <c r="O154" s="86" t="s">
        <v>180</v>
      </c>
      <c r="P154" s="86" t="s">
        <v>412</v>
      </c>
      <c r="Q154" s="19"/>
      <c r="R154" s="133" t="s">
        <v>60</v>
      </c>
      <c r="S154" s="131" t="s">
        <v>335</v>
      </c>
      <c r="T154" s="131"/>
      <c r="U154" s="106" t="s">
        <v>56</v>
      </c>
      <c r="V154" s="19"/>
      <c r="W154" s="19"/>
      <c r="X154" s="19">
        <v>137032958</v>
      </c>
      <c r="Y154" s="19">
        <v>108682188</v>
      </c>
      <c r="Z154" s="19">
        <v>107153112</v>
      </c>
      <c r="AA154" s="19"/>
      <c r="AB154" s="19"/>
      <c r="AC154" s="19"/>
      <c r="AD154" s="135" t="str">
        <f>+INDEX('NGP Chairs CoChairs'!$A$2:$M$53,MATCH('Supersite Working-AW'!$X140,'NGP Chairs CoChairs'!$A$2:$A$53,0),12)</f>
        <v>Marisa Dirks</v>
      </c>
      <c r="AE154" s="135" t="str">
        <f>+INDEX('NGP Chairs CoChairs'!$A$2:$M$53,MATCH('Supersite Working-AW'!$Y140,'NGP Chairs CoChairs'!$A$2:$A$53,0),12)</f>
        <v>Stan Gelb</v>
      </c>
      <c r="AF154" s="135" t="str">
        <f>+INDEX('NGP Chairs CoChairs'!$A$2:$M$53,MATCH('Supersite Working-AW'!$Z140,'NGP Chairs CoChairs'!$A$2:$A$53,0),12)</f>
        <v>Beth Utton</v>
      </c>
      <c r="AG154" s="135" t="e">
        <f>+INDEX('NGP Chairs CoChairs'!$A$2:$M$53,MATCH('Supersite Working-AW'!$AA140,'NGP Chairs CoChairs'!$A$2:$A$53,0),12)</f>
        <v>#N/A</v>
      </c>
      <c r="AH154" s="69" t="str">
        <f>+INDEX('NGP Chairs CoChairs'!$A$2:$M$53,MATCH('Supersite Working-AW'!$X140,'NGP Chairs CoChairs'!$A$2:$A$53,0),7)</f>
        <v>3037757400</v>
      </c>
      <c r="AI154" s="69" t="str">
        <f>+INDEX('NGP Chairs CoChairs'!$A$2:$M$53,MATCH('Supersite Working-AW'!$Y140,'NGP Chairs CoChairs'!$A$2:$A$53,0),7)</f>
        <v>7205341960</v>
      </c>
      <c r="AJ154" s="69" t="str">
        <f>+INDEX('NGP Chairs CoChairs'!$A$2:$M$53,MATCH('Supersite Working-AW'!$Z140,'NGP Chairs CoChairs'!$A$2:$A$53,0),7)</f>
        <v>7205341960</v>
      </c>
      <c r="AK154" s="69" t="e">
        <f>+INDEX('NGP Chairs CoChairs'!$A$2:$M$53,MATCH('Supersite Working-AW'!$AA140,'NGP Chairs CoChairs'!$A$2:$A$53,0),7)</f>
        <v>#N/A</v>
      </c>
      <c r="AL154">
        <v>12</v>
      </c>
    </row>
    <row r="155" spans="1:38" ht="16" x14ac:dyDescent="0.2">
      <c r="A155" s="3" t="s">
        <v>408</v>
      </c>
      <c r="B155" s="86">
        <v>703</v>
      </c>
      <c r="C155" s="86" t="s">
        <v>409</v>
      </c>
      <c r="D155" s="86" t="s">
        <v>410</v>
      </c>
      <c r="E155" s="86" t="s">
        <v>411</v>
      </c>
      <c r="F155" s="86" t="s">
        <v>399</v>
      </c>
      <c r="G155" s="86" t="s">
        <v>243</v>
      </c>
      <c r="H155" s="86"/>
      <c r="I155" s="86">
        <v>2</v>
      </c>
      <c r="J155" s="86">
        <v>11</v>
      </c>
      <c r="K155" s="86">
        <v>15</v>
      </c>
      <c r="L155" s="88">
        <v>71</v>
      </c>
      <c r="M155" s="89">
        <f>(L155*$M$2)</f>
        <v>1.7750000000000001</v>
      </c>
      <c r="N155" s="89"/>
      <c r="O155" s="86" t="s">
        <v>180</v>
      </c>
      <c r="P155" s="86" t="s">
        <v>412</v>
      </c>
      <c r="Q155" s="19"/>
      <c r="R155" s="133" t="s">
        <v>60</v>
      </c>
      <c r="S155" s="131" t="s">
        <v>335</v>
      </c>
      <c r="T155" s="131"/>
      <c r="U155" s="106" t="s">
        <v>56</v>
      </c>
      <c r="V155" s="19"/>
      <c r="W155" s="19"/>
      <c r="X155" s="19">
        <v>137032958</v>
      </c>
      <c r="Y155" s="19">
        <v>108682188</v>
      </c>
      <c r="Z155" s="19">
        <v>107153112</v>
      </c>
      <c r="AA155" s="19"/>
      <c r="AB155" s="19"/>
      <c r="AC155" s="19"/>
      <c r="AD155" s="135" t="str">
        <f>+INDEX('NGP Chairs CoChairs'!$A$2:$M$53,MATCH('Supersite Working-AW'!$X141,'NGP Chairs CoChairs'!$A$2:$A$53,0),12)</f>
        <v>Marisa Dirks</v>
      </c>
      <c r="AE155" s="135" t="str">
        <f>+INDEX('NGP Chairs CoChairs'!$A$2:$M$53,MATCH('Supersite Working-AW'!$Y141,'NGP Chairs CoChairs'!$A$2:$A$53,0),12)</f>
        <v>Stan Gelb</v>
      </c>
      <c r="AF155" s="135" t="str">
        <f>+INDEX('NGP Chairs CoChairs'!$A$2:$M$53,MATCH('Supersite Working-AW'!$Z141,'NGP Chairs CoChairs'!$A$2:$A$53,0),12)</f>
        <v>Beth Utton</v>
      </c>
      <c r="AG155" s="135" t="e">
        <f>+INDEX('NGP Chairs CoChairs'!$A$2:$M$53,MATCH('Supersite Working-AW'!$AA141,'NGP Chairs CoChairs'!$A$2:$A$53,0),12)</f>
        <v>#N/A</v>
      </c>
      <c r="AH155" s="69" t="str">
        <f>+INDEX('NGP Chairs CoChairs'!$A$2:$M$53,MATCH('Supersite Working-AW'!$X141,'NGP Chairs CoChairs'!$A$2:$A$53,0),7)</f>
        <v>3037757400</v>
      </c>
      <c r="AI155" s="69" t="str">
        <f>+INDEX('NGP Chairs CoChairs'!$A$2:$M$53,MATCH('Supersite Working-AW'!$Y141,'NGP Chairs CoChairs'!$A$2:$A$53,0),7)</f>
        <v>7205341960</v>
      </c>
      <c r="AJ155" s="69" t="str">
        <f>+INDEX('NGP Chairs CoChairs'!$A$2:$M$53,MATCH('Supersite Working-AW'!$Z141,'NGP Chairs CoChairs'!$A$2:$A$53,0),7)</f>
        <v>7205341960</v>
      </c>
      <c r="AK155" s="69" t="e">
        <f>+INDEX('NGP Chairs CoChairs'!$A$2:$M$53,MATCH('Supersite Working-AW'!$AA141,'NGP Chairs CoChairs'!$A$2:$A$53,0),7)</f>
        <v>#N/A</v>
      </c>
      <c r="AL155">
        <v>12</v>
      </c>
    </row>
    <row r="156" spans="1:38" ht="16" x14ac:dyDescent="0.2">
      <c r="A156" s="3" t="s">
        <v>408</v>
      </c>
      <c r="B156" s="86">
        <v>704</v>
      </c>
      <c r="C156" s="86" t="s">
        <v>409</v>
      </c>
      <c r="D156" s="86" t="s">
        <v>410</v>
      </c>
      <c r="E156" s="86" t="s">
        <v>411</v>
      </c>
      <c r="F156" s="86" t="s">
        <v>399</v>
      </c>
      <c r="G156" s="86" t="s">
        <v>243</v>
      </c>
      <c r="H156" s="86"/>
      <c r="I156" s="86">
        <v>2</v>
      </c>
      <c r="J156" s="86">
        <v>49</v>
      </c>
      <c r="K156" s="86">
        <v>15</v>
      </c>
      <c r="L156" s="88">
        <v>157</v>
      </c>
      <c r="M156" s="89">
        <f>(L156*$M$2)</f>
        <v>3.9250000000000003</v>
      </c>
      <c r="N156" s="89"/>
      <c r="O156" s="86" t="s">
        <v>180</v>
      </c>
      <c r="P156" s="86" t="s">
        <v>412</v>
      </c>
      <c r="Q156" s="19"/>
      <c r="R156" s="133" t="s">
        <v>60</v>
      </c>
      <c r="S156" s="131" t="s">
        <v>335</v>
      </c>
      <c r="T156" s="131"/>
      <c r="U156" s="106" t="s">
        <v>56</v>
      </c>
      <c r="V156" s="19"/>
      <c r="W156" s="19"/>
      <c r="X156" s="19">
        <v>137032958</v>
      </c>
      <c r="Y156" s="19">
        <v>108682188</v>
      </c>
      <c r="Z156" s="19">
        <v>107153112</v>
      </c>
      <c r="AA156" s="19"/>
      <c r="AB156" s="19"/>
      <c r="AC156" s="19"/>
      <c r="AD156" s="135" t="str">
        <f>+INDEX('NGP Chairs CoChairs'!$A$2:$M$53,MATCH('Supersite Working-AW'!$X142,'NGP Chairs CoChairs'!$A$2:$A$53,0),12)</f>
        <v>Marisa Dirks</v>
      </c>
      <c r="AE156" s="135" t="str">
        <f>+INDEX('NGP Chairs CoChairs'!$A$2:$M$53,MATCH('Supersite Working-AW'!$Y142,'NGP Chairs CoChairs'!$A$2:$A$53,0),12)</f>
        <v>Stan Gelb</v>
      </c>
      <c r="AF156" s="135" t="str">
        <f>+INDEX('NGP Chairs CoChairs'!$A$2:$M$53,MATCH('Supersite Working-AW'!$Z142,'NGP Chairs CoChairs'!$A$2:$A$53,0),12)</f>
        <v>Beth Utton</v>
      </c>
      <c r="AG156" s="135" t="e">
        <f>+INDEX('NGP Chairs CoChairs'!$A$2:$M$53,MATCH('Supersite Working-AW'!$AA142,'NGP Chairs CoChairs'!$A$2:$A$53,0),12)</f>
        <v>#N/A</v>
      </c>
      <c r="AH156" s="69" t="str">
        <f>+INDEX('NGP Chairs CoChairs'!$A$2:$M$53,MATCH('Supersite Working-AW'!$X142,'NGP Chairs CoChairs'!$A$2:$A$53,0),7)</f>
        <v>3037757400</v>
      </c>
      <c r="AI156" s="69" t="str">
        <f>+INDEX('NGP Chairs CoChairs'!$A$2:$M$53,MATCH('Supersite Working-AW'!$Y142,'NGP Chairs CoChairs'!$A$2:$A$53,0),7)</f>
        <v>7205341960</v>
      </c>
      <c r="AJ156" s="69" t="str">
        <f>+INDEX('NGP Chairs CoChairs'!$A$2:$M$53,MATCH('Supersite Working-AW'!$Z142,'NGP Chairs CoChairs'!$A$2:$A$53,0),7)</f>
        <v>7205341960</v>
      </c>
      <c r="AK156" s="69" t="e">
        <f>+INDEX('NGP Chairs CoChairs'!$A$2:$M$53,MATCH('Supersite Working-AW'!$AA142,'NGP Chairs CoChairs'!$A$2:$A$53,0),7)</f>
        <v>#N/A</v>
      </c>
      <c r="AL156">
        <v>12</v>
      </c>
    </row>
    <row r="157" spans="1:38" ht="16" x14ac:dyDescent="0.2">
      <c r="A157" s="3" t="s">
        <v>408</v>
      </c>
      <c r="B157" s="86">
        <v>705</v>
      </c>
      <c r="C157" s="86" t="s">
        <v>409</v>
      </c>
      <c r="D157" s="86" t="s">
        <v>410</v>
      </c>
      <c r="E157" s="86" t="s">
        <v>411</v>
      </c>
      <c r="F157" s="86" t="s">
        <v>399</v>
      </c>
      <c r="G157" s="86" t="s">
        <v>243</v>
      </c>
      <c r="H157" s="86"/>
      <c r="I157" s="86">
        <v>2</v>
      </c>
      <c r="J157" s="86">
        <v>49</v>
      </c>
      <c r="K157" s="86">
        <v>15</v>
      </c>
      <c r="L157" s="88">
        <v>157</v>
      </c>
      <c r="M157" s="89">
        <f>(L157*$M$2)</f>
        <v>3.9250000000000003</v>
      </c>
      <c r="N157" s="89">
        <f>SUM(M148:M157)</f>
        <v>87.25</v>
      </c>
      <c r="O157" s="86" t="s">
        <v>180</v>
      </c>
      <c r="P157" s="86" t="s">
        <v>412</v>
      </c>
      <c r="Q157" s="19"/>
      <c r="R157" s="133" t="s">
        <v>60</v>
      </c>
      <c r="S157" s="131" t="s">
        <v>335</v>
      </c>
      <c r="T157" s="131"/>
      <c r="U157" s="106" t="s">
        <v>56</v>
      </c>
      <c r="V157" s="19"/>
      <c r="W157" s="19"/>
      <c r="X157" s="19">
        <v>137032958</v>
      </c>
      <c r="Y157" s="19">
        <v>108682188</v>
      </c>
      <c r="Z157" s="19">
        <v>107153112</v>
      </c>
      <c r="AA157" s="19"/>
      <c r="AB157" s="19"/>
      <c r="AC157" s="19"/>
      <c r="AD157" s="135" t="str">
        <f>+INDEX('NGP Chairs CoChairs'!$A$2:$M$53,MATCH('Supersite Working-AW'!$X143,'NGP Chairs CoChairs'!$A$2:$A$53,0),12)</f>
        <v>Marisa Dirks</v>
      </c>
      <c r="AE157" s="135" t="str">
        <f>+INDEX('NGP Chairs CoChairs'!$A$2:$M$53,MATCH('Supersite Working-AW'!$Y143,'NGP Chairs CoChairs'!$A$2:$A$53,0),12)</f>
        <v>Stan Gelb</v>
      </c>
      <c r="AF157" s="135" t="str">
        <f>+INDEX('NGP Chairs CoChairs'!$A$2:$M$53,MATCH('Supersite Working-AW'!$Z143,'NGP Chairs CoChairs'!$A$2:$A$53,0),12)</f>
        <v>Beth Utton</v>
      </c>
      <c r="AG157" s="135" t="e">
        <f>+INDEX('NGP Chairs CoChairs'!$A$2:$M$53,MATCH('Supersite Working-AW'!$AA143,'NGP Chairs CoChairs'!$A$2:$A$53,0),12)</f>
        <v>#N/A</v>
      </c>
      <c r="AH157" s="69" t="str">
        <f>+INDEX('NGP Chairs CoChairs'!$A$2:$M$53,MATCH('Supersite Working-AW'!$X143,'NGP Chairs CoChairs'!$A$2:$A$53,0),7)</f>
        <v>3037757400</v>
      </c>
      <c r="AI157" s="69" t="str">
        <f>+INDEX('NGP Chairs CoChairs'!$A$2:$M$53,MATCH('Supersite Working-AW'!$Y143,'NGP Chairs CoChairs'!$A$2:$A$53,0),7)</f>
        <v>7205341960</v>
      </c>
      <c r="AJ157" s="69" t="str">
        <f>+INDEX('NGP Chairs CoChairs'!$A$2:$M$53,MATCH('Supersite Working-AW'!$Z143,'NGP Chairs CoChairs'!$A$2:$A$53,0),7)</f>
        <v>7205341960</v>
      </c>
      <c r="AK157" s="69" t="e">
        <f>+INDEX('NGP Chairs CoChairs'!$A$2:$M$53,MATCH('Supersite Working-AW'!$AA143,'NGP Chairs CoChairs'!$A$2:$A$53,0),7)</f>
        <v>#N/A</v>
      </c>
      <c r="AL157">
        <v>12</v>
      </c>
    </row>
    <row r="158" spans="1:38" ht="17" x14ac:dyDescent="0.2">
      <c r="A158" s="3" t="s">
        <v>145</v>
      </c>
      <c r="B158" s="86">
        <v>200</v>
      </c>
      <c r="C158" s="86" t="s">
        <v>327</v>
      </c>
      <c r="D158" s="86" t="s">
        <v>328</v>
      </c>
      <c r="E158" s="86" t="s">
        <v>93</v>
      </c>
      <c r="F158" s="91" t="s">
        <v>329</v>
      </c>
      <c r="G158" s="86" t="s">
        <v>243</v>
      </c>
      <c r="H158" s="86"/>
      <c r="I158" s="86">
        <v>2</v>
      </c>
      <c r="J158" s="86">
        <v>12</v>
      </c>
      <c r="K158" s="86">
        <v>18</v>
      </c>
      <c r="L158" s="88">
        <v>515</v>
      </c>
      <c r="M158" s="89">
        <f>(L158*$M$2)</f>
        <v>12.875</v>
      </c>
      <c r="N158" s="114"/>
      <c r="O158" s="86" t="s">
        <v>145</v>
      </c>
      <c r="P158" s="86" t="s">
        <v>330</v>
      </c>
      <c r="Q158" s="86" t="s">
        <v>331</v>
      </c>
      <c r="R158" s="115" t="s">
        <v>28</v>
      </c>
      <c r="S158" s="115" t="s">
        <v>280</v>
      </c>
      <c r="T158" s="86"/>
      <c r="U158" s="86" t="s">
        <v>3</v>
      </c>
      <c r="V158" s="19"/>
      <c r="W158" s="19"/>
      <c r="X158" s="95">
        <v>107152695</v>
      </c>
      <c r="Y158" s="19">
        <v>107152704</v>
      </c>
      <c r="Z158" s="19"/>
      <c r="AA158" s="19"/>
      <c r="AB158" s="19"/>
      <c r="AC158" s="19"/>
      <c r="AD158" s="135" t="str">
        <f>+INDEX('NGP Chairs CoChairs'!$A$2:$M$53,MATCH('Supersite Working-AW'!$X161,'NGP Chairs CoChairs'!$A$2:$A$53,0),12)</f>
        <v>Angelique Layton</v>
      </c>
      <c r="AE158" s="135" t="str">
        <f>+INDEX('NGP Chairs CoChairs'!$A$2:$M$53,MATCH('Supersite Working-AW'!$Y161,'NGP Chairs CoChairs'!$A$2:$A$53,0),12)</f>
        <v>Linda Lee</v>
      </c>
      <c r="AF158" s="135" t="e">
        <f>+INDEX('NGP Chairs CoChairs'!$A$2:$M$53,MATCH('Supersite Working-AW'!$Z161,'NGP Chairs CoChairs'!$A$2:$A$53,0),12)</f>
        <v>#N/A</v>
      </c>
      <c r="AG158" s="135" t="e">
        <f>+INDEX('NGP Chairs CoChairs'!$A$2:$M$53,MATCH('Supersite Working-AW'!$AA161,'NGP Chairs CoChairs'!$A$2:$A$53,0),12)</f>
        <v>#N/A</v>
      </c>
      <c r="AH158" s="69" t="str">
        <f>+INDEX('NGP Chairs CoChairs'!$A$2:$M$53,MATCH('Supersite Working-AW'!$X161,'NGP Chairs CoChairs'!$A$2:$A$53,0),7)</f>
        <v>7209349497</v>
      </c>
      <c r="AI158" s="69" t="str">
        <f>+INDEX('NGP Chairs CoChairs'!$A$2:$M$53,MATCH('Supersite Working-AW'!$Y161,'NGP Chairs CoChairs'!$A$2:$A$53,0),7)</f>
        <v>3039815392</v>
      </c>
      <c r="AJ158" s="69" t="e">
        <f>+INDEX('NGP Chairs CoChairs'!$A$2:$M$53,MATCH('Supersite Working-AW'!$Z161,'NGP Chairs CoChairs'!$A$2:$A$53,0),7)</f>
        <v>#N/A</v>
      </c>
      <c r="AK158" s="69" t="e">
        <f>+INDEX('NGP Chairs CoChairs'!$A$2:$M$53,MATCH('Supersite Working-AW'!$AA161,'NGP Chairs CoChairs'!$A$2:$A$53,0),7)</f>
        <v>#N/A</v>
      </c>
      <c r="AL158">
        <v>14</v>
      </c>
    </row>
    <row r="159" spans="1:38" ht="17" x14ac:dyDescent="0.2">
      <c r="A159" s="3" t="s">
        <v>145</v>
      </c>
      <c r="B159" s="86">
        <v>201</v>
      </c>
      <c r="C159" s="86" t="s">
        <v>327</v>
      </c>
      <c r="D159" s="86" t="s">
        <v>328</v>
      </c>
      <c r="E159" s="86" t="s">
        <v>93</v>
      </c>
      <c r="F159" s="91" t="s">
        <v>329</v>
      </c>
      <c r="G159" s="86" t="s">
        <v>243</v>
      </c>
      <c r="H159" s="86"/>
      <c r="I159" s="86">
        <v>2</v>
      </c>
      <c r="J159" s="86">
        <v>12</v>
      </c>
      <c r="K159" s="86">
        <v>18</v>
      </c>
      <c r="L159" s="88">
        <v>467</v>
      </c>
      <c r="M159" s="89">
        <f>(L159*$M$2)</f>
        <v>11.675000000000001</v>
      </c>
      <c r="N159" s="89"/>
      <c r="O159" s="86" t="s">
        <v>145</v>
      </c>
      <c r="P159" s="86"/>
      <c r="Q159" s="86" t="s">
        <v>331</v>
      </c>
      <c r="R159" s="115" t="s">
        <v>28</v>
      </c>
      <c r="S159" s="115" t="s">
        <v>280</v>
      </c>
      <c r="T159" s="86"/>
      <c r="U159" s="86" t="s">
        <v>3</v>
      </c>
      <c r="V159" s="19"/>
      <c r="W159" s="19"/>
      <c r="X159" s="95">
        <v>107152695</v>
      </c>
      <c r="Y159" s="19">
        <v>107152704</v>
      </c>
      <c r="Z159" s="19"/>
      <c r="AA159" s="19"/>
      <c r="AB159" s="19"/>
      <c r="AC159" s="19"/>
      <c r="AD159" s="135" t="str">
        <f>+INDEX('NGP Chairs CoChairs'!$A$2:$M$53,MATCH('Supersite Working-AW'!$X162,'NGP Chairs CoChairs'!$A$2:$A$53,0),12)</f>
        <v>Angelique Layton</v>
      </c>
      <c r="AE159" s="135" t="str">
        <f>+INDEX('NGP Chairs CoChairs'!$A$2:$M$53,MATCH('Supersite Working-AW'!$Y162,'NGP Chairs CoChairs'!$A$2:$A$53,0),12)</f>
        <v>Linda Lee</v>
      </c>
      <c r="AF159" s="135" t="e">
        <f>+INDEX('NGP Chairs CoChairs'!$A$2:$M$53,MATCH('Supersite Working-AW'!$Z162,'NGP Chairs CoChairs'!$A$2:$A$53,0),12)</f>
        <v>#N/A</v>
      </c>
      <c r="AG159" s="135" t="e">
        <f>+INDEX('NGP Chairs CoChairs'!$A$2:$M$53,MATCH('Supersite Working-AW'!$AA162,'NGP Chairs CoChairs'!$A$2:$A$53,0),12)</f>
        <v>#N/A</v>
      </c>
      <c r="AH159" s="69" t="str">
        <f>+INDEX('NGP Chairs CoChairs'!$A$2:$M$53,MATCH('Supersite Working-AW'!$X162,'NGP Chairs CoChairs'!$A$2:$A$53,0),7)</f>
        <v>7209349497</v>
      </c>
      <c r="AI159" s="69" t="str">
        <f>+INDEX('NGP Chairs CoChairs'!$A$2:$M$53,MATCH('Supersite Working-AW'!$Y162,'NGP Chairs CoChairs'!$A$2:$A$53,0),7)</f>
        <v>3039815392</v>
      </c>
      <c r="AJ159" s="69" t="e">
        <f>+INDEX('NGP Chairs CoChairs'!$A$2:$M$53,MATCH('Supersite Working-AW'!$Z162,'NGP Chairs CoChairs'!$A$2:$A$53,0),7)</f>
        <v>#N/A</v>
      </c>
      <c r="AK159" s="69" t="e">
        <f>+INDEX('NGP Chairs CoChairs'!$A$2:$M$53,MATCH('Supersite Working-AW'!$AA162,'NGP Chairs CoChairs'!$A$2:$A$53,0),7)</f>
        <v>#N/A</v>
      </c>
      <c r="AL159">
        <v>14</v>
      </c>
    </row>
    <row r="160" spans="1:38" ht="17" x14ac:dyDescent="0.2">
      <c r="A160" s="3" t="s">
        <v>145</v>
      </c>
      <c r="B160" s="86">
        <v>202</v>
      </c>
      <c r="C160" s="86" t="s">
        <v>327</v>
      </c>
      <c r="D160" s="86" t="s">
        <v>328</v>
      </c>
      <c r="E160" s="86" t="s">
        <v>93</v>
      </c>
      <c r="F160" s="91" t="s">
        <v>329</v>
      </c>
      <c r="G160" s="86" t="s">
        <v>243</v>
      </c>
      <c r="H160" s="86"/>
      <c r="I160" s="86">
        <v>2</v>
      </c>
      <c r="J160" s="86">
        <v>12</v>
      </c>
      <c r="K160" s="86">
        <v>18</v>
      </c>
      <c r="L160" s="88">
        <v>329</v>
      </c>
      <c r="M160" s="89">
        <f>(L160*$M$2)</f>
        <v>8.2249999999999996</v>
      </c>
      <c r="N160" s="89"/>
      <c r="O160" s="86" t="s">
        <v>145</v>
      </c>
      <c r="P160" s="86"/>
      <c r="Q160" s="86" t="s">
        <v>331</v>
      </c>
      <c r="R160" s="115" t="s">
        <v>28</v>
      </c>
      <c r="S160" s="115" t="s">
        <v>280</v>
      </c>
      <c r="T160" s="86"/>
      <c r="U160" s="86" t="s">
        <v>3</v>
      </c>
      <c r="V160" s="19"/>
      <c r="W160" s="19"/>
      <c r="X160" s="95">
        <v>107152695</v>
      </c>
      <c r="Y160" s="19">
        <v>107152704</v>
      </c>
      <c r="Z160" s="19"/>
      <c r="AA160" s="19"/>
      <c r="AB160" s="19"/>
      <c r="AC160" s="19"/>
      <c r="AD160" s="135" t="str">
        <f>+INDEX('NGP Chairs CoChairs'!$A$2:$M$53,MATCH('Supersite Working-AW'!$X163,'NGP Chairs CoChairs'!$A$2:$A$53,0),12)</f>
        <v>Angelique Layton</v>
      </c>
      <c r="AE160" s="135" t="str">
        <f>+INDEX('NGP Chairs CoChairs'!$A$2:$M$53,MATCH('Supersite Working-AW'!$Y163,'NGP Chairs CoChairs'!$A$2:$A$53,0),12)</f>
        <v>Linda Lee</v>
      </c>
      <c r="AF160" s="135" t="e">
        <f>+INDEX('NGP Chairs CoChairs'!$A$2:$M$53,MATCH('Supersite Working-AW'!$Z163,'NGP Chairs CoChairs'!$A$2:$A$53,0),12)</f>
        <v>#N/A</v>
      </c>
      <c r="AG160" s="135" t="e">
        <f>+INDEX('NGP Chairs CoChairs'!$A$2:$M$53,MATCH('Supersite Working-AW'!$AA163,'NGP Chairs CoChairs'!$A$2:$A$53,0),12)</f>
        <v>#N/A</v>
      </c>
      <c r="AH160" s="69" t="str">
        <f>+INDEX('NGP Chairs CoChairs'!$A$2:$M$53,MATCH('Supersite Working-AW'!$X163,'NGP Chairs CoChairs'!$A$2:$A$53,0),7)</f>
        <v>7209349497</v>
      </c>
      <c r="AI160" s="69" t="str">
        <f>+INDEX('NGP Chairs CoChairs'!$A$2:$M$53,MATCH('Supersite Working-AW'!$Y163,'NGP Chairs CoChairs'!$A$2:$A$53,0),7)</f>
        <v>3039815392</v>
      </c>
      <c r="AJ160" s="69" t="e">
        <f>+INDEX('NGP Chairs CoChairs'!$A$2:$M$53,MATCH('Supersite Working-AW'!$Z163,'NGP Chairs CoChairs'!$A$2:$A$53,0),7)</f>
        <v>#N/A</v>
      </c>
      <c r="AK160" s="69" t="e">
        <f>+INDEX('NGP Chairs CoChairs'!$A$2:$M$53,MATCH('Supersite Working-AW'!$AA163,'NGP Chairs CoChairs'!$A$2:$A$53,0),7)</f>
        <v>#N/A</v>
      </c>
      <c r="AL160">
        <v>14</v>
      </c>
    </row>
    <row r="161" spans="1:38" ht="17" x14ac:dyDescent="0.2">
      <c r="A161" s="3" t="s">
        <v>145</v>
      </c>
      <c r="B161" s="86">
        <v>203</v>
      </c>
      <c r="C161" s="86" t="s">
        <v>327</v>
      </c>
      <c r="D161" s="86" t="s">
        <v>328</v>
      </c>
      <c r="E161" s="86" t="s">
        <v>93</v>
      </c>
      <c r="F161" s="91" t="s">
        <v>329</v>
      </c>
      <c r="G161" s="86" t="s">
        <v>243</v>
      </c>
      <c r="H161" s="86"/>
      <c r="I161" s="86">
        <v>2</v>
      </c>
      <c r="J161" s="86">
        <v>12</v>
      </c>
      <c r="K161" s="86">
        <v>18</v>
      </c>
      <c r="L161" s="88">
        <v>416</v>
      </c>
      <c r="M161" s="89">
        <f>(L161*$M$2)</f>
        <v>10.4</v>
      </c>
      <c r="N161" s="89"/>
      <c r="O161" s="86" t="s">
        <v>145</v>
      </c>
      <c r="P161" s="86"/>
      <c r="Q161" s="86" t="s">
        <v>331</v>
      </c>
      <c r="R161" s="115" t="s">
        <v>28</v>
      </c>
      <c r="S161" s="115" t="s">
        <v>280</v>
      </c>
      <c r="T161" s="86"/>
      <c r="U161" s="86" t="s">
        <v>3</v>
      </c>
      <c r="V161" s="19"/>
      <c r="W161" s="19"/>
      <c r="X161" s="95">
        <v>107152695</v>
      </c>
      <c r="Y161" s="19">
        <v>107152704</v>
      </c>
      <c r="Z161" s="19"/>
      <c r="AA161" s="19"/>
      <c r="AB161" s="19"/>
      <c r="AC161" s="19"/>
      <c r="AD161" s="135" t="str">
        <f>+INDEX('NGP Chairs CoChairs'!$A$2:$M$53,MATCH('Supersite Working-AW'!$X164,'NGP Chairs CoChairs'!$A$2:$A$53,0),12)</f>
        <v>Angelique Layton</v>
      </c>
      <c r="AE161" s="135" t="str">
        <f>+INDEX('NGP Chairs CoChairs'!$A$2:$M$53,MATCH('Supersite Working-AW'!$Y164,'NGP Chairs CoChairs'!$A$2:$A$53,0),12)</f>
        <v>Linda Lee</v>
      </c>
      <c r="AF161" s="135" t="e">
        <f>+INDEX('NGP Chairs CoChairs'!$A$2:$M$53,MATCH('Supersite Working-AW'!$Z164,'NGP Chairs CoChairs'!$A$2:$A$53,0),12)</f>
        <v>#N/A</v>
      </c>
      <c r="AG161" s="135" t="e">
        <f>+INDEX('NGP Chairs CoChairs'!$A$2:$M$53,MATCH('Supersite Working-AW'!$AA164,'NGP Chairs CoChairs'!$A$2:$A$53,0),12)</f>
        <v>#N/A</v>
      </c>
      <c r="AH161" s="69" t="str">
        <f>+INDEX('NGP Chairs CoChairs'!$A$2:$M$53,MATCH('Supersite Working-AW'!$X164,'NGP Chairs CoChairs'!$A$2:$A$53,0),7)</f>
        <v>7209349497</v>
      </c>
      <c r="AI161" s="69" t="str">
        <f>+INDEX('NGP Chairs CoChairs'!$A$2:$M$53,MATCH('Supersite Working-AW'!$Y164,'NGP Chairs CoChairs'!$A$2:$A$53,0),7)</f>
        <v>3039815392</v>
      </c>
      <c r="AJ161" s="69" t="e">
        <f>+INDEX('NGP Chairs CoChairs'!$A$2:$M$53,MATCH('Supersite Working-AW'!$Z164,'NGP Chairs CoChairs'!$A$2:$A$53,0),7)</f>
        <v>#N/A</v>
      </c>
      <c r="AK161" s="69" t="e">
        <f>+INDEX('NGP Chairs CoChairs'!$A$2:$M$53,MATCH('Supersite Working-AW'!$AA164,'NGP Chairs CoChairs'!$A$2:$A$53,0),7)</f>
        <v>#N/A</v>
      </c>
      <c r="AL161">
        <v>14</v>
      </c>
    </row>
    <row r="162" spans="1:38" ht="17" x14ac:dyDescent="0.2">
      <c r="A162" s="3" t="s">
        <v>145</v>
      </c>
      <c r="B162" s="86">
        <v>204</v>
      </c>
      <c r="C162" s="86" t="s">
        <v>327</v>
      </c>
      <c r="D162" s="86" t="s">
        <v>328</v>
      </c>
      <c r="E162" s="86" t="s">
        <v>93</v>
      </c>
      <c r="F162" s="91" t="s">
        <v>329</v>
      </c>
      <c r="G162" s="86" t="s">
        <v>243</v>
      </c>
      <c r="H162" s="86"/>
      <c r="I162" s="86">
        <v>2</v>
      </c>
      <c r="J162" s="86">
        <v>12</v>
      </c>
      <c r="K162" s="86">
        <v>18</v>
      </c>
      <c r="L162" s="88">
        <v>760</v>
      </c>
      <c r="M162" s="89">
        <f>(L162*$M$2)</f>
        <v>19</v>
      </c>
      <c r="N162" s="89"/>
      <c r="O162" s="86" t="s">
        <v>145</v>
      </c>
      <c r="P162" s="86"/>
      <c r="Q162" s="86" t="s">
        <v>331</v>
      </c>
      <c r="R162" s="115" t="s">
        <v>28</v>
      </c>
      <c r="S162" s="115" t="s">
        <v>280</v>
      </c>
      <c r="T162" s="86"/>
      <c r="U162" s="86" t="s">
        <v>3</v>
      </c>
      <c r="V162" s="19"/>
      <c r="W162" s="19"/>
      <c r="X162" s="95">
        <v>107152695</v>
      </c>
      <c r="Y162" s="19">
        <v>107152704</v>
      </c>
      <c r="Z162" s="19"/>
      <c r="AA162" s="19"/>
      <c r="AB162" s="19"/>
      <c r="AC162" s="19"/>
      <c r="AD162" s="135" t="str">
        <f>+INDEX('NGP Chairs CoChairs'!$A$2:$M$53,MATCH('Supersite Working-AW'!$X165,'NGP Chairs CoChairs'!$A$2:$A$53,0),12)</f>
        <v>Angelique Layton</v>
      </c>
      <c r="AE162" s="135" t="str">
        <f>+INDEX('NGP Chairs CoChairs'!$A$2:$M$53,MATCH('Supersite Working-AW'!$Y165,'NGP Chairs CoChairs'!$A$2:$A$53,0),12)</f>
        <v>Linda Lee</v>
      </c>
      <c r="AF162" s="135" t="e">
        <f>+INDEX('NGP Chairs CoChairs'!$A$2:$M$53,MATCH('Supersite Working-AW'!$Z165,'NGP Chairs CoChairs'!$A$2:$A$53,0),12)</f>
        <v>#N/A</v>
      </c>
      <c r="AG162" s="135" t="e">
        <f>+INDEX('NGP Chairs CoChairs'!$A$2:$M$53,MATCH('Supersite Working-AW'!$AA165,'NGP Chairs CoChairs'!$A$2:$A$53,0),12)</f>
        <v>#N/A</v>
      </c>
      <c r="AH162" s="69" t="str">
        <f>+INDEX('NGP Chairs CoChairs'!$A$2:$M$53,MATCH('Supersite Working-AW'!$X165,'NGP Chairs CoChairs'!$A$2:$A$53,0),7)</f>
        <v>7209349497</v>
      </c>
      <c r="AI162" s="69" t="str">
        <f>+INDEX('NGP Chairs CoChairs'!$A$2:$M$53,MATCH('Supersite Working-AW'!$Y165,'NGP Chairs CoChairs'!$A$2:$A$53,0),7)</f>
        <v>3039815392</v>
      </c>
      <c r="AJ162" s="69" t="e">
        <f>+INDEX('NGP Chairs CoChairs'!$A$2:$M$53,MATCH('Supersite Working-AW'!$Z165,'NGP Chairs CoChairs'!$A$2:$A$53,0),7)</f>
        <v>#N/A</v>
      </c>
      <c r="AK162" s="69" t="e">
        <f>+INDEX('NGP Chairs CoChairs'!$A$2:$M$53,MATCH('Supersite Working-AW'!$AA165,'NGP Chairs CoChairs'!$A$2:$A$53,0),7)</f>
        <v>#N/A</v>
      </c>
      <c r="AL162">
        <v>14</v>
      </c>
    </row>
    <row r="163" spans="1:38" ht="17" x14ac:dyDescent="0.2">
      <c r="A163" s="3" t="s">
        <v>145</v>
      </c>
      <c r="B163" s="86">
        <v>206</v>
      </c>
      <c r="C163" s="86" t="s">
        <v>327</v>
      </c>
      <c r="D163" s="86" t="s">
        <v>328</v>
      </c>
      <c r="E163" s="86" t="s">
        <v>93</v>
      </c>
      <c r="F163" s="91" t="s">
        <v>329</v>
      </c>
      <c r="G163" s="86" t="s">
        <v>243</v>
      </c>
      <c r="H163" s="86"/>
      <c r="I163" s="86">
        <v>2</v>
      </c>
      <c r="J163" s="86">
        <v>12</v>
      </c>
      <c r="K163" s="86">
        <v>18</v>
      </c>
      <c r="L163" s="88">
        <v>563</v>
      </c>
      <c r="M163" s="89">
        <f>(L163*$M$2)</f>
        <v>14.075000000000001</v>
      </c>
      <c r="N163" s="89"/>
      <c r="O163" s="86" t="s">
        <v>145</v>
      </c>
      <c r="P163" s="86"/>
      <c r="Q163" s="86" t="s">
        <v>331</v>
      </c>
      <c r="R163" s="115" t="s">
        <v>28</v>
      </c>
      <c r="S163" s="115" t="s">
        <v>280</v>
      </c>
      <c r="T163" s="86"/>
      <c r="U163" s="86" t="s">
        <v>3</v>
      </c>
      <c r="V163" s="19"/>
      <c r="W163" s="19"/>
      <c r="X163" s="95">
        <v>107152695</v>
      </c>
      <c r="Y163" s="19">
        <v>107152704</v>
      </c>
      <c r="Z163" s="19"/>
      <c r="AA163" s="19"/>
      <c r="AB163" s="19"/>
      <c r="AC163" s="19"/>
      <c r="AD163" s="135" t="str">
        <f>+INDEX('NGP Chairs CoChairs'!$A$2:$M$53,MATCH('Supersite Working-AW'!$X167,'NGP Chairs CoChairs'!$A$2:$A$53,0),12)</f>
        <v>Angelique Layton</v>
      </c>
      <c r="AE163" s="135" t="str">
        <f>+INDEX('NGP Chairs CoChairs'!$A$2:$M$53,MATCH('Supersite Working-AW'!$Y167,'NGP Chairs CoChairs'!$A$2:$A$53,0),12)</f>
        <v>Linda Lee</v>
      </c>
      <c r="AF163" s="135" t="e">
        <f>+INDEX('NGP Chairs CoChairs'!$A$2:$M$53,MATCH('Supersite Working-AW'!$Z167,'NGP Chairs CoChairs'!$A$2:$A$53,0),12)</f>
        <v>#N/A</v>
      </c>
      <c r="AG163" s="135" t="e">
        <f>+INDEX('NGP Chairs CoChairs'!$A$2:$M$53,MATCH('Supersite Working-AW'!$AA167,'NGP Chairs CoChairs'!$A$2:$A$53,0),12)</f>
        <v>#N/A</v>
      </c>
      <c r="AH163" s="69" t="str">
        <f>+INDEX('NGP Chairs CoChairs'!$A$2:$M$53,MATCH('Supersite Working-AW'!$X167,'NGP Chairs CoChairs'!$A$2:$A$53,0),7)</f>
        <v>7209349497</v>
      </c>
      <c r="AI163" s="69" t="str">
        <f>+INDEX('NGP Chairs CoChairs'!$A$2:$M$53,MATCH('Supersite Working-AW'!$Y167,'NGP Chairs CoChairs'!$A$2:$A$53,0),7)</f>
        <v>3039815392</v>
      </c>
      <c r="AJ163" s="69" t="e">
        <f>+INDEX('NGP Chairs CoChairs'!$A$2:$M$53,MATCH('Supersite Working-AW'!$Z167,'NGP Chairs CoChairs'!$A$2:$A$53,0),7)</f>
        <v>#N/A</v>
      </c>
      <c r="AK163" s="69" t="e">
        <f>+INDEX('NGP Chairs CoChairs'!$A$2:$M$53,MATCH('Supersite Working-AW'!$AA167,'NGP Chairs CoChairs'!$A$2:$A$53,0),7)</f>
        <v>#N/A</v>
      </c>
      <c r="AL163">
        <v>14</v>
      </c>
    </row>
    <row r="164" spans="1:38" ht="17" x14ac:dyDescent="0.2">
      <c r="A164" s="3" t="s">
        <v>145</v>
      </c>
      <c r="B164" s="86">
        <v>207</v>
      </c>
      <c r="C164" s="86" t="s">
        <v>327</v>
      </c>
      <c r="D164" s="86" t="s">
        <v>328</v>
      </c>
      <c r="E164" s="86" t="s">
        <v>93</v>
      </c>
      <c r="F164" s="91" t="s">
        <v>329</v>
      </c>
      <c r="G164" s="86" t="s">
        <v>243</v>
      </c>
      <c r="H164" s="86"/>
      <c r="I164" s="86">
        <v>2</v>
      </c>
      <c r="J164" s="86">
        <v>12</v>
      </c>
      <c r="K164" s="86">
        <v>18</v>
      </c>
      <c r="L164" s="88">
        <v>723</v>
      </c>
      <c r="M164" s="89">
        <f>(L164*$M$2)</f>
        <v>18.074999999999999</v>
      </c>
      <c r="N164" s="89"/>
      <c r="O164" s="86" t="s">
        <v>145</v>
      </c>
      <c r="P164" s="86"/>
      <c r="Q164" s="86" t="s">
        <v>331</v>
      </c>
      <c r="R164" s="115" t="s">
        <v>28</v>
      </c>
      <c r="S164" s="115" t="s">
        <v>280</v>
      </c>
      <c r="T164" s="86"/>
      <c r="U164" s="86" t="s">
        <v>3</v>
      </c>
      <c r="V164" s="19"/>
      <c r="W164" s="19"/>
      <c r="X164" s="95">
        <v>107152695</v>
      </c>
      <c r="Y164" s="19">
        <v>107152704</v>
      </c>
      <c r="Z164" s="19"/>
      <c r="AA164" s="19"/>
      <c r="AB164" s="19"/>
      <c r="AC164" s="19"/>
      <c r="AD164" s="135" t="str">
        <f>+INDEX('NGP Chairs CoChairs'!$A$2:$M$53,MATCH('Supersite Working-AW'!$X168,'NGP Chairs CoChairs'!$A$2:$A$53,0),12)</f>
        <v>Angelique Layton</v>
      </c>
      <c r="AE164" s="135" t="str">
        <f>+INDEX('NGP Chairs CoChairs'!$A$2:$M$53,MATCH('Supersite Working-AW'!$Y168,'NGP Chairs CoChairs'!$A$2:$A$53,0),12)</f>
        <v>Linda Lee</v>
      </c>
      <c r="AF164" s="135" t="e">
        <f>+INDEX('NGP Chairs CoChairs'!$A$2:$M$53,MATCH('Supersite Working-AW'!$Z168,'NGP Chairs CoChairs'!$A$2:$A$53,0),12)</f>
        <v>#N/A</v>
      </c>
      <c r="AG164" s="135" t="e">
        <f>+INDEX('NGP Chairs CoChairs'!$A$2:$M$53,MATCH('Supersite Working-AW'!$AA168,'NGP Chairs CoChairs'!$A$2:$A$53,0),12)</f>
        <v>#N/A</v>
      </c>
      <c r="AH164" s="69" t="str">
        <f>+INDEX('NGP Chairs CoChairs'!$A$2:$M$53,MATCH('Supersite Working-AW'!$X168,'NGP Chairs CoChairs'!$A$2:$A$53,0),7)</f>
        <v>7209349497</v>
      </c>
      <c r="AI164" s="69" t="str">
        <f>+INDEX('NGP Chairs CoChairs'!$A$2:$M$53,MATCH('Supersite Working-AW'!$Y168,'NGP Chairs CoChairs'!$A$2:$A$53,0),7)</f>
        <v>3039815392</v>
      </c>
      <c r="AJ164" s="69" t="e">
        <f>+INDEX('NGP Chairs CoChairs'!$A$2:$M$53,MATCH('Supersite Working-AW'!$Z168,'NGP Chairs CoChairs'!$A$2:$A$53,0),7)</f>
        <v>#N/A</v>
      </c>
      <c r="AK164" s="69" t="e">
        <f>+INDEX('NGP Chairs CoChairs'!$A$2:$M$53,MATCH('Supersite Working-AW'!$AA168,'NGP Chairs CoChairs'!$A$2:$A$53,0),7)</f>
        <v>#N/A</v>
      </c>
      <c r="AL164">
        <v>14</v>
      </c>
    </row>
    <row r="165" spans="1:38" ht="17" x14ac:dyDescent="0.2">
      <c r="A165" s="3" t="s">
        <v>145</v>
      </c>
      <c r="B165" s="86">
        <v>205</v>
      </c>
      <c r="C165" s="86" t="s">
        <v>332</v>
      </c>
      <c r="D165" s="86" t="s">
        <v>333</v>
      </c>
      <c r="E165" s="86" t="s">
        <v>93</v>
      </c>
      <c r="F165" s="91" t="s">
        <v>329</v>
      </c>
      <c r="G165" s="86" t="s">
        <v>243</v>
      </c>
      <c r="H165" s="86"/>
      <c r="I165" s="86">
        <v>2</v>
      </c>
      <c r="J165" s="86">
        <v>12</v>
      </c>
      <c r="K165" s="86">
        <v>18</v>
      </c>
      <c r="L165" s="88">
        <v>517</v>
      </c>
      <c r="M165" s="89">
        <f>(L165*$M$2)</f>
        <v>12.925000000000001</v>
      </c>
      <c r="N165" s="89"/>
      <c r="O165" s="86" t="s">
        <v>145</v>
      </c>
      <c r="P165" s="86"/>
      <c r="Q165" s="86" t="s">
        <v>331</v>
      </c>
      <c r="R165" s="115" t="s">
        <v>28</v>
      </c>
      <c r="S165" s="116" t="s">
        <v>28</v>
      </c>
      <c r="T165" s="86"/>
      <c r="U165" s="86" t="s">
        <v>3</v>
      </c>
      <c r="V165" s="19"/>
      <c r="W165" s="19"/>
      <c r="X165" s="95">
        <v>107152695</v>
      </c>
      <c r="Y165" s="19">
        <v>107152704</v>
      </c>
      <c r="Z165" s="19"/>
      <c r="AA165" s="19"/>
      <c r="AB165" s="19"/>
      <c r="AC165" s="19"/>
      <c r="AD165" s="135" t="str">
        <f>+INDEX('NGP Chairs CoChairs'!$A$2:$M$53,MATCH('Supersite Working-AW'!$X166,'NGP Chairs CoChairs'!$A$2:$A$53,0),12)</f>
        <v>Angelique Layton</v>
      </c>
      <c r="AE165" s="135" t="str">
        <f>+INDEX('NGP Chairs CoChairs'!$A$2:$M$53,MATCH('Supersite Working-AW'!$Y166,'NGP Chairs CoChairs'!$A$2:$A$53,0),12)</f>
        <v>Linda Lee</v>
      </c>
      <c r="AF165" s="135" t="e">
        <f>+INDEX('NGP Chairs CoChairs'!$A$2:$M$53,MATCH('Supersite Working-AW'!$Z166,'NGP Chairs CoChairs'!$A$2:$A$53,0),12)</f>
        <v>#N/A</v>
      </c>
      <c r="AG165" s="135" t="e">
        <f>+INDEX('NGP Chairs CoChairs'!$A$2:$M$53,MATCH('Supersite Working-AW'!$AA166,'NGP Chairs CoChairs'!$A$2:$A$53,0),12)</f>
        <v>#N/A</v>
      </c>
      <c r="AH165" s="69" t="str">
        <f>+INDEX('NGP Chairs CoChairs'!$A$2:$M$53,MATCH('Supersite Working-AW'!$X166,'NGP Chairs CoChairs'!$A$2:$A$53,0),7)</f>
        <v>7209349497</v>
      </c>
      <c r="AI165" s="69" t="str">
        <f>+INDEX('NGP Chairs CoChairs'!$A$2:$M$53,MATCH('Supersite Working-AW'!$Y166,'NGP Chairs CoChairs'!$A$2:$A$53,0),7)</f>
        <v>3039815392</v>
      </c>
      <c r="AJ165" s="69" t="e">
        <f>+INDEX('NGP Chairs CoChairs'!$A$2:$M$53,MATCH('Supersite Working-AW'!$Z166,'NGP Chairs CoChairs'!$A$2:$A$53,0),7)</f>
        <v>#N/A</v>
      </c>
      <c r="AK165" s="69" t="e">
        <f>+INDEX('NGP Chairs CoChairs'!$A$2:$M$53,MATCH('Supersite Working-AW'!$AA166,'NGP Chairs CoChairs'!$A$2:$A$53,0),7)</f>
        <v>#N/A</v>
      </c>
      <c r="AL165">
        <v>14</v>
      </c>
    </row>
    <row r="166" spans="1:38" ht="17" x14ac:dyDescent="0.2">
      <c r="A166" s="3" t="s">
        <v>145</v>
      </c>
      <c r="B166" s="86">
        <v>208</v>
      </c>
      <c r="C166" s="86" t="s">
        <v>332</v>
      </c>
      <c r="D166" s="86" t="s">
        <v>333</v>
      </c>
      <c r="E166" s="86" t="s">
        <v>93</v>
      </c>
      <c r="F166" s="91" t="s">
        <v>329</v>
      </c>
      <c r="G166" s="86" t="s">
        <v>243</v>
      </c>
      <c r="H166" s="86"/>
      <c r="I166" s="86">
        <v>2</v>
      </c>
      <c r="J166" s="86">
        <v>12</v>
      </c>
      <c r="K166" s="86">
        <v>18</v>
      </c>
      <c r="L166" s="88">
        <v>481</v>
      </c>
      <c r="M166" s="89">
        <f>(L166*$M$2)</f>
        <v>12.025</v>
      </c>
      <c r="N166" s="89"/>
      <c r="O166" s="86" t="s">
        <v>145</v>
      </c>
      <c r="P166" s="86"/>
      <c r="Q166" s="86" t="s">
        <v>331</v>
      </c>
      <c r="R166" s="115" t="s">
        <v>28</v>
      </c>
      <c r="S166" s="116" t="s">
        <v>28</v>
      </c>
      <c r="T166" s="86"/>
      <c r="U166" s="86" t="s">
        <v>3</v>
      </c>
      <c r="V166" s="19"/>
      <c r="W166" s="19"/>
      <c r="X166" s="95">
        <v>107152695</v>
      </c>
      <c r="Y166" s="19">
        <v>107152704</v>
      </c>
      <c r="Z166" s="19"/>
      <c r="AA166" s="19"/>
      <c r="AB166" s="19"/>
      <c r="AC166" s="19"/>
      <c r="AD166" s="135" t="str">
        <f>+INDEX('NGP Chairs CoChairs'!$A$2:$M$53,MATCH('Supersite Working-AW'!$X169,'NGP Chairs CoChairs'!$A$2:$A$53,0),12)</f>
        <v>Angelique Layton</v>
      </c>
      <c r="AE166" s="135" t="str">
        <f>+INDEX('NGP Chairs CoChairs'!$A$2:$M$53,MATCH('Supersite Working-AW'!$Y169,'NGP Chairs CoChairs'!$A$2:$A$53,0),12)</f>
        <v>Linda Lee</v>
      </c>
      <c r="AF166" s="135" t="e">
        <f>+INDEX('NGP Chairs CoChairs'!$A$2:$M$53,MATCH('Supersite Working-AW'!$Z169,'NGP Chairs CoChairs'!$A$2:$A$53,0),12)</f>
        <v>#N/A</v>
      </c>
      <c r="AG166" s="135" t="e">
        <f>+INDEX('NGP Chairs CoChairs'!$A$2:$M$53,MATCH('Supersite Working-AW'!$AA169,'NGP Chairs CoChairs'!$A$2:$A$53,0),12)</f>
        <v>#N/A</v>
      </c>
      <c r="AH166" s="69" t="str">
        <f>+INDEX('NGP Chairs CoChairs'!$A$2:$M$53,MATCH('Supersite Working-AW'!$X169,'NGP Chairs CoChairs'!$A$2:$A$53,0),7)</f>
        <v>7209349497</v>
      </c>
      <c r="AI166" s="69" t="str">
        <f>+INDEX('NGP Chairs CoChairs'!$A$2:$M$53,MATCH('Supersite Working-AW'!$Y169,'NGP Chairs CoChairs'!$A$2:$A$53,0),7)</f>
        <v>3039815392</v>
      </c>
      <c r="AJ166" s="69" t="e">
        <f>+INDEX('NGP Chairs CoChairs'!$A$2:$M$53,MATCH('Supersite Working-AW'!$Z169,'NGP Chairs CoChairs'!$A$2:$A$53,0),7)</f>
        <v>#N/A</v>
      </c>
      <c r="AK166" s="69" t="e">
        <f>+INDEX('NGP Chairs CoChairs'!$A$2:$M$53,MATCH('Supersite Working-AW'!$AA169,'NGP Chairs CoChairs'!$A$2:$A$53,0),7)</f>
        <v>#N/A</v>
      </c>
      <c r="AL166">
        <v>14</v>
      </c>
    </row>
    <row r="167" spans="1:38" ht="17" x14ac:dyDescent="0.2">
      <c r="A167" s="3" t="s">
        <v>145</v>
      </c>
      <c r="B167" s="86">
        <v>209</v>
      </c>
      <c r="C167" s="86" t="s">
        <v>332</v>
      </c>
      <c r="D167" s="86" t="s">
        <v>333</v>
      </c>
      <c r="E167" s="86" t="s">
        <v>93</v>
      </c>
      <c r="F167" s="91" t="s">
        <v>329</v>
      </c>
      <c r="G167" s="86" t="s">
        <v>243</v>
      </c>
      <c r="H167" s="86"/>
      <c r="I167" s="86">
        <v>2</v>
      </c>
      <c r="J167" s="86">
        <v>12</v>
      </c>
      <c r="K167" s="86">
        <v>18</v>
      </c>
      <c r="L167" s="88">
        <v>717</v>
      </c>
      <c r="M167" s="89">
        <f>(L167*$M$2)</f>
        <v>17.925000000000001</v>
      </c>
      <c r="N167" s="89"/>
      <c r="O167" s="86" t="s">
        <v>145</v>
      </c>
      <c r="P167" s="86"/>
      <c r="Q167" s="86" t="s">
        <v>331</v>
      </c>
      <c r="R167" s="115" t="s">
        <v>28</v>
      </c>
      <c r="S167" s="116" t="s">
        <v>28</v>
      </c>
      <c r="T167" s="86"/>
      <c r="U167" s="86" t="s">
        <v>3</v>
      </c>
      <c r="V167" s="19"/>
      <c r="W167" s="19"/>
      <c r="X167" s="95">
        <v>107152695</v>
      </c>
      <c r="Y167" s="19">
        <v>107152704</v>
      </c>
      <c r="Z167" s="19"/>
      <c r="AA167" s="19"/>
      <c r="AB167" s="19"/>
      <c r="AC167" s="19"/>
      <c r="AD167" s="135" t="str">
        <f>+INDEX('NGP Chairs CoChairs'!$A$2:$M$53,MATCH('Supersite Working-AW'!$X170,'NGP Chairs CoChairs'!$A$2:$A$53,0),12)</f>
        <v>Angelique Layton</v>
      </c>
      <c r="AE167" s="135" t="str">
        <f>+INDEX('NGP Chairs CoChairs'!$A$2:$M$53,MATCH('Supersite Working-AW'!$Y170,'NGP Chairs CoChairs'!$A$2:$A$53,0),12)</f>
        <v>Linda Lee</v>
      </c>
      <c r="AF167" s="135" t="e">
        <f>+INDEX('NGP Chairs CoChairs'!$A$2:$M$53,MATCH('Supersite Working-AW'!$Z170,'NGP Chairs CoChairs'!$A$2:$A$53,0),12)</f>
        <v>#N/A</v>
      </c>
      <c r="AG167" s="135" t="e">
        <f>+INDEX('NGP Chairs CoChairs'!$A$2:$M$53,MATCH('Supersite Working-AW'!$AA170,'NGP Chairs CoChairs'!$A$2:$A$53,0),12)</f>
        <v>#N/A</v>
      </c>
      <c r="AH167" s="69" t="str">
        <f>+INDEX('NGP Chairs CoChairs'!$A$2:$M$53,MATCH('Supersite Working-AW'!$X170,'NGP Chairs CoChairs'!$A$2:$A$53,0),7)</f>
        <v>7209349497</v>
      </c>
      <c r="AI167" s="69" t="str">
        <f>+INDEX('NGP Chairs CoChairs'!$A$2:$M$53,MATCH('Supersite Working-AW'!$Y170,'NGP Chairs CoChairs'!$A$2:$A$53,0),7)</f>
        <v>3039815392</v>
      </c>
      <c r="AJ167" s="69" t="e">
        <f>+INDEX('NGP Chairs CoChairs'!$A$2:$M$53,MATCH('Supersite Working-AW'!$Z170,'NGP Chairs CoChairs'!$A$2:$A$53,0),7)</f>
        <v>#N/A</v>
      </c>
      <c r="AK167" s="69" t="e">
        <f>+INDEX('NGP Chairs CoChairs'!$A$2:$M$53,MATCH('Supersite Working-AW'!$AA170,'NGP Chairs CoChairs'!$A$2:$A$53,0),7)</f>
        <v>#N/A</v>
      </c>
      <c r="AL167">
        <v>14</v>
      </c>
    </row>
    <row r="168" spans="1:38" ht="17" x14ac:dyDescent="0.2">
      <c r="A168" s="3" t="s">
        <v>145</v>
      </c>
      <c r="B168" s="86">
        <v>210</v>
      </c>
      <c r="C168" s="86" t="s">
        <v>332</v>
      </c>
      <c r="D168" s="86" t="s">
        <v>333</v>
      </c>
      <c r="E168" s="86" t="s">
        <v>93</v>
      </c>
      <c r="F168" s="91" t="s">
        <v>329</v>
      </c>
      <c r="G168" s="86" t="s">
        <v>243</v>
      </c>
      <c r="H168" s="86"/>
      <c r="I168" s="86">
        <v>2</v>
      </c>
      <c r="J168" s="86">
        <v>12</v>
      </c>
      <c r="K168" s="86">
        <v>18</v>
      </c>
      <c r="L168" s="88">
        <v>690</v>
      </c>
      <c r="M168" s="89">
        <f>(L168*$M$2)</f>
        <v>17.25</v>
      </c>
      <c r="N168" s="89"/>
      <c r="O168" s="86" t="s">
        <v>145</v>
      </c>
      <c r="P168" s="86"/>
      <c r="Q168" s="86" t="s">
        <v>331</v>
      </c>
      <c r="R168" s="115" t="s">
        <v>28</v>
      </c>
      <c r="S168" s="116" t="s">
        <v>28</v>
      </c>
      <c r="T168" s="86"/>
      <c r="U168" s="86" t="s">
        <v>3</v>
      </c>
      <c r="V168" s="19"/>
      <c r="W168" s="19"/>
      <c r="X168" s="95">
        <v>107152695</v>
      </c>
      <c r="Y168" s="19">
        <v>107152704</v>
      </c>
      <c r="Z168" s="19"/>
      <c r="AA168" s="19"/>
      <c r="AB168" s="19"/>
      <c r="AC168" s="19"/>
      <c r="AD168" s="135" t="str">
        <f>+INDEX('NGP Chairs CoChairs'!$A$2:$M$53,MATCH('Supersite Working-AW'!$X171,'NGP Chairs CoChairs'!$A$2:$A$53,0),12)</f>
        <v>Lisa Lesniak</v>
      </c>
      <c r="AE168" s="135" t="str">
        <f>+INDEX('NGP Chairs CoChairs'!$A$2:$M$53,MATCH('Supersite Working-AW'!$Y171,'NGP Chairs CoChairs'!$A$2:$A$53,0),12)</f>
        <v>Allen Nelson</v>
      </c>
      <c r="AF168" s="135" t="e">
        <f>+INDEX('NGP Chairs CoChairs'!$A$2:$M$53,MATCH('Supersite Working-AW'!$Z171,'NGP Chairs CoChairs'!$A$2:$A$53,0),12)</f>
        <v>#N/A</v>
      </c>
      <c r="AG168" s="135" t="e">
        <f>+INDEX('NGP Chairs CoChairs'!$A$2:$M$53,MATCH('Supersite Working-AW'!$AA171,'NGP Chairs CoChairs'!$A$2:$A$53,0),12)</f>
        <v>#N/A</v>
      </c>
      <c r="AH168" s="69" t="str">
        <f>+INDEX('NGP Chairs CoChairs'!$A$2:$M$53,MATCH('Supersite Working-AW'!$X171,'NGP Chairs CoChairs'!$A$2:$A$53,0),7)</f>
        <v>2144977899</v>
      </c>
      <c r="AI168" s="69" t="str">
        <f>+INDEX('NGP Chairs CoChairs'!$A$2:$M$53,MATCH('Supersite Working-AW'!$Y171,'NGP Chairs CoChairs'!$A$2:$A$53,0),7)</f>
        <v>3032583745</v>
      </c>
      <c r="AJ168" s="69" t="e">
        <f>+INDEX('NGP Chairs CoChairs'!$A$2:$M$53,MATCH('Supersite Working-AW'!$Z171,'NGP Chairs CoChairs'!$A$2:$A$53,0),7)</f>
        <v>#N/A</v>
      </c>
      <c r="AK168" s="69" t="e">
        <f>+INDEX('NGP Chairs CoChairs'!$A$2:$M$53,MATCH('Supersite Working-AW'!$AA171,'NGP Chairs CoChairs'!$A$2:$A$53,0),7)</f>
        <v>#N/A</v>
      </c>
      <c r="AL168">
        <v>14</v>
      </c>
    </row>
    <row r="169" spans="1:38" ht="17" x14ac:dyDescent="0.2">
      <c r="A169" s="3" t="s">
        <v>145</v>
      </c>
      <c r="B169" s="86">
        <v>211</v>
      </c>
      <c r="C169" s="86" t="s">
        <v>332</v>
      </c>
      <c r="D169" s="86" t="s">
        <v>333</v>
      </c>
      <c r="E169" s="86" t="s">
        <v>93</v>
      </c>
      <c r="F169" s="91" t="s">
        <v>329</v>
      </c>
      <c r="G169" s="86" t="s">
        <v>243</v>
      </c>
      <c r="H169" s="86"/>
      <c r="I169" s="86">
        <v>2</v>
      </c>
      <c r="J169" s="86">
        <v>12</v>
      </c>
      <c r="K169" s="86">
        <v>18</v>
      </c>
      <c r="L169" s="88">
        <v>395</v>
      </c>
      <c r="M169" s="89">
        <f>(L169*$M$2)</f>
        <v>9.875</v>
      </c>
      <c r="N169" s="89"/>
      <c r="O169" s="86" t="s">
        <v>145</v>
      </c>
      <c r="P169" s="86"/>
      <c r="Q169" s="86" t="s">
        <v>331</v>
      </c>
      <c r="R169" s="115" t="s">
        <v>28</v>
      </c>
      <c r="S169" s="116" t="s">
        <v>28</v>
      </c>
      <c r="T169" s="86"/>
      <c r="U169" s="86" t="s">
        <v>3</v>
      </c>
      <c r="V169" s="19"/>
      <c r="W169" s="19"/>
      <c r="X169" s="95">
        <v>107152695</v>
      </c>
      <c r="Y169" s="19">
        <v>107152704</v>
      </c>
      <c r="Z169" s="19"/>
      <c r="AA169" s="19"/>
      <c r="AB169" s="19"/>
      <c r="AC169" s="19"/>
      <c r="AD169" s="135" t="str">
        <f>+INDEX('NGP Chairs CoChairs'!$A$2:$M$53,MATCH('Supersite Working-AW'!$X172,'NGP Chairs CoChairs'!$A$2:$A$53,0),12)</f>
        <v>Lisa Lesniak</v>
      </c>
      <c r="AE169" s="135" t="str">
        <f>+INDEX('NGP Chairs CoChairs'!$A$2:$M$53,MATCH('Supersite Working-AW'!$Y172,'NGP Chairs CoChairs'!$A$2:$A$53,0),12)</f>
        <v>Allen Nelson</v>
      </c>
      <c r="AF169" s="135" t="e">
        <f>+INDEX('NGP Chairs CoChairs'!$A$2:$M$53,MATCH('Supersite Working-AW'!$Z172,'NGP Chairs CoChairs'!$A$2:$A$53,0),12)</f>
        <v>#N/A</v>
      </c>
      <c r="AG169" s="135" t="e">
        <f>+INDEX('NGP Chairs CoChairs'!$A$2:$M$53,MATCH('Supersite Working-AW'!$AA172,'NGP Chairs CoChairs'!$A$2:$A$53,0),12)</f>
        <v>#N/A</v>
      </c>
      <c r="AH169" s="69" t="str">
        <f>+INDEX('NGP Chairs CoChairs'!$A$2:$M$53,MATCH('Supersite Working-AW'!$X172,'NGP Chairs CoChairs'!$A$2:$A$53,0),7)</f>
        <v>2144977899</v>
      </c>
      <c r="AI169" s="69" t="str">
        <f>+INDEX('NGP Chairs CoChairs'!$A$2:$M$53,MATCH('Supersite Working-AW'!$Y172,'NGP Chairs CoChairs'!$A$2:$A$53,0),7)</f>
        <v>3032583745</v>
      </c>
      <c r="AJ169" s="69" t="e">
        <f>+INDEX('NGP Chairs CoChairs'!$A$2:$M$53,MATCH('Supersite Working-AW'!$Z172,'NGP Chairs CoChairs'!$A$2:$A$53,0),7)</f>
        <v>#N/A</v>
      </c>
      <c r="AK169" s="69" t="e">
        <f>+INDEX('NGP Chairs CoChairs'!$A$2:$M$53,MATCH('Supersite Working-AW'!$AA172,'NGP Chairs CoChairs'!$A$2:$A$53,0),7)</f>
        <v>#N/A</v>
      </c>
      <c r="AL169">
        <v>14</v>
      </c>
    </row>
    <row r="170" spans="1:38" ht="17" x14ac:dyDescent="0.2">
      <c r="A170" s="3" t="s">
        <v>145</v>
      </c>
      <c r="B170" s="86">
        <v>212</v>
      </c>
      <c r="C170" s="86" t="s">
        <v>332</v>
      </c>
      <c r="D170" s="86" t="s">
        <v>333</v>
      </c>
      <c r="E170" s="86" t="s">
        <v>93</v>
      </c>
      <c r="F170" s="91" t="s">
        <v>329</v>
      </c>
      <c r="G170" s="86" t="s">
        <v>243</v>
      </c>
      <c r="H170" s="86"/>
      <c r="I170" s="86">
        <v>2</v>
      </c>
      <c r="J170" s="86">
        <v>12</v>
      </c>
      <c r="K170" s="86">
        <v>18</v>
      </c>
      <c r="L170" s="88">
        <v>612</v>
      </c>
      <c r="M170" s="89">
        <f>(L170*$M$2)</f>
        <v>15.3</v>
      </c>
      <c r="N170" s="89">
        <f>SUM(M158:M170)</f>
        <v>179.62500000000003</v>
      </c>
      <c r="O170" s="86" t="s">
        <v>145</v>
      </c>
      <c r="P170" s="86"/>
      <c r="Q170" s="86" t="s">
        <v>331</v>
      </c>
      <c r="R170" s="115" t="s">
        <v>28</v>
      </c>
      <c r="S170" s="116" t="s">
        <v>28</v>
      </c>
      <c r="T170" s="86"/>
      <c r="U170" s="86" t="s">
        <v>3</v>
      </c>
      <c r="V170" s="19"/>
      <c r="W170" s="19"/>
      <c r="X170" s="95">
        <v>107152695</v>
      </c>
      <c r="Y170" s="19">
        <v>107152704</v>
      </c>
      <c r="Z170" s="19"/>
      <c r="AA170" s="19"/>
      <c r="AB170" s="19"/>
      <c r="AC170" s="19"/>
      <c r="AD170" s="135" t="str">
        <f>+INDEX('NGP Chairs CoChairs'!$A$2:$M$53,MATCH('Supersite Working-AW'!$X173,'NGP Chairs CoChairs'!$A$2:$A$53,0),12)</f>
        <v>Lisa Lesniak</v>
      </c>
      <c r="AE170" s="135" t="str">
        <f>+INDEX('NGP Chairs CoChairs'!$A$2:$M$53,MATCH('Supersite Working-AW'!$Y173,'NGP Chairs CoChairs'!$A$2:$A$53,0),12)</f>
        <v>Allen Nelson</v>
      </c>
      <c r="AF170" s="135" t="e">
        <f>+INDEX('NGP Chairs CoChairs'!$A$2:$M$53,MATCH('Supersite Working-AW'!$Z173,'NGP Chairs CoChairs'!$A$2:$A$53,0),12)</f>
        <v>#N/A</v>
      </c>
      <c r="AG170" s="135" t="e">
        <f>+INDEX('NGP Chairs CoChairs'!$A$2:$M$53,MATCH('Supersite Working-AW'!$AA173,'NGP Chairs CoChairs'!$A$2:$A$53,0),12)</f>
        <v>#N/A</v>
      </c>
      <c r="AH170" s="69" t="str">
        <f>+INDEX('NGP Chairs CoChairs'!$A$2:$M$53,MATCH('Supersite Working-AW'!$X173,'NGP Chairs CoChairs'!$A$2:$A$53,0),7)</f>
        <v>2144977899</v>
      </c>
      <c r="AI170" s="69" t="str">
        <f>+INDEX('NGP Chairs CoChairs'!$A$2:$M$53,MATCH('Supersite Working-AW'!$Y173,'NGP Chairs CoChairs'!$A$2:$A$53,0),7)</f>
        <v>3032583745</v>
      </c>
      <c r="AJ170" s="69" t="e">
        <f>+INDEX('NGP Chairs CoChairs'!$A$2:$M$53,MATCH('Supersite Working-AW'!$Z173,'NGP Chairs CoChairs'!$A$2:$A$53,0),7)</f>
        <v>#N/A</v>
      </c>
      <c r="AK170" s="69" t="e">
        <f>+INDEX('NGP Chairs CoChairs'!$A$2:$M$53,MATCH('Supersite Working-AW'!$AA173,'NGP Chairs CoChairs'!$A$2:$A$53,0),7)</f>
        <v>#N/A</v>
      </c>
      <c r="AL170">
        <v>14</v>
      </c>
    </row>
    <row r="171" spans="1:38" ht="17" x14ac:dyDescent="0.2">
      <c r="A171" s="3" t="s">
        <v>344</v>
      </c>
      <c r="B171" s="86">
        <v>901</v>
      </c>
      <c r="C171" s="86" t="s">
        <v>345</v>
      </c>
      <c r="D171" s="86" t="s">
        <v>346</v>
      </c>
      <c r="E171" s="86" t="s">
        <v>347</v>
      </c>
      <c r="F171" s="91" t="s">
        <v>348</v>
      </c>
      <c r="G171" s="86" t="s">
        <v>243</v>
      </c>
      <c r="H171" s="86"/>
      <c r="I171" s="86">
        <v>2</v>
      </c>
      <c r="J171" s="86">
        <v>49</v>
      </c>
      <c r="K171" s="86">
        <v>15</v>
      </c>
      <c r="L171" s="88">
        <v>366</v>
      </c>
      <c r="M171" s="89">
        <f>(L171*$M$2)</f>
        <v>9.15</v>
      </c>
      <c r="N171" s="89"/>
      <c r="O171" s="86" t="s">
        <v>188</v>
      </c>
      <c r="P171" s="86"/>
      <c r="Q171" s="86"/>
      <c r="R171" s="86" t="s">
        <v>40</v>
      </c>
      <c r="S171" s="86" t="s">
        <v>349</v>
      </c>
      <c r="T171" s="86" t="s">
        <v>350</v>
      </c>
      <c r="U171" s="86" t="s">
        <v>3</v>
      </c>
      <c r="V171" s="19"/>
      <c r="W171" s="19"/>
      <c r="X171" s="95">
        <v>118591255</v>
      </c>
      <c r="Y171" s="19">
        <v>114937498</v>
      </c>
      <c r="Z171" s="19"/>
      <c r="AA171" s="19"/>
      <c r="AB171" s="19"/>
      <c r="AC171" s="19"/>
      <c r="AD171" s="135" t="str">
        <f>+INDEX('NGP Chairs CoChairs'!$A$2:$M$53,MATCH('Supersite Working-AW'!$X182,'NGP Chairs CoChairs'!$A$2:$A$53,0),12)</f>
        <v>Becky Martinek</v>
      </c>
      <c r="AE171" s="135" t="e">
        <f>+INDEX('NGP Chairs CoChairs'!$A$2:$M$53,MATCH('Supersite Working-AW'!$Y182,'NGP Chairs CoChairs'!$A$2:$A$53,0),12)</f>
        <v>#N/A</v>
      </c>
      <c r="AF171" s="135" t="e">
        <f>+INDEX('NGP Chairs CoChairs'!$A$2:$M$53,MATCH('Supersite Working-AW'!$Z182,'NGP Chairs CoChairs'!$A$2:$A$53,0),12)</f>
        <v>#N/A</v>
      </c>
      <c r="AG171" s="135" t="e">
        <f>+INDEX('NGP Chairs CoChairs'!$A$2:$M$53,MATCH('Supersite Working-AW'!$AA182,'NGP Chairs CoChairs'!$A$2:$A$53,0),12)</f>
        <v>#N/A</v>
      </c>
      <c r="AH171" s="69" t="str">
        <f>+INDEX('NGP Chairs CoChairs'!$A$2:$M$53,MATCH('Supersite Working-AW'!$X182,'NGP Chairs CoChairs'!$A$2:$A$53,0),7)</f>
        <v>3033191169</v>
      </c>
      <c r="AI171" s="69" t="e">
        <f>+INDEX('NGP Chairs CoChairs'!$A$2:$M$53,MATCH('Supersite Working-AW'!$Y182,'NGP Chairs CoChairs'!$A$2:$A$53,0),7)</f>
        <v>#N/A</v>
      </c>
      <c r="AJ171" s="69" t="e">
        <f>+INDEX('NGP Chairs CoChairs'!$A$2:$M$53,MATCH('Supersite Working-AW'!$Z182,'NGP Chairs CoChairs'!$A$2:$A$53,0),7)</f>
        <v>#N/A</v>
      </c>
      <c r="AK171" s="69" t="e">
        <f>+INDEX('NGP Chairs CoChairs'!$A$2:$M$53,MATCH('Supersite Working-AW'!$AA182,'NGP Chairs CoChairs'!$A$2:$A$53,0),7)</f>
        <v>#N/A</v>
      </c>
      <c r="AL171">
        <v>19</v>
      </c>
    </row>
    <row r="172" spans="1:38" ht="17" x14ac:dyDescent="0.2">
      <c r="A172" s="3" t="s">
        <v>344</v>
      </c>
      <c r="B172" s="86">
        <v>902</v>
      </c>
      <c r="C172" s="86" t="s">
        <v>345</v>
      </c>
      <c r="D172" s="86" t="s">
        <v>346</v>
      </c>
      <c r="E172" s="86" t="s">
        <v>347</v>
      </c>
      <c r="F172" s="91" t="s">
        <v>348</v>
      </c>
      <c r="G172" s="86" t="s">
        <v>243</v>
      </c>
      <c r="H172" s="86"/>
      <c r="I172" s="86">
        <v>2</v>
      </c>
      <c r="J172" s="86">
        <v>49</v>
      </c>
      <c r="K172" s="86">
        <v>15</v>
      </c>
      <c r="L172" s="88">
        <v>152</v>
      </c>
      <c r="M172" s="89">
        <f>(L172*$M$2)</f>
        <v>3.8000000000000003</v>
      </c>
      <c r="N172" s="89"/>
      <c r="O172" s="86" t="s">
        <v>188</v>
      </c>
      <c r="P172" s="86"/>
      <c r="Q172" s="86"/>
      <c r="R172" s="86" t="s">
        <v>40</v>
      </c>
      <c r="S172" s="86" t="s">
        <v>349</v>
      </c>
      <c r="T172" s="86" t="s">
        <v>350</v>
      </c>
      <c r="U172" s="86" t="s">
        <v>3</v>
      </c>
      <c r="V172" s="19"/>
      <c r="W172" s="19"/>
      <c r="X172" s="95">
        <v>118591255</v>
      </c>
      <c r="Y172" s="19">
        <v>114937498</v>
      </c>
      <c r="Z172" s="19"/>
      <c r="AA172" s="19"/>
      <c r="AB172" s="19"/>
      <c r="AC172" s="19"/>
      <c r="AD172" s="135" t="str">
        <f>+INDEX('NGP Chairs CoChairs'!$A$2:$M$53,MATCH('Supersite Working-AW'!$X183,'NGP Chairs CoChairs'!$A$2:$A$53,0),12)</f>
        <v>Jasmine Holan</v>
      </c>
      <c r="AE172" s="135" t="e">
        <f>+INDEX('NGP Chairs CoChairs'!$A$2:$M$53,MATCH('Supersite Working-AW'!$Y183,'NGP Chairs CoChairs'!$A$2:$A$53,0),12)</f>
        <v>#N/A</v>
      </c>
      <c r="AF172" s="135" t="e">
        <f>+INDEX('NGP Chairs CoChairs'!$A$2:$M$53,MATCH('Supersite Working-AW'!$Z183,'NGP Chairs CoChairs'!$A$2:$A$53,0),12)</f>
        <v>#N/A</v>
      </c>
      <c r="AG172" s="135" t="e">
        <f>+INDEX('NGP Chairs CoChairs'!$A$2:$M$53,MATCH('Supersite Working-AW'!$AA183,'NGP Chairs CoChairs'!$A$2:$A$53,0),12)</f>
        <v>#N/A</v>
      </c>
      <c r="AH172" s="69" t="str">
        <f>+INDEX('NGP Chairs CoChairs'!$A$2:$M$53,MATCH('Supersite Working-AW'!$X183,'NGP Chairs CoChairs'!$A$2:$A$53,0),7)</f>
        <v>5127450823</v>
      </c>
      <c r="AI172" s="69" t="e">
        <f>+INDEX('NGP Chairs CoChairs'!$A$2:$M$53,MATCH('Supersite Working-AW'!$Y183,'NGP Chairs CoChairs'!$A$2:$A$53,0),7)</f>
        <v>#N/A</v>
      </c>
      <c r="AJ172" s="69" t="e">
        <f>+INDEX('NGP Chairs CoChairs'!$A$2:$M$53,MATCH('Supersite Working-AW'!$Z183,'NGP Chairs CoChairs'!$A$2:$A$53,0),7)</f>
        <v>#N/A</v>
      </c>
      <c r="AK172" s="69" t="e">
        <f>+INDEX('NGP Chairs CoChairs'!$A$2:$M$53,MATCH('Supersite Working-AW'!$AA183,'NGP Chairs CoChairs'!$A$2:$A$53,0),7)</f>
        <v>#N/A</v>
      </c>
      <c r="AL172">
        <v>19</v>
      </c>
    </row>
    <row r="173" spans="1:38" ht="17" x14ac:dyDescent="0.2">
      <c r="A173" s="3" t="s">
        <v>344</v>
      </c>
      <c r="B173" s="86">
        <v>903</v>
      </c>
      <c r="C173" s="86" t="s">
        <v>345</v>
      </c>
      <c r="D173" s="86" t="s">
        <v>346</v>
      </c>
      <c r="E173" s="86" t="s">
        <v>347</v>
      </c>
      <c r="F173" s="91" t="s">
        <v>348</v>
      </c>
      <c r="G173" s="86" t="s">
        <v>243</v>
      </c>
      <c r="H173" s="86"/>
      <c r="I173" s="86">
        <v>2</v>
      </c>
      <c r="J173" s="86">
        <v>49</v>
      </c>
      <c r="K173" s="86">
        <v>15</v>
      </c>
      <c r="L173" s="88">
        <v>345</v>
      </c>
      <c r="M173" s="89">
        <f>(L173*$M$2)</f>
        <v>8.625</v>
      </c>
      <c r="N173" s="89"/>
      <c r="O173" s="86" t="s">
        <v>188</v>
      </c>
      <c r="P173" s="86"/>
      <c r="Q173" s="86"/>
      <c r="R173" s="86" t="s">
        <v>40</v>
      </c>
      <c r="S173" s="86" t="s">
        <v>349</v>
      </c>
      <c r="T173" s="86" t="s">
        <v>350</v>
      </c>
      <c r="U173" s="86" t="s">
        <v>3</v>
      </c>
      <c r="V173" s="19"/>
      <c r="W173" s="19"/>
      <c r="X173" s="95">
        <v>118591255</v>
      </c>
      <c r="Y173" s="19">
        <v>114937498</v>
      </c>
      <c r="Z173" s="19"/>
      <c r="AA173" s="19"/>
      <c r="AB173" s="19"/>
      <c r="AC173" s="19"/>
      <c r="AD173" s="135" t="str">
        <f>+INDEX('NGP Chairs CoChairs'!$A$2:$M$53,MATCH('Supersite Working-AW'!$X184,'NGP Chairs CoChairs'!$A$2:$A$53,0),12)</f>
        <v>Jen Wingard</v>
      </c>
      <c r="AE173" s="135" t="e">
        <f>+INDEX('NGP Chairs CoChairs'!$A$2:$M$53,MATCH('Supersite Working-AW'!$Y184,'NGP Chairs CoChairs'!$A$2:$A$53,0),12)</f>
        <v>#N/A</v>
      </c>
      <c r="AF173" s="135" t="e">
        <f>+INDEX('NGP Chairs CoChairs'!$A$2:$M$53,MATCH('Supersite Working-AW'!$Z184,'NGP Chairs CoChairs'!$A$2:$A$53,0),12)</f>
        <v>#N/A</v>
      </c>
      <c r="AG173" s="135" t="e">
        <f>+INDEX('NGP Chairs CoChairs'!$A$2:$M$53,MATCH('Supersite Working-AW'!$AA184,'NGP Chairs CoChairs'!$A$2:$A$53,0),12)</f>
        <v>#N/A</v>
      </c>
      <c r="AH173" s="69" t="str">
        <f>+INDEX('NGP Chairs CoChairs'!$A$2:$M$53,MATCH('Supersite Working-AW'!$X184,'NGP Chairs CoChairs'!$A$2:$A$53,0),7)</f>
        <v>3038095686</v>
      </c>
      <c r="AI173" s="69" t="e">
        <f>+INDEX('NGP Chairs CoChairs'!$A$2:$M$53,MATCH('Supersite Working-AW'!$Y184,'NGP Chairs CoChairs'!$A$2:$A$53,0),7)</f>
        <v>#N/A</v>
      </c>
      <c r="AJ173" s="69" t="e">
        <f>+INDEX('NGP Chairs CoChairs'!$A$2:$M$53,MATCH('Supersite Working-AW'!$Z184,'NGP Chairs CoChairs'!$A$2:$A$53,0),7)</f>
        <v>#N/A</v>
      </c>
      <c r="AK173" s="69" t="e">
        <f>+INDEX('NGP Chairs CoChairs'!$A$2:$M$53,MATCH('Supersite Working-AW'!$AA184,'NGP Chairs CoChairs'!$A$2:$A$53,0),7)</f>
        <v>#N/A</v>
      </c>
      <c r="AL173">
        <v>19</v>
      </c>
    </row>
    <row r="174" spans="1:38" ht="17" x14ac:dyDescent="0.2">
      <c r="A174" s="3" t="s">
        <v>344</v>
      </c>
      <c r="B174" s="86">
        <v>904</v>
      </c>
      <c r="C174" s="86" t="s">
        <v>345</v>
      </c>
      <c r="D174" s="86" t="s">
        <v>346</v>
      </c>
      <c r="E174" s="86" t="s">
        <v>347</v>
      </c>
      <c r="F174" s="91" t="s">
        <v>348</v>
      </c>
      <c r="G174" s="86" t="s">
        <v>243</v>
      </c>
      <c r="H174" s="86"/>
      <c r="I174" s="86">
        <v>2</v>
      </c>
      <c r="J174" s="86">
        <v>49</v>
      </c>
      <c r="K174" s="86">
        <v>15</v>
      </c>
      <c r="L174" s="88">
        <v>566</v>
      </c>
      <c r="M174" s="89">
        <f>(L174*$M$2)</f>
        <v>14.15</v>
      </c>
      <c r="N174" s="89"/>
      <c r="O174" s="86" t="s">
        <v>188</v>
      </c>
      <c r="P174" s="86"/>
      <c r="Q174" s="86"/>
      <c r="R174" s="86" t="s">
        <v>40</v>
      </c>
      <c r="S174" s="86" t="s">
        <v>349</v>
      </c>
      <c r="T174" s="86" t="s">
        <v>350</v>
      </c>
      <c r="U174" s="86" t="s">
        <v>3</v>
      </c>
      <c r="V174" s="19"/>
      <c r="W174" s="19"/>
      <c r="X174" s="95">
        <v>118591255</v>
      </c>
      <c r="Y174" s="19">
        <v>114937498</v>
      </c>
      <c r="Z174" s="19"/>
      <c r="AA174" s="19"/>
      <c r="AB174" s="19"/>
      <c r="AC174" s="19"/>
      <c r="AD174" s="135" t="str">
        <f>+INDEX('NGP Chairs CoChairs'!$A$2:$M$53,MATCH('Supersite Working-AW'!$X185,'NGP Chairs CoChairs'!$A$2:$A$53,0),12)</f>
        <v>Jen Wingard</v>
      </c>
      <c r="AE174" s="135" t="e">
        <f>+INDEX('NGP Chairs CoChairs'!$A$2:$M$53,MATCH('Supersite Working-AW'!$Y185,'NGP Chairs CoChairs'!$A$2:$A$53,0),12)</f>
        <v>#N/A</v>
      </c>
      <c r="AF174" s="135" t="e">
        <f>+INDEX('NGP Chairs CoChairs'!$A$2:$M$53,MATCH('Supersite Working-AW'!$Z185,'NGP Chairs CoChairs'!$A$2:$A$53,0),12)</f>
        <v>#N/A</v>
      </c>
      <c r="AG174" s="135" t="e">
        <f>+INDEX('NGP Chairs CoChairs'!$A$2:$M$53,MATCH('Supersite Working-AW'!$AA185,'NGP Chairs CoChairs'!$A$2:$A$53,0),12)</f>
        <v>#N/A</v>
      </c>
      <c r="AH174" s="69" t="str">
        <f>+INDEX('NGP Chairs CoChairs'!$A$2:$M$53,MATCH('Supersite Working-AW'!$X185,'NGP Chairs CoChairs'!$A$2:$A$53,0),7)</f>
        <v>3038095686</v>
      </c>
      <c r="AI174" s="69" t="e">
        <f>+INDEX('NGP Chairs CoChairs'!$A$2:$M$53,MATCH('Supersite Working-AW'!$Y185,'NGP Chairs CoChairs'!$A$2:$A$53,0),7)</f>
        <v>#N/A</v>
      </c>
      <c r="AJ174" s="69" t="e">
        <f>+INDEX('NGP Chairs CoChairs'!$A$2:$M$53,MATCH('Supersite Working-AW'!$Z185,'NGP Chairs CoChairs'!$A$2:$A$53,0),7)</f>
        <v>#N/A</v>
      </c>
      <c r="AK174" s="69" t="e">
        <f>+INDEX('NGP Chairs CoChairs'!$A$2:$M$53,MATCH('Supersite Working-AW'!$AA185,'NGP Chairs CoChairs'!$A$2:$A$53,0),7)</f>
        <v>#N/A</v>
      </c>
      <c r="AL174">
        <v>19</v>
      </c>
    </row>
    <row r="175" spans="1:38" ht="17" x14ac:dyDescent="0.2">
      <c r="A175" s="3" t="s">
        <v>344</v>
      </c>
      <c r="B175" s="86">
        <v>905</v>
      </c>
      <c r="C175" s="86" t="s">
        <v>345</v>
      </c>
      <c r="D175" s="86" t="s">
        <v>346</v>
      </c>
      <c r="E175" s="86" t="s">
        <v>347</v>
      </c>
      <c r="F175" s="91" t="s">
        <v>348</v>
      </c>
      <c r="G175" s="86" t="s">
        <v>243</v>
      </c>
      <c r="H175" s="86"/>
      <c r="I175" s="86">
        <v>2</v>
      </c>
      <c r="J175" s="86">
        <v>49</v>
      </c>
      <c r="K175" s="86">
        <v>15</v>
      </c>
      <c r="L175" s="88">
        <v>270</v>
      </c>
      <c r="M175" s="89">
        <f>(L175*$M$2)</f>
        <v>6.75</v>
      </c>
      <c r="N175" s="89"/>
      <c r="O175" s="86" t="s">
        <v>188</v>
      </c>
      <c r="P175" s="86"/>
      <c r="Q175" s="86"/>
      <c r="R175" s="86" t="s">
        <v>40</v>
      </c>
      <c r="S175" s="86" t="s">
        <v>349</v>
      </c>
      <c r="T175" s="86" t="s">
        <v>350</v>
      </c>
      <c r="U175" s="86" t="s">
        <v>3</v>
      </c>
      <c r="V175" s="19"/>
      <c r="W175" s="19"/>
      <c r="X175" s="95">
        <v>118591255</v>
      </c>
      <c r="Y175" s="19">
        <v>114937498</v>
      </c>
      <c r="Z175" s="19"/>
      <c r="AA175" s="19"/>
      <c r="AB175" s="19"/>
      <c r="AC175" s="19"/>
      <c r="AD175" s="135" t="str">
        <f>+INDEX('NGP Chairs CoChairs'!$A$2:$M$53,MATCH('Supersite Working-AW'!$X186,'NGP Chairs CoChairs'!$A$2:$A$53,0),12)</f>
        <v>Jen Wingard</v>
      </c>
      <c r="AE175" s="135" t="e">
        <f>+INDEX('NGP Chairs CoChairs'!$A$2:$M$53,MATCH('Supersite Working-AW'!$Y186,'NGP Chairs CoChairs'!$A$2:$A$53,0),12)</f>
        <v>#N/A</v>
      </c>
      <c r="AF175" s="135" t="e">
        <f>+INDEX('NGP Chairs CoChairs'!$A$2:$M$53,MATCH('Supersite Working-AW'!$Z186,'NGP Chairs CoChairs'!$A$2:$A$53,0),12)</f>
        <v>#N/A</v>
      </c>
      <c r="AG175" s="135" t="e">
        <f>+INDEX('NGP Chairs CoChairs'!$A$2:$M$53,MATCH('Supersite Working-AW'!$AA186,'NGP Chairs CoChairs'!$A$2:$A$53,0),12)</f>
        <v>#N/A</v>
      </c>
      <c r="AH175" s="69" t="str">
        <f>+INDEX('NGP Chairs CoChairs'!$A$2:$M$53,MATCH('Supersite Working-AW'!$X186,'NGP Chairs CoChairs'!$A$2:$A$53,0),7)</f>
        <v>3038095686</v>
      </c>
      <c r="AI175" s="69" t="e">
        <f>+INDEX('NGP Chairs CoChairs'!$A$2:$M$53,MATCH('Supersite Working-AW'!$Y186,'NGP Chairs CoChairs'!$A$2:$A$53,0),7)</f>
        <v>#N/A</v>
      </c>
      <c r="AJ175" s="69" t="e">
        <f>+INDEX('NGP Chairs CoChairs'!$A$2:$M$53,MATCH('Supersite Working-AW'!$Z186,'NGP Chairs CoChairs'!$A$2:$A$53,0),7)</f>
        <v>#N/A</v>
      </c>
      <c r="AK175" s="69" t="e">
        <f>+INDEX('NGP Chairs CoChairs'!$A$2:$M$53,MATCH('Supersite Working-AW'!$AA186,'NGP Chairs CoChairs'!$A$2:$A$53,0),7)</f>
        <v>#N/A</v>
      </c>
      <c r="AL175">
        <v>19</v>
      </c>
    </row>
    <row r="176" spans="1:38" ht="17" x14ac:dyDescent="0.2">
      <c r="A176" s="3" t="s">
        <v>344</v>
      </c>
      <c r="B176" s="86">
        <v>907</v>
      </c>
      <c r="C176" s="86" t="s">
        <v>345</v>
      </c>
      <c r="D176" s="86" t="s">
        <v>346</v>
      </c>
      <c r="E176" s="86" t="s">
        <v>347</v>
      </c>
      <c r="F176" s="91" t="s">
        <v>348</v>
      </c>
      <c r="G176" s="86" t="s">
        <v>243</v>
      </c>
      <c r="H176" s="86"/>
      <c r="I176" s="86">
        <v>2</v>
      </c>
      <c r="J176" s="86">
        <v>49</v>
      </c>
      <c r="K176" s="86">
        <v>15</v>
      </c>
      <c r="L176" s="88">
        <v>499</v>
      </c>
      <c r="M176" s="89">
        <f>(L176*$M$2)</f>
        <v>12.475000000000001</v>
      </c>
      <c r="N176" s="89">
        <f>SUM(M171:M176)</f>
        <v>54.95</v>
      </c>
      <c r="O176" s="86" t="s">
        <v>188</v>
      </c>
      <c r="P176" s="86"/>
      <c r="Q176" s="86"/>
      <c r="R176" s="86" t="s">
        <v>40</v>
      </c>
      <c r="S176" s="86" t="s">
        <v>349</v>
      </c>
      <c r="T176" s="86" t="s">
        <v>350</v>
      </c>
      <c r="U176" s="86" t="s">
        <v>3</v>
      </c>
      <c r="V176" s="19"/>
      <c r="W176" s="19"/>
      <c r="X176" s="95">
        <v>118591255</v>
      </c>
      <c r="Y176" s="19">
        <v>114937498</v>
      </c>
      <c r="Z176" s="19"/>
      <c r="AA176" s="19"/>
      <c r="AB176" s="19"/>
      <c r="AC176" s="19"/>
      <c r="AD176" s="135" t="str">
        <f>+INDEX('NGP Chairs CoChairs'!$A$2:$M$53,MATCH('Supersite Working-AW'!$X187,'NGP Chairs CoChairs'!$A$2:$A$53,0),12)</f>
        <v>Jen Wingard</v>
      </c>
      <c r="AE176" s="135" t="e">
        <f>+INDEX('NGP Chairs CoChairs'!$A$2:$M$53,MATCH('Supersite Working-AW'!$Y187,'NGP Chairs CoChairs'!$A$2:$A$53,0),12)</f>
        <v>#N/A</v>
      </c>
      <c r="AF176" s="135" t="e">
        <f>+INDEX('NGP Chairs CoChairs'!$A$2:$M$53,MATCH('Supersite Working-AW'!$Z187,'NGP Chairs CoChairs'!$A$2:$A$53,0),12)</f>
        <v>#N/A</v>
      </c>
      <c r="AG176" s="135" t="e">
        <f>+INDEX('NGP Chairs CoChairs'!$A$2:$M$53,MATCH('Supersite Working-AW'!$AA187,'NGP Chairs CoChairs'!$A$2:$A$53,0),12)</f>
        <v>#N/A</v>
      </c>
      <c r="AH176" s="69" t="str">
        <f>+INDEX('NGP Chairs CoChairs'!$A$2:$M$53,MATCH('Supersite Working-AW'!$X187,'NGP Chairs CoChairs'!$A$2:$A$53,0),7)</f>
        <v>3038095686</v>
      </c>
      <c r="AI176" s="69" t="e">
        <f>+INDEX('NGP Chairs CoChairs'!$A$2:$M$53,MATCH('Supersite Working-AW'!$Y187,'NGP Chairs CoChairs'!$A$2:$A$53,0),7)</f>
        <v>#N/A</v>
      </c>
      <c r="AJ176" s="69" t="e">
        <f>+INDEX('NGP Chairs CoChairs'!$A$2:$M$53,MATCH('Supersite Working-AW'!$Z187,'NGP Chairs CoChairs'!$A$2:$A$53,0),7)</f>
        <v>#N/A</v>
      </c>
      <c r="AK176" s="69" t="e">
        <f>+INDEX('NGP Chairs CoChairs'!$A$2:$M$53,MATCH('Supersite Working-AW'!$AA187,'NGP Chairs CoChairs'!$A$2:$A$53,0),7)</f>
        <v>#N/A</v>
      </c>
      <c r="AL176">
        <v>19</v>
      </c>
    </row>
    <row r="177" spans="1:38" ht="17" x14ac:dyDescent="0.2">
      <c r="A177" s="3" t="s">
        <v>8</v>
      </c>
      <c r="B177" s="86">
        <v>910</v>
      </c>
      <c r="C177" s="86" t="s">
        <v>261</v>
      </c>
      <c r="D177" s="86" t="s">
        <v>262</v>
      </c>
      <c r="E177" s="86" t="s">
        <v>92</v>
      </c>
      <c r="F177" s="91" t="s">
        <v>254</v>
      </c>
      <c r="G177" s="86" t="s">
        <v>243</v>
      </c>
      <c r="H177" s="86"/>
      <c r="I177" s="86">
        <v>2</v>
      </c>
      <c r="J177" s="86">
        <v>49</v>
      </c>
      <c r="K177" s="86">
        <v>15</v>
      </c>
      <c r="L177" s="88">
        <v>333</v>
      </c>
      <c r="M177" s="89">
        <f>(L177*$M$2)</f>
        <v>8.3250000000000011</v>
      </c>
      <c r="N177" s="89">
        <f>SUM(M171:M177)</f>
        <v>63.275000000000006</v>
      </c>
      <c r="O177" s="86" t="s">
        <v>188</v>
      </c>
      <c r="P177" s="99" t="s">
        <v>263</v>
      </c>
      <c r="Q177" s="99"/>
      <c r="R177" s="96" t="s">
        <v>8</v>
      </c>
      <c r="S177" s="96" t="s">
        <v>89</v>
      </c>
      <c r="T177" s="86"/>
      <c r="U177" s="86"/>
      <c r="V177" s="19"/>
      <c r="W177" s="19"/>
      <c r="X177" s="95">
        <v>118591584</v>
      </c>
      <c r="Y177" s="95">
        <v>147521014</v>
      </c>
      <c r="Z177" s="19">
        <v>107152870</v>
      </c>
      <c r="AA177" s="95"/>
      <c r="AB177" s="95"/>
      <c r="AC177" s="19"/>
      <c r="AD177" s="135" t="str">
        <f>+INDEX('NGP Chairs CoChairs'!$A$2:$M$53,MATCH('Supersite Working-AW'!$X15,'NGP Chairs CoChairs'!$A$2:$A$53,0),12)</f>
        <v>Kenneth Nova</v>
      </c>
      <c r="AE177" s="135" t="str">
        <f>+INDEX('NGP Chairs CoChairs'!$A$2:$M$53,MATCH('Supersite Working-AW'!$Y15,'NGP Chairs CoChairs'!$A$2:$A$53,0),12)</f>
        <v>Lilian Francklyn</v>
      </c>
      <c r="AF177" s="135" t="str">
        <f>+INDEX('NGP Chairs CoChairs'!$A$2:$M$53,MATCH('Supersite Working-AW'!$Z15,'NGP Chairs CoChairs'!$A$2:$A$53,0),12)</f>
        <v>Neil Fishman</v>
      </c>
      <c r="AG177" s="135" t="str">
        <f>+INDEX('NGP Chairs CoChairs'!$A$2:$M$53,MATCH('Supersite Working-AW'!$AA15,'NGP Chairs CoChairs'!$A$2:$A$53,0),12)</f>
        <v>Heather Baer</v>
      </c>
      <c r="AH177" s="69" t="str">
        <f>+INDEX('NGP Chairs CoChairs'!$A$2:$M$53,MATCH('Supersite Working-AW'!$X15,'NGP Chairs CoChairs'!$A$2:$A$53,0),7)</f>
        <v>3034786467</v>
      </c>
      <c r="AI177" s="69" t="str">
        <f>+INDEX('NGP Chairs CoChairs'!$A$2:$M$53,MATCH('Supersite Working-AW'!$Y15,'NGP Chairs CoChairs'!$A$2:$A$53,0),7)</f>
        <v>7202728398</v>
      </c>
      <c r="AJ177" s="69" t="str">
        <f>+INDEX('NGP Chairs CoChairs'!$A$2:$M$53,MATCH('Supersite Working-AW'!$Z15,'NGP Chairs CoChairs'!$A$2:$A$53,0),7)</f>
        <v>7209385326</v>
      </c>
      <c r="AK177" s="69" t="str">
        <f>+INDEX('NGP Chairs CoChairs'!$A$2:$M$53,MATCH('Supersite Working-AW'!$AA15,'NGP Chairs CoChairs'!$A$2:$A$53,0),7)</f>
        <v>3039997682</v>
      </c>
      <c r="AL177">
        <v>1</v>
      </c>
    </row>
    <row r="178" spans="1:38" ht="16" x14ac:dyDescent="0.2">
      <c r="A178" s="3" t="s">
        <v>132</v>
      </c>
      <c r="B178" s="86">
        <v>911</v>
      </c>
      <c r="C178" s="86" t="s">
        <v>261</v>
      </c>
      <c r="D178" s="86" t="s">
        <v>262</v>
      </c>
      <c r="E178" s="86" t="s">
        <v>92</v>
      </c>
      <c r="F178" s="19" t="s">
        <v>267</v>
      </c>
      <c r="G178" s="86" t="s">
        <v>243</v>
      </c>
      <c r="H178" s="86"/>
      <c r="I178" s="86">
        <v>2</v>
      </c>
      <c r="J178" s="86">
        <v>49</v>
      </c>
      <c r="K178" s="86">
        <v>15</v>
      </c>
      <c r="L178" s="88">
        <v>479</v>
      </c>
      <c r="M178" s="89">
        <f>(L178*$M$2)</f>
        <v>11.975000000000001</v>
      </c>
      <c r="N178" s="89"/>
      <c r="O178" s="86" t="s">
        <v>188</v>
      </c>
      <c r="P178" s="99" t="s">
        <v>275</v>
      </c>
      <c r="Q178" s="86"/>
      <c r="R178" s="102" t="s">
        <v>132</v>
      </c>
      <c r="S178" s="102" t="s">
        <v>8</v>
      </c>
      <c r="T178" s="86"/>
      <c r="U178" s="86" t="s">
        <v>3</v>
      </c>
      <c r="V178" s="19"/>
      <c r="W178" s="19"/>
      <c r="X178" s="95">
        <v>107153029</v>
      </c>
      <c r="Y178" s="95">
        <v>107152549</v>
      </c>
      <c r="Z178" s="95">
        <v>107152440</v>
      </c>
      <c r="AA178" s="19"/>
      <c r="AB178" s="19"/>
      <c r="AC178" s="19"/>
      <c r="AD178" s="135" t="str">
        <f>+INDEX('NGP Chairs CoChairs'!$A$2:$M$53,MATCH('Supersite Working-AW'!$X27,'NGP Chairs CoChairs'!$A$2:$A$53,0),12)</f>
        <v>Guy Errickson</v>
      </c>
      <c r="AE178" s="135" t="str">
        <f>+INDEX('NGP Chairs CoChairs'!$A$2:$M$53,MATCH('Supersite Working-AW'!$Y27,'NGP Chairs CoChairs'!$A$2:$A$53,0),12)</f>
        <v>Katie Malzbender</v>
      </c>
      <c r="AF178" s="135" t="str">
        <f>+INDEX('NGP Chairs CoChairs'!$A$2:$M$53,MATCH('Supersite Working-AW'!$Z27,'NGP Chairs CoChairs'!$A$2:$A$53,0),12)</f>
        <v>Candace Bowie</v>
      </c>
      <c r="AG178" s="135" t="str">
        <f>+INDEX('NGP Chairs CoChairs'!$A$2:$M$53,MATCH('Supersite Working-AW'!$AA27,'NGP Chairs CoChairs'!$A$2:$A$53,0),12)</f>
        <v>Peter Dawson</v>
      </c>
      <c r="AH178" s="69" t="str">
        <f>+INDEX('NGP Chairs CoChairs'!$A$2:$M$53,MATCH('Supersite Working-AW'!$X27,'NGP Chairs CoChairs'!$A$2:$A$53,0),7)</f>
        <v>7202334208</v>
      </c>
      <c r="AI178" s="69" t="str">
        <f>+INDEX('NGP Chairs CoChairs'!$A$2:$M$53,MATCH('Supersite Working-AW'!$Y27,'NGP Chairs CoChairs'!$A$2:$A$53,0),7)</f>
        <v>3038867847</v>
      </c>
      <c r="AJ178" s="69" t="str">
        <f>+INDEX('NGP Chairs CoChairs'!$A$2:$M$53,MATCH('Supersite Working-AW'!$Z27,'NGP Chairs CoChairs'!$A$2:$A$53,0),7)</f>
        <v>7204955088</v>
      </c>
      <c r="AK178" s="69" t="str">
        <f>+INDEX('NGP Chairs CoChairs'!$A$2:$M$53,MATCH('Supersite Working-AW'!$AA27,'NGP Chairs CoChairs'!$A$2:$A$53,0),7)</f>
        <v>3038172531</v>
      </c>
      <c r="AL178">
        <v>2</v>
      </c>
    </row>
    <row r="179" spans="1:38" ht="16" x14ac:dyDescent="0.2">
      <c r="A179" s="3" t="s">
        <v>132</v>
      </c>
      <c r="B179" s="86">
        <v>912</v>
      </c>
      <c r="C179" s="86" t="s">
        <v>261</v>
      </c>
      <c r="D179" s="86" t="s">
        <v>262</v>
      </c>
      <c r="E179" s="86" t="s">
        <v>92</v>
      </c>
      <c r="F179" s="19" t="s">
        <v>267</v>
      </c>
      <c r="G179" s="86" t="s">
        <v>243</v>
      </c>
      <c r="H179" s="86"/>
      <c r="I179" s="86">
        <v>2</v>
      </c>
      <c r="J179" s="86">
        <v>49</v>
      </c>
      <c r="K179" s="86">
        <v>15</v>
      </c>
      <c r="L179" s="88">
        <v>867</v>
      </c>
      <c r="M179" s="89">
        <f>(L179*$M$2)</f>
        <v>21.675000000000001</v>
      </c>
      <c r="N179" s="89">
        <f>SUM(M178:M179)</f>
        <v>33.650000000000006</v>
      </c>
      <c r="O179" s="86" t="s">
        <v>188</v>
      </c>
      <c r="P179" s="99" t="s">
        <v>275</v>
      </c>
      <c r="Q179" s="86"/>
      <c r="R179" s="102" t="s">
        <v>132</v>
      </c>
      <c r="S179" s="102" t="s">
        <v>8</v>
      </c>
      <c r="T179" s="86"/>
      <c r="U179" s="86" t="s">
        <v>3</v>
      </c>
      <c r="V179" s="19"/>
      <c r="W179" s="19"/>
      <c r="X179" s="95">
        <v>107153029</v>
      </c>
      <c r="Y179" s="95">
        <v>107152549</v>
      </c>
      <c r="Z179" s="95">
        <v>107152440</v>
      </c>
      <c r="AA179" s="19"/>
      <c r="AB179" s="19"/>
      <c r="AC179" s="19"/>
      <c r="AD179" s="135" t="str">
        <f>+INDEX('NGP Chairs CoChairs'!$A$2:$M$53,MATCH('Supersite Working-AW'!$X28,'NGP Chairs CoChairs'!$A$2:$A$53,0),12)</f>
        <v>Guy Errickson</v>
      </c>
      <c r="AE179" s="135" t="str">
        <f>+INDEX('NGP Chairs CoChairs'!$A$2:$M$53,MATCH('Supersite Working-AW'!$Y28,'NGP Chairs CoChairs'!$A$2:$A$53,0),12)</f>
        <v>Katie Malzbender</v>
      </c>
      <c r="AF179" s="135" t="str">
        <f>+INDEX('NGP Chairs CoChairs'!$A$2:$M$53,MATCH('Supersite Working-AW'!$Z28,'NGP Chairs CoChairs'!$A$2:$A$53,0),12)</f>
        <v>Candace Bowie</v>
      </c>
      <c r="AG179" s="135" t="str">
        <f>+INDEX('NGP Chairs CoChairs'!$A$2:$M$53,MATCH('Supersite Working-AW'!$AA28,'NGP Chairs CoChairs'!$A$2:$A$53,0),12)</f>
        <v>Peter Dawson</v>
      </c>
      <c r="AH179" s="69" t="str">
        <f>+INDEX('NGP Chairs CoChairs'!$A$2:$M$53,MATCH('Supersite Working-AW'!$X28,'NGP Chairs CoChairs'!$A$2:$A$53,0),7)</f>
        <v>7202334208</v>
      </c>
      <c r="AI179" s="69" t="str">
        <f>+INDEX('NGP Chairs CoChairs'!$A$2:$M$53,MATCH('Supersite Working-AW'!$Y28,'NGP Chairs CoChairs'!$A$2:$A$53,0),7)</f>
        <v>3038867847</v>
      </c>
      <c r="AJ179" s="69" t="str">
        <f>+INDEX('NGP Chairs CoChairs'!$A$2:$M$53,MATCH('Supersite Working-AW'!$Z28,'NGP Chairs CoChairs'!$A$2:$A$53,0),7)</f>
        <v>7204955088</v>
      </c>
      <c r="AK179" s="69" t="str">
        <f>+INDEX('NGP Chairs CoChairs'!$A$2:$M$53,MATCH('Supersite Working-AW'!$AA28,'NGP Chairs CoChairs'!$A$2:$A$53,0),7)</f>
        <v>3038172531</v>
      </c>
      <c r="AL179">
        <v>2</v>
      </c>
    </row>
    <row r="180" spans="1:38" ht="16" x14ac:dyDescent="0.2">
      <c r="A180" s="3" t="s">
        <v>299</v>
      </c>
      <c r="B180" s="107">
        <v>909</v>
      </c>
      <c r="C180" s="107" t="s">
        <v>261</v>
      </c>
      <c r="D180" s="107" t="s">
        <v>262</v>
      </c>
      <c r="E180" s="87" t="s">
        <v>92</v>
      </c>
      <c r="F180" s="87" t="s">
        <v>92</v>
      </c>
      <c r="G180" s="107" t="s">
        <v>243</v>
      </c>
      <c r="H180" s="107"/>
      <c r="I180" s="107">
        <v>2</v>
      </c>
      <c r="J180" s="107">
        <v>49</v>
      </c>
      <c r="K180" s="107">
        <v>15</v>
      </c>
      <c r="L180" s="108">
        <v>308</v>
      </c>
      <c r="M180" s="89">
        <f>(L180*$M$2)</f>
        <v>7.7</v>
      </c>
      <c r="N180" s="89"/>
      <c r="O180" s="86" t="s">
        <v>188</v>
      </c>
      <c r="P180" s="86"/>
      <c r="Q180" s="86"/>
      <c r="R180" s="86" t="s">
        <v>137</v>
      </c>
      <c r="S180" s="107" t="s">
        <v>300</v>
      </c>
      <c r="T180" s="107"/>
      <c r="U180" s="107" t="s">
        <v>246</v>
      </c>
      <c r="V180" s="19"/>
      <c r="W180" s="19"/>
      <c r="X180" s="95">
        <v>107152390</v>
      </c>
      <c r="Y180" s="19"/>
      <c r="Z180" s="19"/>
      <c r="AA180" s="19"/>
      <c r="AB180" s="19"/>
      <c r="AC180" s="19"/>
      <c r="AD180" s="135" t="str">
        <f>+INDEX('NGP Chairs CoChairs'!$A$2:$M$53,MATCH('Supersite Working-AW'!$X175,'NGP Chairs CoChairs'!$A$2:$A$53,0),12)</f>
        <v>Lisa Lesniak</v>
      </c>
      <c r="AE180" s="135" t="str">
        <f>+INDEX('NGP Chairs CoChairs'!$A$2:$M$53,MATCH('Supersite Working-AW'!$Y175,'NGP Chairs CoChairs'!$A$2:$A$53,0),12)</f>
        <v>Allen Nelson</v>
      </c>
      <c r="AF180" s="135" t="e">
        <f>+INDEX('NGP Chairs CoChairs'!$A$2:$M$53,MATCH('Supersite Working-AW'!$Z175,'NGP Chairs CoChairs'!$A$2:$A$53,0),12)</f>
        <v>#N/A</v>
      </c>
      <c r="AG180" s="135" t="e">
        <f>+INDEX('NGP Chairs CoChairs'!$A$2:$M$53,MATCH('Supersite Working-AW'!$AA175,'NGP Chairs CoChairs'!$A$2:$A$53,0),12)</f>
        <v>#N/A</v>
      </c>
      <c r="AH180" s="69" t="str">
        <f>+INDEX('NGP Chairs CoChairs'!$A$2:$M$53,MATCH('Supersite Working-AW'!$X175,'NGP Chairs CoChairs'!$A$2:$A$53,0),7)</f>
        <v>2144977899</v>
      </c>
      <c r="AI180" s="69" t="str">
        <f>+INDEX('NGP Chairs CoChairs'!$A$2:$M$53,MATCH('Supersite Working-AW'!$Y175,'NGP Chairs CoChairs'!$A$2:$A$53,0),7)</f>
        <v>3032583745</v>
      </c>
      <c r="AJ180" s="69" t="e">
        <f>+INDEX('NGP Chairs CoChairs'!$A$2:$M$53,MATCH('Supersite Working-AW'!$Z175,'NGP Chairs CoChairs'!$A$2:$A$53,0),7)</f>
        <v>#N/A</v>
      </c>
      <c r="AK180" s="69" t="e">
        <f>+INDEX('NGP Chairs CoChairs'!$A$2:$M$53,MATCH('Supersite Working-AW'!$AA175,'NGP Chairs CoChairs'!$A$2:$A$53,0),7)</f>
        <v>#N/A</v>
      </c>
      <c r="AL180">
        <v>16</v>
      </c>
    </row>
    <row r="181" spans="1:38" ht="16" x14ac:dyDescent="0.2">
      <c r="A181" s="3" t="s">
        <v>301</v>
      </c>
      <c r="B181" s="107">
        <v>913</v>
      </c>
      <c r="C181" s="107" t="s">
        <v>261</v>
      </c>
      <c r="D181" s="107" t="s">
        <v>262</v>
      </c>
      <c r="E181" s="87" t="s">
        <v>92</v>
      </c>
      <c r="F181" s="87" t="s">
        <v>92</v>
      </c>
      <c r="G181" s="107" t="s">
        <v>243</v>
      </c>
      <c r="H181" s="107"/>
      <c r="I181" s="107">
        <v>2</v>
      </c>
      <c r="J181" s="107">
        <v>49</v>
      </c>
      <c r="K181" s="107">
        <v>15</v>
      </c>
      <c r="L181" s="108">
        <v>283</v>
      </c>
      <c r="M181" s="89">
        <f>(L181*$M$2)</f>
        <v>7.0750000000000002</v>
      </c>
      <c r="N181" s="89">
        <f>SUM(M179:M181)</f>
        <v>36.450000000000003</v>
      </c>
      <c r="O181" s="86" t="s">
        <v>188</v>
      </c>
      <c r="P181" s="86"/>
      <c r="Q181" s="86"/>
      <c r="R181" s="19" t="s">
        <v>139</v>
      </c>
      <c r="S181" s="107" t="s">
        <v>300</v>
      </c>
      <c r="T181" s="107"/>
      <c r="U181" s="107" t="s">
        <v>246</v>
      </c>
      <c r="V181" s="19"/>
      <c r="W181" s="19"/>
      <c r="X181" s="19">
        <v>122990310</v>
      </c>
      <c r="Y181" s="19"/>
      <c r="Z181" s="19"/>
      <c r="AA181" s="19"/>
      <c r="AB181" s="19"/>
      <c r="AC181" s="19"/>
      <c r="AD181" s="135" t="str">
        <f>+INDEX('NGP Chairs CoChairs'!$A$2:$M$53,MATCH('Supersite Working-AW'!$X176,'NGP Chairs CoChairs'!$A$2:$A$53,0),12)</f>
        <v>Lisa Lesniak</v>
      </c>
      <c r="AE181" s="135" t="str">
        <f>+INDEX('NGP Chairs CoChairs'!$A$2:$M$53,MATCH('Supersite Working-AW'!$Y176,'NGP Chairs CoChairs'!$A$2:$A$53,0),12)</f>
        <v>Allen Nelson</v>
      </c>
      <c r="AF181" s="135" t="e">
        <f>+INDEX('NGP Chairs CoChairs'!$A$2:$M$53,MATCH('Supersite Working-AW'!$Z176,'NGP Chairs CoChairs'!$A$2:$A$53,0),12)</f>
        <v>#N/A</v>
      </c>
      <c r="AG181" s="135" t="e">
        <f>+INDEX('NGP Chairs CoChairs'!$A$2:$M$53,MATCH('Supersite Working-AW'!$AA176,'NGP Chairs CoChairs'!$A$2:$A$53,0),12)</f>
        <v>#N/A</v>
      </c>
      <c r="AH181" s="69" t="str">
        <f>+INDEX('NGP Chairs CoChairs'!$A$2:$M$53,MATCH('Supersite Working-AW'!$X176,'NGP Chairs CoChairs'!$A$2:$A$53,0),7)</f>
        <v>2144977899</v>
      </c>
      <c r="AI181" s="69" t="str">
        <f>+INDEX('NGP Chairs CoChairs'!$A$2:$M$53,MATCH('Supersite Working-AW'!$Y176,'NGP Chairs CoChairs'!$A$2:$A$53,0),7)</f>
        <v>3032583745</v>
      </c>
      <c r="AJ181" s="69" t="e">
        <f>+INDEX('NGP Chairs CoChairs'!$A$2:$M$53,MATCH('Supersite Working-AW'!$Z176,'NGP Chairs CoChairs'!$A$2:$A$53,0),7)</f>
        <v>#N/A</v>
      </c>
      <c r="AK181" s="69" t="e">
        <f>+INDEX('NGP Chairs CoChairs'!$A$2:$M$53,MATCH('Supersite Working-AW'!$AA176,'NGP Chairs CoChairs'!$A$2:$A$53,0),7)</f>
        <v>#N/A</v>
      </c>
      <c r="AL181">
        <v>17</v>
      </c>
    </row>
    <row r="182" spans="1:38" ht="16" x14ac:dyDescent="0.2">
      <c r="A182" s="3" t="s">
        <v>301</v>
      </c>
      <c r="B182" s="107">
        <v>908</v>
      </c>
      <c r="C182" s="107" t="s">
        <v>261</v>
      </c>
      <c r="D182" s="107" t="s">
        <v>262</v>
      </c>
      <c r="E182" s="87" t="s">
        <v>92</v>
      </c>
      <c r="F182" s="87" t="s">
        <v>92</v>
      </c>
      <c r="G182" s="107" t="s">
        <v>243</v>
      </c>
      <c r="H182" s="107"/>
      <c r="I182" s="107">
        <v>2</v>
      </c>
      <c r="J182" s="107">
        <v>49</v>
      </c>
      <c r="K182" s="107">
        <v>15</v>
      </c>
      <c r="L182" s="108">
        <v>168</v>
      </c>
      <c r="M182" s="89">
        <f>(L182*$M$2)</f>
        <v>4.2</v>
      </c>
      <c r="N182" s="89"/>
      <c r="O182" s="86" t="s">
        <v>188</v>
      </c>
      <c r="P182" s="86"/>
      <c r="Q182" s="86" t="s">
        <v>302</v>
      </c>
      <c r="R182" s="86" t="s">
        <v>192</v>
      </c>
      <c r="S182" s="107" t="s">
        <v>300</v>
      </c>
      <c r="T182" s="107"/>
      <c r="U182" s="107" t="s">
        <v>246</v>
      </c>
      <c r="V182" s="19"/>
      <c r="W182" s="19"/>
      <c r="X182" s="19">
        <v>107152772</v>
      </c>
      <c r="Y182" s="19"/>
      <c r="Z182" s="19"/>
      <c r="AA182" s="19"/>
      <c r="AB182" s="19"/>
      <c r="AC182" s="19"/>
      <c r="AD182" s="135" t="str">
        <f>+INDEX('NGP Chairs CoChairs'!$A$2:$M$53,MATCH('Supersite Working-AW'!$X188,'NGP Chairs CoChairs'!$A$2:$A$53,0),12)</f>
        <v>Jen Wingard</v>
      </c>
      <c r="AE182" s="135" t="e">
        <f>+INDEX('NGP Chairs CoChairs'!$A$2:$M$53,MATCH('Supersite Working-AW'!$Y188,'NGP Chairs CoChairs'!$A$2:$A$53,0),12)</f>
        <v>#N/A</v>
      </c>
      <c r="AF182" s="135" t="e">
        <f>+INDEX('NGP Chairs CoChairs'!$A$2:$M$53,MATCH('Supersite Working-AW'!$Z188,'NGP Chairs CoChairs'!$A$2:$A$53,0),12)</f>
        <v>#N/A</v>
      </c>
      <c r="AG182" s="135" t="e">
        <f>+INDEX('NGP Chairs CoChairs'!$A$2:$M$53,MATCH('Supersite Working-AW'!$AA188,'NGP Chairs CoChairs'!$A$2:$A$53,0),12)</f>
        <v>#N/A</v>
      </c>
      <c r="AH182" s="69" t="str">
        <f>+INDEX('NGP Chairs CoChairs'!$A$2:$M$53,MATCH('Supersite Working-AW'!$X188,'NGP Chairs CoChairs'!$A$2:$A$53,0),7)</f>
        <v>3038095686</v>
      </c>
      <c r="AI182" s="69" t="e">
        <f>+INDEX('NGP Chairs CoChairs'!$A$2:$M$53,MATCH('Supersite Working-AW'!$Y188,'NGP Chairs CoChairs'!$A$2:$A$53,0),7)</f>
        <v>#N/A</v>
      </c>
      <c r="AJ182" s="69" t="e">
        <f>+INDEX('NGP Chairs CoChairs'!$A$2:$M$53,MATCH('Supersite Working-AW'!$Z188,'NGP Chairs CoChairs'!$A$2:$A$53,0),7)</f>
        <v>#N/A</v>
      </c>
      <c r="AK182" s="69" t="e">
        <f>+INDEX('NGP Chairs CoChairs'!$A$2:$M$53,MATCH('Supersite Working-AW'!$AA188,'NGP Chairs CoChairs'!$A$2:$A$53,0),7)</f>
        <v>#N/A</v>
      </c>
      <c r="AL182">
        <v>20</v>
      </c>
    </row>
    <row r="183" spans="1:38" ht="16" x14ac:dyDescent="0.2">
      <c r="A183" s="3" t="s">
        <v>238</v>
      </c>
      <c r="B183" s="86">
        <v>914</v>
      </c>
      <c r="C183" s="86" t="s">
        <v>239</v>
      </c>
      <c r="D183" s="86" t="s">
        <v>240</v>
      </c>
      <c r="E183" s="86" t="s">
        <v>241</v>
      </c>
      <c r="F183" s="87" t="s">
        <v>242</v>
      </c>
      <c r="G183" s="86" t="s">
        <v>243</v>
      </c>
      <c r="H183" s="86"/>
      <c r="I183" s="86">
        <v>2</v>
      </c>
      <c r="J183" s="86">
        <v>49</v>
      </c>
      <c r="K183" s="86">
        <v>15</v>
      </c>
      <c r="L183" s="88">
        <v>155</v>
      </c>
      <c r="M183" s="89">
        <f>(L183*$M$2)</f>
        <v>3.875</v>
      </c>
      <c r="N183" s="89">
        <v>4</v>
      </c>
      <c r="O183" s="86" t="s">
        <v>188</v>
      </c>
      <c r="P183" s="86" t="s">
        <v>244</v>
      </c>
      <c r="Q183" s="86"/>
      <c r="R183" s="19" t="s">
        <v>121</v>
      </c>
      <c r="S183" s="86" t="s">
        <v>245</v>
      </c>
      <c r="T183" s="86"/>
      <c r="U183" s="86" t="s">
        <v>246</v>
      </c>
      <c r="V183" s="19"/>
      <c r="W183" s="19"/>
      <c r="X183" s="19">
        <v>111658139</v>
      </c>
      <c r="Y183" s="19"/>
      <c r="Z183" s="19"/>
      <c r="AA183" s="19"/>
      <c r="AB183" s="19"/>
      <c r="AC183" s="19"/>
      <c r="AD183" s="135" t="str">
        <f>+INDEX('NGP Chairs CoChairs'!$A$2:$M$53,MATCH('Supersite Working-AW'!$X174,'NGP Chairs CoChairs'!$A$2:$A$53,0),12)</f>
        <v>Lisa Lesniak</v>
      </c>
      <c r="AE183" s="135" t="str">
        <f>+INDEX('NGP Chairs CoChairs'!$A$2:$M$53,MATCH('Supersite Working-AW'!$Y174,'NGP Chairs CoChairs'!$A$2:$A$53,0),12)</f>
        <v>Allen Nelson</v>
      </c>
      <c r="AF183" s="135" t="e">
        <f>+INDEX('NGP Chairs CoChairs'!$A$2:$M$53,MATCH('Supersite Working-AW'!$Z174,'NGP Chairs CoChairs'!$A$2:$A$53,0),12)</f>
        <v>#N/A</v>
      </c>
      <c r="AG183" s="135" t="e">
        <f>+INDEX('NGP Chairs CoChairs'!$A$2:$M$53,MATCH('Supersite Working-AW'!$AA174,'NGP Chairs CoChairs'!$A$2:$A$53,0),12)</f>
        <v>#N/A</v>
      </c>
      <c r="AH183" s="69" t="str">
        <f>+INDEX('NGP Chairs CoChairs'!$A$2:$M$53,MATCH('Supersite Working-AW'!$X174,'NGP Chairs CoChairs'!$A$2:$A$53,0),7)</f>
        <v>2144977899</v>
      </c>
      <c r="AI183" s="69" t="str">
        <f>+INDEX('NGP Chairs CoChairs'!$A$2:$M$53,MATCH('Supersite Working-AW'!$Y174,'NGP Chairs CoChairs'!$A$2:$A$53,0),7)</f>
        <v>3032583745</v>
      </c>
      <c r="AJ183" s="69" t="e">
        <f>+INDEX('NGP Chairs CoChairs'!$A$2:$M$53,MATCH('Supersite Working-AW'!$Z174,'NGP Chairs CoChairs'!$A$2:$A$53,0),7)</f>
        <v>#N/A</v>
      </c>
      <c r="AK183" s="69" t="e">
        <f>+INDEX('NGP Chairs CoChairs'!$A$2:$M$53,MATCH('Supersite Working-AW'!$AA174,'NGP Chairs CoChairs'!$A$2:$A$53,0),7)</f>
        <v>#N/A</v>
      </c>
      <c r="AL183">
        <v>15</v>
      </c>
    </row>
    <row r="184" spans="1:38" ht="16" x14ac:dyDescent="0.2">
      <c r="A184" s="3" t="s">
        <v>334</v>
      </c>
      <c r="B184" s="86">
        <v>700</v>
      </c>
      <c r="C184" s="86" t="s">
        <v>239</v>
      </c>
      <c r="D184" s="86" t="s">
        <v>240</v>
      </c>
      <c r="E184" s="86" t="s">
        <v>241</v>
      </c>
      <c r="F184" s="86" t="s">
        <v>241</v>
      </c>
      <c r="G184" s="86" t="s">
        <v>243</v>
      </c>
      <c r="H184" s="86"/>
      <c r="I184" s="86">
        <v>2</v>
      </c>
      <c r="J184" s="86">
        <v>12</v>
      </c>
      <c r="K184" s="86">
        <v>15</v>
      </c>
      <c r="L184" s="88">
        <v>528</v>
      </c>
      <c r="M184" s="89">
        <f>(L184*$M$2)</f>
        <v>13.200000000000001</v>
      </c>
      <c r="N184" s="89"/>
      <c r="O184" s="86" t="s">
        <v>188</v>
      </c>
      <c r="P184" s="86"/>
      <c r="Q184" s="86"/>
      <c r="R184" s="117" t="s">
        <v>141</v>
      </c>
      <c r="S184" s="118" t="s">
        <v>335</v>
      </c>
      <c r="T184" s="118"/>
      <c r="U184" s="106" t="s">
        <v>56</v>
      </c>
      <c r="V184" s="19"/>
      <c r="W184" s="19"/>
      <c r="X184" s="95">
        <v>107272606</v>
      </c>
      <c r="Y184" s="19"/>
      <c r="Z184" s="19"/>
      <c r="AA184" s="19"/>
      <c r="AB184" s="19"/>
      <c r="AC184" s="19"/>
      <c r="AD184" s="135" t="str">
        <f>+INDEX('NGP Chairs CoChairs'!$A$2:$M$53,MATCH('Supersite Working-AW'!$X177,'NGP Chairs CoChairs'!$A$2:$A$53,0),12)</f>
        <v>David Kline</v>
      </c>
      <c r="AE184" s="135" t="str">
        <f>+INDEX('NGP Chairs CoChairs'!$A$2:$M$53,MATCH('Supersite Working-AW'!$Y177,'NGP Chairs CoChairs'!$A$2:$A$53,0),12)</f>
        <v>Geof Cahoon</v>
      </c>
      <c r="AF184" s="135" t="str">
        <f>+INDEX('NGP Chairs CoChairs'!$A$2:$M$53,MATCH('Supersite Working-AW'!$Z177,'NGP Chairs CoChairs'!$A$2:$A$53,0),12)</f>
        <v>Bruce Norikane</v>
      </c>
      <c r="AG184" s="135" t="e">
        <f>+INDEX('NGP Chairs CoChairs'!$A$2:$M$53,MATCH('Supersite Working-AW'!$AA177,'NGP Chairs CoChairs'!$A$2:$A$53,0),12)</f>
        <v>#N/A</v>
      </c>
      <c r="AH184" s="69" t="str">
        <f>+INDEX('NGP Chairs CoChairs'!$A$2:$M$53,MATCH('Supersite Working-AW'!$X177,'NGP Chairs CoChairs'!$A$2:$A$53,0),7)</f>
        <v>7209383466</v>
      </c>
      <c r="AI184" s="69" t="str">
        <f>+INDEX('NGP Chairs CoChairs'!$A$2:$M$53,MATCH('Supersite Working-AW'!$Y177,'NGP Chairs CoChairs'!$A$2:$A$53,0),7)</f>
        <v>7203459803</v>
      </c>
      <c r="AJ184" s="69" t="str">
        <f>+INDEX('NGP Chairs CoChairs'!$A$2:$M$53,MATCH('Supersite Working-AW'!$Z177,'NGP Chairs CoChairs'!$A$2:$A$53,0),7)</f>
        <v>3037752697</v>
      </c>
      <c r="AK184" s="69" t="e">
        <f>+INDEX('NGP Chairs CoChairs'!$A$2:$M$53,MATCH('Supersite Working-AW'!$AA177,'NGP Chairs CoChairs'!$A$2:$A$53,0),7)</f>
        <v>#N/A</v>
      </c>
      <c r="AL184">
        <v>18</v>
      </c>
    </row>
    <row r="185" spans="1:38" ht="16" x14ac:dyDescent="0.2">
      <c r="A185" s="3" t="s">
        <v>334</v>
      </c>
      <c r="B185" s="86">
        <v>701</v>
      </c>
      <c r="C185" s="86" t="s">
        <v>239</v>
      </c>
      <c r="D185" s="86" t="s">
        <v>240</v>
      </c>
      <c r="E185" s="86" t="s">
        <v>241</v>
      </c>
      <c r="F185" s="86" t="s">
        <v>241</v>
      </c>
      <c r="G185" s="86" t="s">
        <v>243</v>
      </c>
      <c r="H185" s="86"/>
      <c r="I185" s="86">
        <v>2</v>
      </c>
      <c r="J185" s="86">
        <v>49</v>
      </c>
      <c r="K185" s="86">
        <v>15</v>
      </c>
      <c r="L185" s="88">
        <v>498</v>
      </c>
      <c r="M185" s="89">
        <f>(L185*$M$2)</f>
        <v>12.450000000000001</v>
      </c>
      <c r="N185" s="89"/>
      <c r="O185" s="86" t="s">
        <v>188</v>
      </c>
      <c r="P185" s="86"/>
      <c r="Q185" s="86"/>
      <c r="R185" s="117" t="s">
        <v>141</v>
      </c>
      <c r="S185" s="118" t="s">
        <v>335</v>
      </c>
      <c r="T185" s="118"/>
      <c r="U185" s="106" t="s">
        <v>56</v>
      </c>
      <c r="V185" s="19"/>
      <c r="W185" s="19"/>
      <c r="X185" s="95">
        <v>107272606</v>
      </c>
      <c r="Y185" s="19"/>
      <c r="Z185" s="19"/>
      <c r="AA185" s="19"/>
      <c r="AB185" s="19"/>
      <c r="AC185" s="19"/>
      <c r="AD185" s="135" t="str">
        <f>+INDEX('NGP Chairs CoChairs'!$A$2:$M$53,MATCH('Supersite Working-AW'!$X178,'NGP Chairs CoChairs'!$A$2:$A$53,0),12)</f>
        <v>Joel Smith</v>
      </c>
      <c r="AE185" s="135" t="str">
        <f>+INDEX('NGP Chairs CoChairs'!$A$2:$M$53,MATCH('Supersite Working-AW'!$Y178,'NGP Chairs CoChairs'!$A$2:$A$53,0),12)</f>
        <v>Michael Hart</v>
      </c>
      <c r="AF185" s="135" t="str">
        <f>+INDEX('NGP Chairs CoChairs'!$A$2:$M$53,MATCH('Supersite Working-AW'!$Z178,'NGP Chairs CoChairs'!$A$2:$A$53,0),12)</f>
        <v>Patricia Feeser</v>
      </c>
      <c r="AG185" s="135" t="e">
        <f>+INDEX('NGP Chairs CoChairs'!$A$2:$M$53,MATCH('Supersite Working-AW'!$AA178,'NGP Chairs CoChairs'!$A$2:$A$53,0),12)</f>
        <v>#N/A</v>
      </c>
      <c r="AH185" s="69" t="str">
        <f>+INDEX('NGP Chairs CoChairs'!$A$2:$M$53,MATCH('Supersite Working-AW'!$X178,'NGP Chairs CoChairs'!$A$2:$A$53,0),7)</f>
        <v>3032492204</v>
      </c>
      <c r="AI185" s="69" t="str">
        <f>+INDEX('NGP Chairs CoChairs'!$A$2:$M$53,MATCH('Supersite Working-AW'!$Y178,'NGP Chairs CoChairs'!$A$2:$A$53,0),7)</f>
        <v>3039491542</v>
      </c>
      <c r="AJ185" s="69" t="str">
        <f>+INDEX('NGP Chairs CoChairs'!$A$2:$M$53,MATCH('Supersite Working-AW'!$Z178,'NGP Chairs CoChairs'!$A$2:$A$53,0),7)</f>
        <v>5183307872</v>
      </c>
      <c r="AK185" s="69" t="e">
        <f>+INDEX('NGP Chairs CoChairs'!$A$2:$M$53,MATCH('Supersite Working-AW'!$AA178,'NGP Chairs CoChairs'!$A$2:$A$53,0),7)</f>
        <v>#N/A</v>
      </c>
      <c r="AL185">
        <v>18</v>
      </c>
    </row>
    <row r="186" spans="1:38" ht="16" x14ac:dyDescent="0.2">
      <c r="A186" s="3" t="s">
        <v>334</v>
      </c>
      <c r="B186" s="86">
        <v>702</v>
      </c>
      <c r="C186" s="86" t="s">
        <v>239</v>
      </c>
      <c r="D186" s="86" t="s">
        <v>240</v>
      </c>
      <c r="E186" s="86" t="s">
        <v>241</v>
      </c>
      <c r="F186" s="86" t="s">
        <v>241</v>
      </c>
      <c r="G186" s="86" t="s">
        <v>243</v>
      </c>
      <c r="H186" s="86"/>
      <c r="I186" s="86">
        <v>2</v>
      </c>
      <c r="J186" s="86">
        <v>49</v>
      </c>
      <c r="K186" s="86">
        <v>15</v>
      </c>
      <c r="L186" s="88">
        <v>221</v>
      </c>
      <c r="M186" s="89">
        <f>(L186*$M$2)</f>
        <v>5.5250000000000004</v>
      </c>
      <c r="N186" s="89"/>
      <c r="O186" s="86" t="s">
        <v>188</v>
      </c>
      <c r="P186" s="86"/>
      <c r="Q186" s="86"/>
      <c r="R186" s="117" t="s">
        <v>141</v>
      </c>
      <c r="S186" s="118" t="s">
        <v>335</v>
      </c>
      <c r="T186" s="118"/>
      <c r="U186" s="106" t="s">
        <v>56</v>
      </c>
      <c r="V186" s="19"/>
      <c r="W186" s="19"/>
      <c r="X186" s="95">
        <v>107272606</v>
      </c>
      <c r="Y186" s="19"/>
      <c r="Z186" s="19"/>
      <c r="AA186" s="19"/>
      <c r="AB186" s="19"/>
      <c r="AC186" s="19"/>
      <c r="AD186" s="135" t="str">
        <f>+INDEX('NGP Chairs CoChairs'!$A$2:$M$53,MATCH('Supersite Working-AW'!$X179,'NGP Chairs CoChairs'!$A$2:$A$53,0),12)</f>
        <v>Joel Smith</v>
      </c>
      <c r="AE186" s="135" t="str">
        <f>+INDEX('NGP Chairs CoChairs'!$A$2:$M$53,MATCH('Supersite Working-AW'!$Y179,'NGP Chairs CoChairs'!$A$2:$A$53,0),12)</f>
        <v>Michael Hart</v>
      </c>
      <c r="AF186" s="135" t="str">
        <f>+INDEX('NGP Chairs CoChairs'!$A$2:$M$53,MATCH('Supersite Working-AW'!$Z179,'NGP Chairs CoChairs'!$A$2:$A$53,0),12)</f>
        <v>Patricia Feeser</v>
      </c>
      <c r="AG186" s="135" t="e">
        <f>+INDEX('NGP Chairs CoChairs'!$A$2:$M$53,MATCH('Supersite Working-AW'!$AA179,'NGP Chairs CoChairs'!$A$2:$A$53,0),12)</f>
        <v>#N/A</v>
      </c>
      <c r="AH186" s="69" t="str">
        <f>+INDEX('NGP Chairs CoChairs'!$A$2:$M$53,MATCH('Supersite Working-AW'!$X179,'NGP Chairs CoChairs'!$A$2:$A$53,0),7)</f>
        <v>3032492204</v>
      </c>
      <c r="AI186" s="69" t="str">
        <f>+INDEX('NGP Chairs CoChairs'!$A$2:$M$53,MATCH('Supersite Working-AW'!$Y179,'NGP Chairs CoChairs'!$A$2:$A$53,0),7)</f>
        <v>3039491542</v>
      </c>
      <c r="AJ186" s="69" t="str">
        <f>+INDEX('NGP Chairs CoChairs'!$A$2:$M$53,MATCH('Supersite Working-AW'!$Z179,'NGP Chairs CoChairs'!$A$2:$A$53,0),7)</f>
        <v>5183307872</v>
      </c>
      <c r="AK186" s="69" t="e">
        <f>+INDEX('NGP Chairs CoChairs'!$A$2:$M$53,MATCH('Supersite Working-AW'!$AA179,'NGP Chairs CoChairs'!$A$2:$A$53,0),7)</f>
        <v>#N/A</v>
      </c>
      <c r="AL186">
        <v>18</v>
      </c>
    </row>
    <row r="187" spans="1:38" ht="16" x14ac:dyDescent="0.2">
      <c r="A187" s="3" t="s">
        <v>334</v>
      </c>
      <c r="B187" s="86">
        <v>915</v>
      </c>
      <c r="C187" s="86" t="s">
        <v>239</v>
      </c>
      <c r="D187" s="86" t="s">
        <v>240</v>
      </c>
      <c r="E187" s="86" t="s">
        <v>241</v>
      </c>
      <c r="F187" s="86" t="s">
        <v>241</v>
      </c>
      <c r="G187" s="86" t="s">
        <v>243</v>
      </c>
      <c r="H187" s="86"/>
      <c r="I187" s="86">
        <v>2</v>
      </c>
      <c r="J187" s="86">
        <v>49</v>
      </c>
      <c r="K187" s="86">
        <v>15</v>
      </c>
      <c r="L187" s="88">
        <v>597</v>
      </c>
      <c r="M187" s="89">
        <f>(L187*$M$2)</f>
        <v>14.925000000000001</v>
      </c>
      <c r="N187" s="89"/>
      <c r="O187" s="86" t="s">
        <v>188</v>
      </c>
      <c r="P187" s="86"/>
      <c r="Q187" s="86"/>
      <c r="R187" s="117" t="s">
        <v>141</v>
      </c>
      <c r="S187" s="118" t="s">
        <v>335</v>
      </c>
      <c r="T187" s="118"/>
      <c r="U187" s="106" t="s">
        <v>56</v>
      </c>
      <c r="V187" s="19"/>
      <c r="W187" s="19"/>
      <c r="X187" s="95">
        <v>107272606</v>
      </c>
      <c r="Y187" s="19"/>
      <c r="Z187" s="19"/>
      <c r="AA187" s="19"/>
      <c r="AB187" s="19"/>
      <c r="AC187" s="19"/>
      <c r="AD187" s="135" t="str">
        <f>+INDEX('NGP Chairs CoChairs'!$A$2:$M$53,MATCH('Supersite Working-AW'!$X180,'NGP Chairs CoChairs'!$A$2:$A$53,0),12)</f>
        <v>Gretchen Diefenderfer</v>
      </c>
      <c r="AE187" s="135" t="e">
        <f>+INDEX('NGP Chairs CoChairs'!$A$2:$M$53,MATCH('Supersite Working-AW'!$Y180,'NGP Chairs CoChairs'!$A$2:$A$53,0),12)</f>
        <v>#N/A</v>
      </c>
      <c r="AF187" s="135" t="e">
        <f>+INDEX('NGP Chairs CoChairs'!$A$2:$M$53,MATCH('Supersite Working-AW'!$Z180,'NGP Chairs CoChairs'!$A$2:$A$53,0),12)</f>
        <v>#N/A</v>
      </c>
      <c r="AG187" s="135" t="e">
        <f>+INDEX('NGP Chairs CoChairs'!$A$2:$M$53,MATCH('Supersite Working-AW'!$AA180,'NGP Chairs CoChairs'!$A$2:$A$53,0),12)</f>
        <v>#N/A</v>
      </c>
      <c r="AH187" s="69" t="str">
        <f>+INDEX('NGP Chairs CoChairs'!$A$2:$M$53,MATCH('Supersite Working-AW'!$X180,'NGP Chairs CoChairs'!$A$2:$A$53,0),7)</f>
        <v>3039479477</v>
      </c>
      <c r="AI187" s="69" t="e">
        <f>+INDEX('NGP Chairs CoChairs'!$A$2:$M$53,MATCH('Supersite Working-AW'!$Y180,'NGP Chairs CoChairs'!$A$2:$A$53,0),7)</f>
        <v>#N/A</v>
      </c>
      <c r="AJ187" s="69" t="e">
        <f>+INDEX('NGP Chairs CoChairs'!$A$2:$M$53,MATCH('Supersite Working-AW'!$Z180,'NGP Chairs CoChairs'!$A$2:$A$53,0),7)</f>
        <v>#N/A</v>
      </c>
      <c r="AK187" s="69" t="e">
        <f>+INDEX('NGP Chairs CoChairs'!$A$2:$M$53,MATCH('Supersite Working-AW'!$AA180,'NGP Chairs CoChairs'!$A$2:$A$53,0),7)</f>
        <v>#N/A</v>
      </c>
      <c r="AL187">
        <v>18</v>
      </c>
    </row>
    <row r="188" spans="1:38" ht="16" x14ac:dyDescent="0.2">
      <c r="A188" s="3" t="s">
        <v>334</v>
      </c>
      <c r="B188" s="86">
        <v>916</v>
      </c>
      <c r="C188" s="86" t="s">
        <v>239</v>
      </c>
      <c r="D188" s="86" t="s">
        <v>240</v>
      </c>
      <c r="E188" s="86" t="s">
        <v>241</v>
      </c>
      <c r="F188" s="86" t="s">
        <v>241</v>
      </c>
      <c r="G188" s="86" t="s">
        <v>243</v>
      </c>
      <c r="H188" s="86"/>
      <c r="I188" s="86">
        <v>2</v>
      </c>
      <c r="J188" s="86">
        <v>49</v>
      </c>
      <c r="K188" s="86">
        <v>15</v>
      </c>
      <c r="L188" s="88">
        <v>536</v>
      </c>
      <c r="M188" s="89">
        <f>(L188*$M$2)</f>
        <v>13.4</v>
      </c>
      <c r="N188" s="89">
        <f>SUM(M184:M188)</f>
        <v>59.500000000000007</v>
      </c>
      <c r="O188" s="86" t="s">
        <v>188</v>
      </c>
      <c r="P188" s="86"/>
      <c r="Q188" s="86"/>
      <c r="R188" s="117" t="s">
        <v>141</v>
      </c>
      <c r="S188" s="118" t="s">
        <v>335</v>
      </c>
      <c r="T188" s="118"/>
      <c r="U188" s="106" t="s">
        <v>56</v>
      </c>
      <c r="V188" s="19"/>
      <c r="W188" s="19"/>
      <c r="X188" s="95">
        <v>107272606</v>
      </c>
      <c r="Y188" s="19"/>
      <c r="Z188" s="19"/>
      <c r="AA188" s="19"/>
      <c r="AB188" s="19"/>
      <c r="AC188" s="19"/>
      <c r="AD188" s="135" t="str">
        <f>+INDEX('NGP Chairs CoChairs'!$A$2:$M$53,MATCH('Supersite Working-AW'!$X181,'NGP Chairs CoChairs'!$A$2:$A$53,0),12)</f>
        <v>Robert Schaller</v>
      </c>
      <c r="AE188" s="135" t="e">
        <f>+INDEX('NGP Chairs CoChairs'!$A$2:$M$53,MATCH('Supersite Working-AW'!$Y181,'NGP Chairs CoChairs'!$A$2:$A$53,0),12)</f>
        <v>#N/A</v>
      </c>
      <c r="AF188" s="135" t="e">
        <f>+INDEX('NGP Chairs CoChairs'!$A$2:$M$53,MATCH('Supersite Working-AW'!$Z181,'NGP Chairs CoChairs'!$A$2:$A$53,0),12)</f>
        <v>#N/A</v>
      </c>
      <c r="AG188" s="135" t="e">
        <f>+INDEX('NGP Chairs CoChairs'!$A$2:$M$53,MATCH('Supersite Working-AW'!$AA181,'NGP Chairs CoChairs'!$A$2:$A$53,0),12)</f>
        <v>#N/A</v>
      </c>
      <c r="AH188" s="69" t="str">
        <f>+INDEX('NGP Chairs CoChairs'!$A$2:$M$53,MATCH('Supersite Working-AW'!$X181,'NGP Chairs CoChairs'!$A$2:$A$53,0),7)</f>
        <v>7202204975 </v>
      </c>
      <c r="AI188" s="69" t="e">
        <f>+INDEX('NGP Chairs CoChairs'!$A$2:$M$53,MATCH('Supersite Working-AW'!$Y181,'NGP Chairs CoChairs'!$A$2:$A$53,0),7)</f>
        <v>#N/A</v>
      </c>
      <c r="AJ188" s="69" t="e">
        <f>+INDEX('NGP Chairs CoChairs'!$A$2:$M$53,MATCH('Supersite Working-AW'!$Z181,'NGP Chairs CoChairs'!$A$2:$A$53,0),7)</f>
        <v>#N/A</v>
      </c>
      <c r="AK188" s="69" t="e">
        <f>+INDEX('NGP Chairs CoChairs'!$A$2:$M$53,MATCH('Supersite Working-AW'!$AA181,'NGP Chairs CoChairs'!$A$2:$A$53,0),7)</f>
        <v>#N/A</v>
      </c>
      <c r="AL188">
        <v>18</v>
      </c>
    </row>
    <row r="189" spans="1:38" ht="16" x14ac:dyDescent="0.2">
      <c r="A189" s="3" t="s">
        <v>276</v>
      </c>
      <c r="B189" s="86">
        <v>3</v>
      </c>
      <c r="C189" s="86" t="s">
        <v>277</v>
      </c>
      <c r="D189" s="86" t="s">
        <v>278</v>
      </c>
      <c r="E189" s="86" t="s">
        <v>279</v>
      </c>
      <c r="F189" s="86" t="s">
        <v>279</v>
      </c>
      <c r="G189" s="86" t="s">
        <v>243</v>
      </c>
      <c r="H189" s="86"/>
      <c r="I189" s="86">
        <v>2</v>
      </c>
      <c r="J189" s="86">
        <v>49</v>
      </c>
      <c r="K189" s="86">
        <v>18</v>
      </c>
      <c r="L189" s="88">
        <v>0</v>
      </c>
      <c r="M189" s="89">
        <f>(L189*$M$2)</f>
        <v>0</v>
      </c>
      <c r="N189" s="89"/>
      <c r="O189" s="86" t="s">
        <v>135</v>
      </c>
      <c r="P189" s="86"/>
      <c r="Q189" s="86"/>
      <c r="R189" s="103" t="s">
        <v>134</v>
      </c>
      <c r="S189" s="103" t="s">
        <v>280</v>
      </c>
      <c r="T189" s="86"/>
      <c r="U189" s="86" t="s">
        <v>3</v>
      </c>
      <c r="V189" s="19"/>
      <c r="W189" s="19"/>
      <c r="X189" s="95">
        <v>107146029</v>
      </c>
      <c r="Y189" s="19">
        <v>107153114</v>
      </c>
      <c r="Z189" s="19">
        <v>142884574</v>
      </c>
      <c r="AA189" s="19"/>
      <c r="AB189" s="19"/>
      <c r="AC189" s="19"/>
      <c r="AD189" s="135" t="str">
        <f>+INDEX('NGP Chairs CoChairs'!$A$2:$M$53,MATCH('Supersite Working-AW'!$X189,'NGP Chairs CoChairs'!$A$2:$A$53,0),12)</f>
        <v>Carol Teal</v>
      </c>
      <c r="AE189" s="135" t="str">
        <f>+INDEX('NGP Chairs CoChairs'!$A$2:$M$53,MATCH('Supersite Working-AW'!$Y189,'NGP Chairs CoChairs'!$A$2:$A$53,0),12)</f>
        <v>Dalton Valette</v>
      </c>
      <c r="AF189" s="135" t="str">
        <f>+INDEX('NGP Chairs CoChairs'!$A$2:$M$53,MATCH('Supersite Working-AW'!$Z189,'NGP Chairs CoChairs'!$A$2:$A$53,0),12)</f>
        <v>Adrienne Dahms</v>
      </c>
      <c r="AG189" s="135" t="e">
        <f>+INDEX('NGP Chairs CoChairs'!$A$2:$M$53,MATCH('Supersite Working-AW'!$AA189,'NGP Chairs CoChairs'!$A$2:$A$53,0),12)</f>
        <v>#N/A</v>
      </c>
      <c r="AH189" s="69" t="str">
        <f>+INDEX('NGP Chairs CoChairs'!$A$2:$M$53,MATCH('Supersite Working-AW'!$X189,'NGP Chairs CoChairs'!$A$2:$A$53,0),7)</f>
        <v>9192102776</v>
      </c>
      <c r="AI189" s="69" t="str">
        <f>+INDEX('NGP Chairs CoChairs'!$A$2:$M$53,MATCH('Supersite Working-AW'!$Y189,'NGP Chairs CoChairs'!$A$2:$A$53,0),7)</f>
        <v>3033788355</v>
      </c>
      <c r="AJ189" s="69">
        <f>+INDEX('NGP Chairs CoChairs'!$A$2:$M$53,MATCH('Supersite Working-AW'!$Z189,'NGP Chairs CoChairs'!$A$2:$A$53,0),7)</f>
        <v>0</v>
      </c>
      <c r="AK189" s="69" t="e">
        <f>+INDEX('NGP Chairs CoChairs'!$A$2:$M$53,MATCH('Supersite Working-AW'!$AA189,'NGP Chairs CoChairs'!$A$2:$A$53,0),7)</f>
        <v>#N/A</v>
      </c>
      <c r="AL189">
        <v>21</v>
      </c>
    </row>
    <row r="190" spans="1:38" ht="16" x14ac:dyDescent="0.2">
      <c r="A190" s="3" t="s">
        <v>276</v>
      </c>
      <c r="B190" s="86">
        <v>100</v>
      </c>
      <c r="C190" s="86" t="s">
        <v>277</v>
      </c>
      <c r="D190" s="86" t="s">
        <v>278</v>
      </c>
      <c r="E190" s="86" t="s">
        <v>279</v>
      </c>
      <c r="F190" s="86" t="s">
        <v>279</v>
      </c>
      <c r="G190" s="86" t="s">
        <v>243</v>
      </c>
      <c r="H190" s="86"/>
      <c r="I190" s="86">
        <v>2</v>
      </c>
      <c r="J190" s="86">
        <v>12</v>
      </c>
      <c r="K190" s="86">
        <v>18</v>
      </c>
      <c r="L190" s="88">
        <v>573</v>
      </c>
      <c r="M190" s="89">
        <f>(L190*$M$2)</f>
        <v>14.325000000000001</v>
      </c>
      <c r="N190" s="89"/>
      <c r="O190" s="86" t="s">
        <v>135</v>
      </c>
      <c r="P190" s="86"/>
      <c r="Q190" s="86"/>
      <c r="R190" s="103" t="s">
        <v>134</v>
      </c>
      <c r="S190" s="103" t="s">
        <v>280</v>
      </c>
      <c r="T190" s="86"/>
      <c r="U190" s="86" t="s">
        <v>3</v>
      </c>
      <c r="V190" s="19"/>
      <c r="W190" s="19"/>
      <c r="X190" s="95">
        <v>107146029</v>
      </c>
      <c r="Y190" s="19">
        <v>107153114</v>
      </c>
      <c r="Z190" s="19">
        <v>142884574</v>
      </c>
      <c r="AA190" s="19"/>
      <c r="AB190" s="19"/>
      <c r="AC190" s="19"/>
      <c r="AD190" s="135" t="str">
        <f>+INDEX('NGP Chairs CoChairs'!$A$2:$M$53,MATCH('Supersite Working-AW'!$X190,'NGP Chairs CoChairs'!$A$2:$A$53,0),12)</f>
        <v>Carol Teal</v>
      </c>
      <c r="AE190" s="135" t="str">
        <f>+INDEX('NGP Chairs CoChairs'!$A$2:$M$53,MATCH('Supersite Working-AW'!$Y190,'NGP Chairs CoChairs'!$A$2:$A$53,0),12)</f>
        <v>Dalton Valette</v>
      </c>
      <c r="AF190" s="135" t="str">
        <f>+INDEX('NGP Chairs CoChairs'!$A$2:$M$53,MATCH('Supersite Working-AW'!$Z190,'NGP Chairs CoChairs'!$A$2:$A$53,0),12)</f>
        <v>Adrienne Dahms</v>
      </c>
      <c r="AG190" s="135" t="e">
        <f>+INDEX('NGP Chairs CoChairs'!$A$2:$M$53,MATCH('Supersite Working-AW'!$AA190,'NGP Chairs CoChairs'!$A$2:$A$53,0),12)</f>
        <v>#N/A</v>
      </c>
      <c r="AH190" s="69" t="str">
        <f>+INDEX('NGP Chairs CoChairs'!$A$2:$M$53,MATCH('Supersite Working-AW'!$X190,'NGP Chairs CoChairs'!$A$2:$A$53,0),7)</f>
        <v>9192102776</v>
      </c>
      <c r="AI190" s="69" t="str">
        <f>+INDEX('NGP Chairs CoChairs'!$A$2:$M$53,MATCH('Supersite Working-AW'!$Y190,'NGP Chairs CoChairs'!$A$2:$A$53,0),7)</f>
        <v>3033788355</v>
      </c>
      <c r="AJ190" s="69">
        <f>+INDEX('NGP Chairs CoChairs'!$A$2:$M$53,MATCH('Supersite Working-AW'!$Z190,'NGP Chairs CoChairs'!$A$2:$A$53,0),7)</f>
        <v>0</v>
      </c>
      <c r="AK190" s="69" t="e">
        <f>+INDEX('NGP Chairs CoChairs'!$A$2:$M$53,MATCH('Supersite Working-AW'!$AA190,'NGP Chairs CoChairs'!$A$2:$A$53,0),7)</f>
        <v>#N/A</v>
      </c>
      <c r="AL190">
        <v>21</v>
      </c>
    </row>
    <row r="191" spans="1:38" ht="16" x14ac:dyDescent="0.2">
      <c r="A191" s="3" t="s">
        <v>276</v>
      </c>
      <c r="B191" s="86">
        <v>101</v>
      </c>
      <c r="C191" s="86" t="s">
        <v>277</v>
      </c>
      <c r="D191" s="86" t="s">
        <v>278</v>
      </c>
      <c r="E191" s="86" t="s">
        <v>279</v>
      </c>
      <c r="F191" s="86" t="s">
        <v>279</v>
      </c>
      <c r="G191" s="86" t="s">
        <v>243</v>
      </c>
      <c r="H191" s="86"/>
      <c r="I191" s="86">
        <v>2</v>
      </c>
      <c r="J191" s="86">
        <v>12</v>
      </c>
      <c r="K191" s="86">
        <v>18</v>
      </c>
      <c r="L191" s="88">
        <v>522</v>
      </c>
      <c r="M191" s="89">
        <f>(L191*$M$2)</f>
        <v>13.05</v>
      </c>
      <c r="N191" s="89"/>
      <c r="O191" s="86" t="s">
        <v>135</v>
      </c>
      <c r="P191" s="86"/>
      <c r="Q191" s="86"/>
      <c r="R191" s="103" t="s">
        <v>134</v>
      </c>
      <c r="S191" s="103" t="s">
        <v>280</v>
      </c>
      <c r="T191" s="86"/>
      <c r="U191" s="86" t="s">
        <v>3</v>
      </c>
      <c r="V191" s="19"/>
      <c r="W191" s="19"/>
      <c r="X191" s="95">
        <v>107146029</v>
      </c>
      <c r="Y191" s="19">
        <v>107153114</v>
      </c>
      <c r="Z191" s="19">
        <v>142884574</v>
      </c>
      <c r="AA191" s="19"/>
      <c r="AB191" s="19"/>
      <c r="AC191" s="19"/>
      <c r="AD191" s="135" t="str">
        <f>+INDEX('NGP Chairs CoChairs'!$A$2:$M$53,MATCH('Supersite Working-AW'!$X191,'NGP Chairs CoChairs'!$A$2:$A$53,0),12)</f>
        <v>Carol Teal</v>
      </c>
      <c r="AE191" s="135" t="str">
        <f>+INDEX('NGP Chairs CoChairs'!$A$2:$M$53,MATCH('Supersite Working-AW'!$Y191,'NGP Chairs CoChairs'!$A$2:$A$53,0),12)</f>
        <v>Dalton Valette</v>
      </c>
      <c r="AF191" s="135" t="str">
        <f>+INDEX('NGP Chairs CoChairs'!$A$2:$M$53,MATCH('Supersite Working-AW'!$Z191,'NGP Chairs CoChairs'!$A$2:$A$53,0),12)</f>
        <v>Adrienne Dahms</v>
      </c>
      <c r="AG191" s="135" t="e">
        <f>+INDEX('NGP Chairs CoChairs'!$A$2:$M$53,MATCH('Supersite Working-AW'!$AA191,'NGP Chairs CoChairs'!$A$2:$A$53,0),12)</f>
        <v>#N/A</v>
      </c>
      <c r="AH191" s="69" t="str">
        <f>+INDEX('NGP Chairs CoChairs'!$A$2:$M$53,MATCH('Supersite Working-AW'!$X191,'NGP Chairs CoChairs'!$A$2:$A$53,0),7)</f>
        <v>9192102776</v>
      </c>
      <c r="AI191" s="69" t="str">
        <f>+INDEX('NGP Chairs CoChairs'!$A$2:$M$53,MATCH('Supersite Working-AW'!$Y191,'NGP Chairs CoChairs'!$A$2:$A$53,0),7)</f>
        <v>3033788355</v>
      </c>
      <c r="AJ191" s="69">
        <f>+INDEX('NGP Chairs CoChairs'!$A$2:$M$53,MATCH('Supersite Working-AW'!$Z191,'NGP Chairs CoChairs'!$A$2:$A$53,0),7)</f>
        <v>0</v>
      </c>
      <c r="AK191" s="69" t="e">
        <f>+INDEX('NGP Chairs CoChairs'!$A$2:$M$53,MATCH('Supersite Working-AW'!$AA191,'NGP Chairs CoChairs'!$A$2:$A$53,0),7)</f>
        <v>#N/A</v>
      </c>
      <c r="AL191">
        <v>21</v>
      </c>
    </row>
    <row r="192" spans="1:38" ht="16" x14ac:dyDescent="0.2">
      <c r="A192" s="3" t="s">
        <v>276</v>
      </c>
      <c r="B192" s="86">
        <v>102</v>
      </c>
      <c r="C192" s="86" t="s">
        <v>277</v>
      </c>
      <c r="D192" s="86" t="s">
        <v>278</v>
      </c>
      <c r="E192" s="86" t="s">
        <v>279</v>
      </c>
      <c r="F192" s="86" t="s">
        <v>279</v>
      </c>
      <c r="G192" s="86" t="s">
        <v>243</v>
      </c>
      <c r="H192" s="86"/>
      <c r="I192" s="86">
        <v>2</v>
      </c>
      <c r="J192" s="86">
        <v>12</v>
      </c>
      <c r="K192" s="86">
        <v>18</v>
      </c>
      <c r="L192" s="88">
        <v>436</v>
      </c>
      <c r="M192" s="89">
        <f>(L192*$M$2)</f>
        <v>10.9</v>
      </c>
      <c r="N192" s="89"/>
      <c r="O192" s="86" t="s">
        <v>135</v>
      </c>
      <c r="P192" s="86"/>
      <c r="Q192" s="86"/>
      <c r="R192" s="103" t="s">
        <v>134</v>
      </c>
      <c r="S192" s="103" t="s">
        <v>280</v>
      </c>
      <c r="T192" s="86"/>
      <c r="U192" s="86" t="s">
        <v>3</v>
      </c>
      <c r="V192" s="19"/>
      <c r="W192" s="19"/>
      <c r="X192" s="95">
        <v>107146029</v>
      </c>
      <c r="Y192" s="19">
        <v>107153114</v>
      </c>
      <c r="Z192" s="19">
        <v>142884574</v>
      </c>
      <c r="AA192" s="19"/>
      <c r="AB192" s="19"/>
      <c r="AC192" s="19"/>
      <c r="AD192" s="135" t="str">
        <f>+INDEX('NGP Chairs CoChairs'!$A$2:$M$53,MATCH('Supersite Working-AW'!$X192,'NGP Chairs CoChairs'!$A$2:$A$53,0),12)</f>
        <v>Carol Teal</v>
      </c>
      <c r="AE192" s="135" t="str">
        <f>+INDEX('NGP Chairs CoChairs'!$A$2:$M$53,MATCH('Supersite Working-AW'!$Y192,'NGP Chairs CoChairs'!$A$2:$A$53,0),12)</f>
        <v>Dalton Valette</v>
      </c>
      <c r="AF192" s="135" t="str">
        <f>+INDEX('NGP Chairs CoChairs'!$A$2:$M$53,MATCH('Supersite Working-AW'!$Z192,'NGP Chairs CoChairs'!$A$2:$A$53,0),12)</f>
        <v>Adrienne Dahms</v>
      </c>
      <c r="AG192" s="135" t="e">
        <f>+INDEX('NGP Chairs CoChairs'!$A$2:$M$53,MATCH('Supersite Working-AW'!$AA192,'NGP Chairs CoChairs'!$A$2:$A$53,0),12)</f>
        <v>#N/A</v>
      </c>
      <c r="AH192" s="69" t="str">
        <f>+INDEX('NGP Chairs CoChairs'!$A$2:$M$53,MATCH('Supersite Working-AW'!$X192,'NGP Chairs CoChairs'!$A$2:$A$53,0),7)</f>
        <v>9192102776</v>
      </c>
      <c r="AI192" s="69" t="str">
        <f>+INDEX('NGP Chairs CoChairs'!$A$2:$M$53,MATCH('Supersite Working-AW'!$Y192,'NGP Chairs CoChairs'!$A$2:$A$53,0),7)</f>
        <v>3033788355</v>
      </c>
      <c r="AJ192" s="69">
        <f>+INDEX('NGP Chairs CoChairs'!$A$2:$M$53,MATCH('Supersite Working-AW'!$Z192,'NGP Chairs CoChairs'!$A$2:$A$53,0),7)</f>
        <v>0</v>
      </c>
      <c r="AK192" s="69" t="e">
        <f>+INDEX('NGP Chairs CoChairs'!$A$2:$M$53,MATCH('Supersite Working-AW'!$AA192,'NGP Chairs CoChairs'!$A$2:$A$53,0),7)</f>
        <v>#N/A</v>
      </c>
      <c r="AL192">
        <v>21</v>
      </c>
    </row>
    <row r="193" spans="1:38" ht="16" x14ac:dyDescent="0.2">
      <c r="A193" s="3" t="s">
        <v>276</v>
      </c>
      <c r="B193" s="86">
        <v>103</v>
      </c>
      <c r="C193" s="86" t="s">
        <v>277</v>
      </c>
      <c r="D193" s="86" t="s">
        <v>278</v>
      </c>
      <c r="E193" s="86" t="s">
        <v>279</v>
      </c>
      <c r="F193" s="86" t="s">
        <v>279</v>
      </c>
      <c r="G193" s="86" t="s">
        <v>243</v>
      </c>
      <c r="H193" s="86"/>
      <c r="I193" s="86">
        <v>2</v>
      </c>
      <c r="J193" s="86">
        <v>12</v>
      </c>
      <c r="K193" s="86">
        <v>18</v>
      </c>
      <c r="L193" s="88">
        <v>394</v>
      </c>
      <c r="M193" s="89">
        <f>(L193*$M$2)</f>
        <v>9.8500000000000014</v>
      </c>
      <c r="N193" s="89"/>
      <c r="O193" s="86" t="s">
        <v>135</v>
      </c>
      <c r="P193" s="86"/>
      <c r="Q193" s="86"/>
      <c r="R193" s="103" t="s">
        <v>134</v>
      </c>
      <c r="S193" s="103" t="s">
        <v>280</v>
      </c>
      <c r="T193" s="86"/>
      <c r="U193" s="86" t="s">
        <v>3</v>
      </c>
      <c r="V193" s="19"/>
      <c r="W193" s="19"/>
      <c r="X193" s="95">
        <v>107146029</v>
      </c>
      <c r="Y193" s="19">
        <v>107153114</v>
      </c>
      <c r="Z193" s="19">
        <v>142884574</v>
      </c>
      <c r="AA193" s="19"/>
      <c r="AB193" s="19"/>
      <c r="AC193" s="19"/>
      <c r="AD193" s="135" t="str">
        <f>+INDEX('NGP Chairs CoChairs'!$A$2:$M$53,MATCH('Supersite Working-AW'!$X193,'NGP Chairs CoChairs'!$A$2:$A$53,0),12)</f>
        <v>Carol Teal</v>
      </c>
      <c r="AE193" s="135" t="str">
        <f>+INDEX('NGP Chairs CoChairs'!$A$2:$M$53,MATCH('Supersite Working-AW'!$Y193,'NGP Chairs CoChairs'!$A$2:$A$53,0),12)</f>
        <v>Dalton Valette</v>
      </c>
      <c r="AF193" s="135" t="str">
        <f>+INDEX('NGP Chairs CoChairs'!$A$2:$M$53,MATCH('Supersite Working-AW'!$Z193,'NGP Chairs CoChairs'!$A$2:$A$53,0),12)</f>
        <v>Adrienne Dahms</v>
      </c>
      <c r="AG193" s="135" t="e">
        <f>+INDEX('NGP Chairs CoChairs'!$A$2:$M$53,MATCH('Supersite Working-AW'!$AA193,'NGP Chairs CoChairs'!$A$2:$A$53,0),12)</f>
        <v>#N/A</v>
      </c>
      <c r="AH193" s="69" t="str">
        <f>+INDEX('NGP Chairs CoChairs'!$A$2:$M$53,MATCH('Supersite Working-AW'!$X193,'NGP Chairs CoChairs'!$A$2:$A$53,0),7)</f>
        <v>9192102776</v>
      </c>
      <c r="AI193" s="69" t="str">
        <f>+INDEX('NGP Chairs CoChairs'!$A$2:$M$53,MATCH('Supersite Working-AW'!$Y193,'NGP Chairs CoChairs'!$A$2:$A$53,0),7)</f>
        <v>3033788355</v>
      </c>
      <c r="AJ193" s="69">
        <f>+INDEX('NGP Chairs CoChairs'!$A$2:$M$53,MATCH('Supersite Working-AW'!$Z193,'NGP Chairs CoChairs'!$A$2:$A$53,0),7)</f>
        <v>0</v>
      </c>
      <c r="AK193" s="69" t="e">
        <f>+INDEX('NGP Chairs CoChairs'!$A$2:$M$53,MATCH('Supersite Working-AW'!$AA193,'NGP Chairs CoChairs'!$A$2:$A$53,0),7)</f>
        <v>#N/A</v>
      </c>
      <c r="AL193">
        <v>21</v>
      </c>
    </row>
    <row r="194" spans="1:38" ht="16" x14ac:dyDescent="0.2">
      <c r="A194" s="3" t="s">
        <v>276</v>
      </c>
      <c r="B194" s="86">
        <v>104</v>
      </c>
      <c r="C194" s="86" t="s">
        <v>277</v>
      </c>
      <c r="D194" s="86" t="s">
        <v>278</v>
      </c>
      <c r="E194" s="86" t="s">
        <v>279</v>
      </c>
      <c r="F194" s="86" t="s">
        <v>279</v>
      </c>
      <c r="G194" s="86" t="s">
        <v>243</v>
      </c>
      <c r="H194" s="86"/>
      <c r="I194" s="86">
        <v>2</v>
      </c>
      <c r="J194" s="86">
        <v>12</v>
      </c>
      <c r="K194" s="86">
        <v>18</v>
      </c>
      <c r="L194" s="88">
        <v>368</v>
      </c>
      <c r="M194" s="89">
        <f>(L194*$M$2)</f>
        <v>9.2000000000000011</v>
      </c>
      <c r="N194" s="89"/>
      <c r="O194" s="86" t="s">
        <v>135</v>
      </c>
      <c r="P194" s="86"/>
      <c r="Q194" s="86"/>
      <c r="R194" s="103" t="s">
        <v>134</v>
      </c>
      <c r="S194" s="103" t="s">
        <v>280</v>
      </c>
      <c r="T194" s="86"/>
      <c r="U194" s="86" t="s">
        <v>3</v>
      </c>
      <c r="V194" s="19"/>
      <c r="W194" s="19"/>
      <c r="X194" s="95">
        <v>107146029</v>
      </c>
      <c r="Y194" s="19">
        <v>107153114</v>
      </c>
      <c r="Z194" s="19">
        <v>142884574</v>
      </c>
      <c r="AA194" s="19"/>
      <c r="AB194" s="19"/>
      <c r="AC194" s="19"/>
      <c r="AD194" s="135" t="str">
        <f>+INDEX('NGP Chairs CoChairs'!$A$2:$M$53,MATCH('Supersite Working-AW'!$X194,'NGP Chairs CoChairs'!$A$2:$A$53,0),12)</f>
        <v>Carol Teal</v>
      </c>
      <c r="AE194" s="135" t="str">
        <f>+INDEX('NGP Chairs CoChairs'!$A$2:$M$53,MATCH('Supersite Working-AW'!$Y194,'NGP Chairs CoChairs'!$A$2:$A$53,0),12)</f>
        <v>Dalton Valette</v>
      </c>
      <c r="AF194" s="135" t="str">
        <f>+INDEX('NGP Chairs CoChairs'!$A$2:$M$53,MATCH('Supersite Working-AW'!$Z194,'NGP Chairs CoChairs'!$A$2:$A$53,0),12)</f>
        <v>Adrienne Dahms</v>
      </c>
      <c r="AG194" s="135" t="e">
        <f>+INDEX('NGP Chairs CoChairs'!$A$2:$M$53,MATCH('Supersite Working-AW'!$AA194,'NGP Chairs CoChairs'!$A$2:$A$53,0),12)</f>
        <v>#N/A</v>
      </c>
      <c r="AH194" s="69" t="str">
        <f>+INDEX('NGP Chairs CoChairs'!$A$2:$M$53,MATCH('Supersite Working-AW'!$X194,'NGP Chairs CoChairs'!$A$2:$A$53,0),7)</f>
        <v>9192102776</v>
      </c>
      <c r="AI194" s="69" t="str">
        <f>+INDEX('NGP Chairs CoChairs'!$A$2:$M$53,MATCH('Supersite Working-AW'!$Y194,'NGP Chairs CoChairs'!$A$2:$A$53,0),7)</f>
        <v>3033788355</v>
      </c>
      <c r="AJ194" s="69">
        <f>+INDEX('NGP Chairs CoChairs'!$A$2:$M$53,MATCH('Supersite Working-AW'!$Z194,'NGP Chairs CoChairs'!$A$2:$A$53,0),7)</f>
        <v>0</v>
      </c>
      <c r="AK194" s="69" t="e">
        <f>+INDEX('NGP Chairs CoChairs'!$A$2:$M$53,MATCH('Supersite Working-AW'!$AA194,'NGP Chairs CoChairs'!$A$2:$A$53,0),7)</f>
        <v>#N/A</v>
      </c>
      <c r="AL194">
        <v>21</v>
      </c>
    </row>
    <row r="195" spans="1:38" ht="16" x14ac:dyDescent="0.2">
      <c r="A195" s="3" t="s">
        <v>276</v>
      </c>
      <c r="B195" s="86">
        <v>105</v>
      </c>
      <c r="C195" s="86" t="s">
        <v>277</v>
      </c>
      <c r="D195" s="86" t="s">
        <v>278</v>
      </c>
      <c r="E195" s="86" t="s">
        <v>279</v>
      </c>
      <c r="F195" s="86" t="s">
        <v>279</v>
      </c>
      <c r="G195" s="86" t="s">
        <v>243</v>
      </c>
      <c r="H195" s="86"/>
      <c r="I195" s="86">
        <v>2</v>
      </c>
      <c r="J195" s="86">
        <v>12</v>
      </c>
      <c r="K195" s="86">
        <v>18</v>
      </c>
      <c r="L195" s="88">
        <v>636</v>
      </c>
      <c r="M195" s="89">
        <f>(L195*$M$2)</f>
        <v>15.9</v>
      </c>
      <c r="N195" s="89"/>
      <c r="O195" s="86" t="s">
        <v>135</v>
      </c>
      <c r="P195" s="86"/>
      <c r="Q195" s="86"/>
      <c r="R195" s="103" t="s">
        <v>134</v>
      </c>
      <c r="S195" s="103" t="s">
        <v>280</v>
      </c>
      <c r="T195" s="86"/>
      <c r="U195" s="86" t="s">
        <v>3</v>
      </c>
      <c r="V195" s="19"/>
      <c r="W195" s="19"/>
      <c r="X195" s="95">
        <v>107146029</v>
      </c>
      <c r="Y195" s="19">
        <v>107153114</v>
      </c>
      <c r="Z195" s="19">
        <v>142884574</v>
      </c>
      <c r="AA195" s="19"/>
      <c r="AB195" s="19"/>
      <c r="AC195" s="19"/>
      <c r="AD195" s="135" t="str">
        <f>+INDEX('NGP Chairs CoChairs'!$A$2:$M$53,MATCH('Supersite Working-AW'!$X195,'NGP Chairs CoChairs'!$A$2:$A$53,0),12)</f>
        <v>Carol Teal</v>
      </c>
      <c r="AE195" s="135" t="str">
        <f>+INDEX('NGP Chairs CoChairs'!$A$2:$M$53,MATCH('Supersite Working-AW'!$Y195,'NGP Chairs CoChairs'!$A$2:$A$53,0),12)</f>
        <v>Dalton Valette</v>
      </c>
      <c r="AF195" s="135" t="str">
        <f>+INDEX('NGP Chairs CoChairs'!$A$2:$M$53,MATCH('Supersite Working-AW'!$Z195,'NGP Chairs CoChairs'!$A$2:$A$53,0),12)</f>
        <v>Adrienne Dahms</v>
      </c>
      <c r="AG195" s="135" t="e">
        <f>+INDEX('NGP Chairs CoChairs'!$A$2:$M$53,MATCH('Supersite Working-AW'!$AA195,'NGP Chairs CoChairs'!$A$2:$A$53,0),12)</f>
        <v>#N/A</v>
      </c>
      <c r="AH195" s="69" t="str">
        <f>+INDEX('NGP Chairs CoChairs'!$A$2:$M$53,MATCH('Supersite Working-AW'!$X195,'NGP Chairs CoChairs'!$A$2:$A$53,0),7)</f>
        <v>9192102776</v>
      </c>
      <c r="AI195" s="69" t="str">
        <f>+INDEX('NGP Chairs CoChairs'!$A$2:$M$53,MATCH('Supersite Working-AW'!$Y195,'NGP Chairs CoChairs'!$A$2:$A$53,0),7)</f>
        <v>3033788355</v>
      </c>
      <c r="AJ195" s="69">
        <f>+INDEX('NGP Chairs CoChairs'!$A$2:$M$53,MATCH('Supersite Working-AW'!$Z195,'NGP Chairs CoChairs'!$A$2:$A$53,0),7)</f>
        <v>0</v>
      </c>
      <c r="AK195" s="69" t="e">
        <f>+INDEX('NGP Chairs CoChairs'!$A$2:$M$53,MATCH('Supersite Working-AW'!$AA195,'NGP Chairs CoChairs'!$A$2:$A$53,0),7)</f>
        <v>#N/A</v>
      </c>
      <c r="AL195">
        <v>21</v>
      </c>
    </row>
    <row r="196" spans="1:38" ht="16" x14ac:dyDescent="0.2">
      <c r="A196" s="3" t="s">
        <v>276</v>
      </c>
      <c r="B196" s="86">
        <v>106</v>
      </c>
      <c r="C196" s="86" t="s">
        <v>277</v>
      </c>
      <c r="D196" s="86" t="s">
        <v>278</v>
      </c>
      <c r="E196" s="86" t="s">
        <v>279</v>
      </c>
      <c r="F196" s="86" t="s">
        <v>279</v>
      </c>
      <c r="G196" s="86" t="s">
        <v>243</v>
      </c>
      <c r="H196" s="86"/>
      <c r="I196" s="86">
        <v>2</v>
      </c>
      <c r="J196" s="86">
        <v>12</v>
      </c>
      <c r="K196" s="86">
        <v>18</v>
      </c>
      <c r="L196" s="88">
        <v>374</v>
      </c>
      <c r="M196" s="89">
        <f>(L196*$M$2)</f>
        <v>9.35</v>
      </c>
      <c r="N196" s="89">
        <f>SUM(M189:M196)</f>
        <v>82.575000000000003</v>
      </c>
      <c r="O196" s="86" t="s">
        <v>135</v>
      </c>
      <c r="P196" s="86"/>
      <c r="Q196" s="86"/>
      <c r="R196" s="103" t="s">
        <v>134</v>
      </c>
      <c r="S196" s="103" t="s">
        <v>280</v>
      </c>
      <c r="T196" s="86"/>
      <c r="U196" s="86" t="s">
        <v>3</v>
      </c>
      <c r="V196" s="19"/>
      <c r="W196" s="19"/>
      <c r="X196" s="95">
        <v>107146029</v>
      </c>
      <c r="Y196" s="19">
        <v>107153114</v>
      </c>
      <c r="Z196" s="19">
        <v>142884574</v>
      </c>
      <c r="AA196" s="19"/>
      <c r="AB196" s="19"/>
      <c r="AC196" s="19"/>
      <c r="AD196" s="135" t="str">
        <f>+INDEX('NGP Chairs CoChairs'!$A$2:$M$53,MATCH('Supersite Working-AW'!$X196,'NGP Chairs CoChairs'!$A$2:$A$53,0),12)</f>
        <v>Carol Teal</v>
      </c>
      <c r="AE196" s="135" t="str">
        <f>+INDEX('NGP Chairs CoChairs'!$A$2:$M$53,MATCH('Supersite Working-AW'!$Y196,'NGP Chairs CoChairs'!$A$2:$A$53,0),12)</f>
        <v>Dalton Valette</v>
      </c>
      <c r="AF196" s="135" t="str">
        <f>+INDEX('NGP Chairs CoChairs'!$A$2:$M$53,MATCH('Supersite Working-AW'!$Z196,'NGP Chairs CoChairs'!$A$2:$A$53,0),12)</f>
        <v>Adrienne Dahms</v>
      </c>
      <c r="AG196" s="135" t="e">
        <f>+INDEX('NGP Chairs CoChairs'!$A$2:$M$53,MATCH('Supersite Working-AW'!$AA196,'NGP Chairs CoChairs'!$A$2:$A$53,0),12)</f>
        <v>#N/A</v>
      </c>
      <c r="AH196" s="69" t="str">
        <f>+INDEX('NGP Chairs CoChairs'!$A$2:$M$53,MATCH('Supersite Working-AW'!$X196,'NGP Chairs CoChairs'!$A$2:$A$53,0),7)</f>
        <v>9192102776</v>
      </c>
      <c r="AI196" s="69" t="str">
        <f>+INDEX('NGP Chairs CoChairs'!$A$2:$M$53,MATCH('Supersite Working-AW'!$Y196,'NGP Chairs CoChairs'!$A$2:$A$53,0),7)</f>
        <v>3033788355</v>
      </c>
      <c r="AJ196" s="69">
        <f>+INDEX('NGP Chairs CoChairs'!$A$2:$M$53,MATCH('Supersite Working-AW'!$Z196,'NGP Chairs CoChairs'!$A$2:$A$53,0),7)</f>
        <v>0</v>
      </c>
      <c r="AK196" s="69" t="e">
        <f>+INDEX('NGP Chairs CoChairs'!$A$2:$M$53,MATCH('Supersite Working-AW'!$AA196,'NGP Chairs CoChairs'!$A$2:$A$53,0),7)</f>
        <v>#N/A</v>
      </c>
      <c r="AL196">
        <v>21</v>
      </c>
    </row>
    <row r="197" spans="1:38" ht="16" x14ac:dyDescent="0.2">
      <c r="N197" s="50">
        <f>SUM(N4:N196)</f>
        <v>3124.75</v>
      </c>
    </row>
    <row r="198" spans="1:38" ht="16" x14ac:dyDescent="0.2"/>
    <row r="199" spans="1:38" ht="16" x14ac:dyDescent="0.2"/>
    <row r="200" spans="1:38" ht="16" x14ac:dyDescent="0.2"/>
    <row r="201" spans="1:38" ht="16" x14ac:dyDescent="0.2"/>
    <row r="202" spans="1:38" ht="16" x14ac:dyDescent="0.2"/>
    <row r="203" spans="1:38" ht="16" x14ac:dyDescent="0.2"/>
    <row r="204" spans="1:38" ht="16" x14ac:dyDescent="0.2"/>
    <row r="205" spans="1:38" ht="16" x14ac:dyDescent="0.2"/>
    <row r="206" spans="1:38" ht="16" x14ac:dyDescent="0.2"/>
  </sheetData>
  <sheetProtection autoFilter="0"/>
  <autoFilter ref="A3:AU197" xr:uid="{AB482DDE-1DFC-48D3-A733-D9657488584C}">
    <sortState xmlns:xlrd2="http://schemas.microsoft.com/office/spreadsheetml/2017/richdata2" ref="A4:AL197">
      <sortCondition ref="C3:C197"/>
    </sortState>
  </autoFilter>
  <sortState xmlns:xlrd2="http://schemas.microsoft.com/office/spreadsheetml/2017/richdata2" ref="A4:AL196">
    <sortCondition ref="AL4:AL196"/>
    <sortCondition ref="B4:B196"/>
  </sortState>
  <phoneticPr fontId="9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CBCA-E7CE-4658-901D-6E8FBBACF674}">
  <dimension ref="A1:AA53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baseColWidth="10" defaultColWidth="8.83203125" defaultRowHeight="16" x14ac:dyDescent="0.2"/>
  <cols>
    <col min="1" max="1" width="9.6640625" bestFit="1" customWidth="1"/>
    <col min="2" max="2" width="12.83203125" bestFit="1" customWidth="1"/>
    <col min="3" max="3" width="17" bestFit="1" customWidth="1"/>
    <col min="4" max="4" width="9" bestFit="1" customWidth="1"/>
    <col min="5" max="5" width="8.5" bestFit="1" customWidth="1"/>
    <col min="6" max="6" width="5.33203125" bestFit="1" customWidth="1"/>
    <col min="7" max="7" width="11.5" bestFit="1" customWidth="1"/>
    <col min="8" max="8" width="29" bestFit="1" customWidth="1"/>
    <col min="9" max="9" width="25.5" bestFit="1" customWidth="1"/>
    <col min="10" max="10" width="19" bestFit="1" customWidth="1"/>
    <col min="11" max="11" width="21" bestFit="1" customWidth="1"/>
    <col min="12" max="12" width="23.33203125" bestFit="1" customWidth="1"/>
    <col min="13" max="13" width="19.83203125" bestFit="1" customWidth="1"/>
    <col min="14" max="14" width="0" hidden="1" customWidth="1"/>
    <col min="15" max="15" width="9.5" bestFit="1" customWidth="1"/>
    <col min="16" max="16" width="12.83203125" bestFit="1" customWidth="1"/>
    <col min="17" max="17" width="17" bestFit="1" customWidth="1"/>
    <col min="18" max="18" width="9" bestFit="1" customWidth="1"/>
    <col min="19" max="19" width="8.5" bestFit="1" customWidth="1"/>
    <col min="20" max="20" width="5" bestFit="1" customWidth="1"/>
    <col min="21" max="21" width="10.83203125" bestFit="1" customWidth="1"/>
    <col min="22" max="23" width="29" bestFit="1" customWidth="1"/>
    <col min="24" max="24" width="19" bestFit="1" customWidth="1"/>
    <col min="25" max="25" width="21" bestFit="1" customWidth="1"/>
    <col min="26" max="26" width="23.33203125" bestFit="1" customWidth="1"/>
    <col min="27" max="27" width="19.83203125" bestFit="1" customWidth="1"/>
  </cols>
  <sheetData>
    <row r="1" spans="1:27" x14ac:dyDescent="0.2">
      <c r="A1" t="s">
        <v>424</v>
      </c>
      <c r="B1" t="s">
        <v>425</v>
      </c>
      <c r="C1" t="s">
        <v>427</v>
      </c>
      <c r="D1" t="s">
        <v>428</v>
      </c>
      <c r="E1" t="s">
        <v>429</v>
      </c>
      <c r="F1" t="s">
        <v>430</v>
      </c>
      <c r="G1" t="s">
        <v>431</v>
      </c>
      <c r="H1" t="s">
        <v>432</v>
      </c>
      <c r="I1" t="s">
        <v>433</v>
      </c>
      <c r="J1" t="s">
        <v>822</v>
      </c>
      <c r="K1" t="s">
        <v>823</v>
      </c>
      <c r="L1" s="27" t="s">
        <v>422</v>
      </c>
      <c r="M1" s="27" t="s">
        <v>824</v>
      </c>
      <c r="O1" s="56" t="s">
        <v>424</v>
      </c>
      <c r="P1" s="56" t="s">
        <v>425</v>
      </c>
      <c r="Q1" s="56" t="s">
        <v>427</v>
      </c>
      <c r="R1" s="56" t="s">
        <v>428</v>
      </c>
      <c r="S1" s="56" t="s">
        <v>429</v>
      </c>
      <c r="T1" s="56" t="s">
        <v>430</v>
      </c>
      <c r="U1" s="56" t="s">
        <v>431</v>
      </c>
      <c r="V1" s="56" t="s">
        <v>432</v>
      </c>
      <c r="W1" s="56" t="s">
        <v>433</v>
      </c>
      <c r="X1" s="56" t="s">
        <v>822</v>
      </c>
      <c r="Y1" s="56" t="s">
        <v>823</v>
      </c>
      <c r="Z1" s="56" t="s">
        <v>422</v>
      </c>
      <c r="AA1" s="56" t="s">
        <v>824</v>
      </c>
    </row>
    <row r="2" spans="1:27" x14ac:dyDescent="0.2">
      <c r="A2">
        <v>107152131</v>
      </c>
      <c r="B2">
        <v>7886998</v>
      </c>
      <c r="C2" t="s">
        <v>23</v>
      </c>
      <c r="D2" t="s">
        <v>24</v>
      </c>
      <c r="G2" t="str">
        <f>"3039097201"</f>
        <v>3039097201</v>
      </c>
      <c r="H2" t="s">
        <v>825</v>
      </c>
      <c r="I2" t="s">
        <v>25</v>
      </c>
      <c r="J2" t="s">
        <v>826</v>
      </c>
      <c r="L2" t="str">
        <f t="shared" ref="L2:L52" si="0">(D2&amp;" "&amp;C2)</f>
        <v>Michael Altenbern</v>
      </c>
      <c r="M2" t="str">
        <f>+INDEX('Supersite Working-AW'!$R$4:$AB$196,MATCH('NGP Chairs CoChairs'!$A2,'Supersite Working-AW'!$X$4:$X$196,0),1)</f>
        <v>Niwot HS</v>
      </c>
      <c r="O2" s="57">
        <v>107152131</v>
      </c>
      <c r="P2" s="57">
        <v>7886998</v>
      </c>
      <c r="Q2" s="57" t="s">
        <v>23</v>
      </c>
      <c r="R2" s="57" t="s">
        <v>24</v>
      </c>
      <c r="S2" s="57">
        <v>0</v>
      </c>
      <c r="T2" s="57">
        <v>0</v>
      </c>
      <c r="U2" s="57" t="s">
        <v>1452</v>
      </c>
      <c r="V2" s="57" t="s">
        <v>825</v>
      </c>
      <c r="W2" s="57" t="s">
        <v>25</v>
      </c>
      <c r="X2" s="57" t="s">
        <v>826</v>
      </c>
      <c r="Y2" s="57">
        <v>0</v>
      </c>
      <c r="Z2" s="57" t="s">
        <v>1453</v>
      </c>
      <c r="AA2" s="57" t="s">
        <v>94</v>
      </c>
    </row>
    <row r="3" spans="1:27" x14ac:dyDescent="0.2">
      <c r="A3">
        <v>138232649</v>
      </c>
      <c r="B3">
        <v>7891379</v>
      </c>
      <c r="C3" t="s">
        <v>827</v>
      </c>
      <c r="D3" t="s">
        <v>828</v>
      </c>
      <c r="E3" t="s">
        <v>829</v>
      </c>
      <c r="G3" t="str">
        <f>"4048226732"</f>
        <v>4048226732</v>
      </c>
      <c r="H3" t="s">
        <v>830</v>
      </c>
      <c r="I3" t="s">
        <v>830</v>
      </c>
      <c r="J3" t="s">
        <v>826</v>
      </c>
      <c r="L3" t="str">
        <f t="shared" si="0"/>
        <v>Kendra Appelman-Eastvedt</v>
      </c>
      <c r="M3" t="str">
        <f>+INDEX('Supersite Working-AW'!$R$4:$AB$196,MATCH('NGP Chairs CoChairs'!$A3,'Supersite Working-AW'!$X$4:$X$196,0),1)</f>
        <v>Burlington Elementary</v>
      </c>
      <c r="O3" s="57">
        <v>138232649</v>
      </c>
      <c r="P3" s="57">
        <v>7891379</v>
      </c>
      <c r="Q3" s="57" t="s">
        <v>827</v>
      </c>
      <c r="R3" s="57" t="s">
        <v>828</v>
      </c>
      <c r="S3" s="57" t="s">
        <v>829</v>
      </c>
      <c r="T3" s="57">
        <v>0</v>
      </c>
      <c r="U3" s="57" t="s">
        <v>1454</v>
      </c>
      <c r="V3" s="57" t="s">
        <v>830</v>
      </c>
      <c r="W3" s="57" t="s">
        <v>830</v>
      </c>
      <c r="X3" s="57" t="s">
        <v>826</v>
      </c>
      <c r="Y3" s="57">
        <v>0</v>
      </c>
      <c r="Z3" s="57" t="s">
        <v>1455</v>
      </c>
      <c r="AA3" s="57" t="s">
        <v>127</v>
      </c>
    </row>
    <row r="4" spans="1:27" x14ac:dyDescent="0.2">
      <c r="A4">
        <v>111658833</v>
      </c>
      <c r="B4">
        <v>8020371</v>
      </c>
      <c r="C4" t="s">
        <v>831</v>
      </c>
      <c r="D4" t="s">
        <v>733</v>
      </c>
      <c r="E4" t="s">
        <v>832</v>
      </c>
      <c r="G4" t="str">
        <f>"3039997682"</f>
        <v>3039997682</v>
      </c>
      <c r="H4" t="s">
        <v>833</v>
      </c>
      <c r="I4" t="s">
        <v>833</v>
      </c>
      <c r="K4" t="s">
        <v>826</v>
      </c>
      <c r="L4" t="str">
        <f t="shared" si="0"/>
        <v>Heather Baer</v>
      </c>
      <c r="M4" t="str">
        <f>+INDEX('Supersite Working-AW'!$R$4:$AB$196,MATCH('NGP Chairs CoChairs'!$A4,'Supersite Working-AW'!$AA$4:$AA$196,0),1)</f>
        <v>Fairview HS</v>
      </c>
      <c r="O4" s="57">
        <v>111658833</v>
      </c>
      <c r="P4" s="57">
        <v>8020371</v>
      </c>
      <c r="Q4" s="57" t="s">
        <v>831</v>
      </c>
      <c r="R4" s="57" t="s">
        <v>733</v>
      </c>
      <c r="S4" s="57" t="s">
        <v>832</v>
      </c>
      <c r="T4" s="57">
        <v>0</v>
      </c>
      <c r="U4" s="57" t="s">
        <v>1456</v>
      </c>
      <c r="V4" s="57" t="s">
        <v>833</v>
      </c>
      <c r="W4" s="57" t="s">
        <v>833</v>
      </c>
      <c r="X4" s="57">
        <v>0</v>
      </c>
      <c r="Y4" s="57" t="s">
        <v>826</v>
      </c>
      <c r="Z4" s="57" t="s">
        <v>1457</v>
      </c>
      <c r="AA4" s="57" t="s">
        <v>48</v>
      </c>
    </row>
    <row r="5" spans="1:27" x14ac:dyDescent="0.2">
      <c r="A5">
        <v>107152163</v>
      </c>
      <c r="B5">
        <v>7902205</v>
      </c>
      <c r="C5" t="s">
        <v>5</v>
      </c>
      <c r="D5" t="s">
        <v>6</v>
      </c>
      <c r="E5" t="s">
        <v>29</v>
      </c>
      <c r="G5" t="str">
        <f>"3039479447"</f>
        <v>3039479447</v>
      </c>
      <c r="H5" t="s">
        <v>7</v>
      </c>
      <c r="I5" t="s">
        <v>7</v>
      </c>
      <c r="J5" t="s">
        <v>826</v>
      </c>
      <c r="L5" t="str">
        <f t="shared" si="0"/>
        <v>Jennifer Bales</v>
      </c>
      <c r="M5" t="str">
        <f>+INDEX('Supersite Working-AW'!$R$4:$AB$196,MATCH('NGP Chairs CoChairs'!$A5,'Supersite Working-AW'!$X$4:$X$196,0),1)</f>
        <v>Centaurus HS</v>
      </c>
      <c r="O5" s="57">
        <v>107152163</v>
      </c>
      <c r="P5" s="57">
        <v>7902205</v>
      </c>
      <c r="Q5" s="57" t="s">
        <v>5</v>
      </c>
      <c r="R5" s="57" t="s">
        <v>6</v>
      </c>
      <c r="S5" s="57" t="s">
        <v>29</v>
      </c>
      <c r="T5" s="57">
        <v>0</v>
      </c>
      <c r="U5" s="57" t="s">
        <v>1458</v>
      </c>
      <c r="V5" s="57" t="s">
        <v>7</v>
      </c>
      <c r="W5" s="57" t="s">
        <v>7</v>
      </c>
      <c r="X5" s="57" t="s">
        <v>826</v>
      </c>
      <c r="Y5" s="57">
        <v>0</v>
      </c>
      <c r="Z5" s="57" t="s">
        <v>306</v>
      </c>
      <c r="AA5" s="57" t="s">
        <v>130</v>
      </c>
    </row>
    <row r="6" spans="1:27" x14ac:dyDescent="0.2">
      <c r="A6">
        <v>109594173</v>
      </c>
      <c r="B6">
        <v>601567682</v>
      </c>
      <c r="C6" t="s">
        <v>834</v>
      </c>
      <c r="D6" t="s">
        <v>635</v>
      </c>
      <c r="G6" t="str">
        <f>"7208083166"</f>
        <v>7208083166</v>
      </c>
      <c r="H6" t="s">
        <v>835</v>
      </c>
      <c r="I6" t="s">
        <v>836</v>
      </c>
      <c r="J6" t="s">
        <v>826</v>
      </c>
      <c r="L6" t="str">
        <f t="shared" si="0"/>
        <v>Judith Bodinger</v>
      </c>
      <c r="M6" t="e">
        <f>+INDEX('Supersite Working-AW'!$R$4:$AB$196,MATCH('NGP Chairs CoChairs'!$A6,'Supersite Working-AW'!$Y$4:$Y$196,0),1)</f>
        <v>#N/A</v>
      </c>
      <c r="O6" s="57">
        <v>109594173</v>
      </c>
      <c r="P6" s="57">
        <v>601567682</v>
      </c>
      <c r="Q6" s="57" t="s">
        <v>834</v>
      </c>
      <c r="R6" s="57" t="s">
        <v>635</v>
      </c>
      <c r="S6" s="57">
        <v>0</v>
      </c>
      <c r="T6" s="57">
        <v>0</v>
      </c>
      <c r="U6" s="57" t="s">
        <v>1459</v>
      </c>
      <c r="V6" s="57" t="s">
        <v>835</v>
      </c>
      <c r="W6" s="57" t="s">
        <v>836</v>
      </c>
      <c r="X6" s="57" t="s">
        <v>826</v>
      </c>
      <c r="Y6" s="57">
        <v>0</v>
      </c>
      <c r="Z6" s="57" t="s">
        <v>1460</v>
      </c>
      <c r="AA6" s="57" t="e">
        <v>#N/A</v>
      </c>
    </row>
    <row r="7" spans="1:27" x14ac:dyDescent="0.2">
      <c r="A7">
        <v>107152229</v>
      </c>
      <c r="B7">
        <v>7930209</v>
      </c>
      <c r="C7" t="s">
        <v>837</v>
      </c>
      <c r="D7" t="s">
        <v>838</v>
      </c>
      <c r="G7" t="str">
        <f>"7204955088"</f>
        <v>7204955088</v>
      </c>
      <c r="H7" t="s">
        <v>839</v>
      </c>
      <c r="J7" t="s">
        <v>826</v>
      </c>
      <c r="L7" t="str">
        <f t="shared" si="0"/>
        <v>Candace Bowie</v>
      </c>
      <c r="M7" t="str">
        <f>+INDEX('Supersite Working-AW'!$R$4:$AB$196,MATCH('NGP Chairs CoChairs'!$A7,'Supersite Working-AW'!$X$4:$X$196,0),1)</f>
        <v>Horizon K-8</v>
      </c>
      <c r="O7" s="57">
        <v>107152229</v>
      </c>
      <c r="P7" s="57">
        <v>7930209</v>
      </c>
      <c r="Q7" s="57" t="s">
        <v>837</v>
      </c>
      <c r="R7" s="57" t="s">
        <v>838</v>
      </c>
      <c r="S7" s="57">
        <v>0</v>
      </c>
      <c r="T7" s="57">
        <v>0</v>
      </c>
      <c r="U7" s="57" t="s">
        <v>1461</v>
      </c>
      <c r="V7" s="57" t="s">
        <v>839</v>
      </c>
      <c r="W7" s="57">
        <v>0</v>
      </c>
      <c r="X7" s="57" t="s">
        <v>826</v>
      </c>
      <c r="Y7" s="57">
        <v>0</v>
      </c>
      <c r="Z7" s="57" t="s">
        <v>1419</v>
      </c>
      <c r="AA7" s="57" t="s">
        <v>164</v>
      </c>
    </row>
    <row r="8" spans="1:27" x14ac:dyDescent="0.2">
      <c r="A8">
        <v>107152262</v>
      </c>
      <c r="B8">
        <v>7941084</v>
      </c>
      <c r="C8" t="s">
        <v>472</v>
      </c>
      <c r="D8" t="s">
        <v>473</v>
      </c>
      <c r="G8" t="str">
        <f>"7192515246"</f>
        <v>7192515246</v>
      </c>
      <c r="H8" t="s">
        <v>474</v>
      </c>
      <c r="I8" t="s">
        <v>475</v>
      </c>
      <c r="J8" t="s">
        <v>826</v>
      </c>
      <c r="L8" t="str">
        <f t="shared" si="0"/>
        <v>Timm Bryson</v>
      </c>
      <c r="M8" t="str">
        <f>+INDEX('Supersite Working-AW'!$R$4:$AB$196,MATCH('NGP Chairs CoChairs'!$A8,'Supersite Working-AW'!$Z$4:$Z$196,0),1)</f>
        <v>Meadowlark School</v>
      </c>
      <c r="O8" s="57">
        <v>107152262</v>
      </c>
      <c r="P8" s="57">
        <v>7941084</v>
      </c>
      <c r="Q8" s="57" t="s">
        <v>472</v>
      </c>
      <c r="R8" s="57" t="s">
        <v>473</v>
      </c>
      <c r="S8" s="57">
        <v>0</v>
      </c>
      <c r="T8" s="57">
        <v>0</v>
      </c>
      <c r="U8" s="57" t="s">
        <v>1462</v>
      </c>
      <c r="V8" s="57" t="s">
        <v>474</v>
      </c>
      <c r="W8" s="57" t="s">
        <v>475</v>
      </c>
      <c r="X8" s="57" t="s">
        <v>826</v>
      </c>
      <c r="Y8" s="57">
        <v>0</v>
      </c>
      <c r="Z8" s="57" t="s">
        <v>1463</v>
      </c>
      <c r="AA8" s="57" t="s">
        <v>1446</v>
      </c>
    </row>
    <row r="9" spans="1:27" x14ac:dyDescent="0.2">
      <c r="A9">
        <v>147521014</v>
      </c>
      <c r="B9">
        <v>7947830</v>
      </c>
      <c r="C9" t="s">
        <v>9</v>
      </c>
      <c r="D9" t="s">
        <v>10</v>
      </c>
      <c r="G9" t="str">
        <f>"7203459803"</f>
        <v>7203459803</v>
      </c>
      <c r="H9" t="s">
        <v>843</v>
      </c>
      <c r="I9" t="s">
        <v>843</v>
      </c>
      <c r="K9" t="s">
        <v>826</v>
      </c>
      <c r="L9" t="str">
        <f t="shared" si="0"/>
        <v>Geof Cahoon</v>
      </c>
      <c r="M9" t="str">
        <f>+INDEX('Supersite Working-AW'!$R$4:$AB$196,MATCH('NGP Chairs CoChairs'!$A9,'Supersite Working-AW'!$Y$4:$Y$196,0),1)</f>
        <v>Casey MS</v>
      </c>
      <c r="O9" s="57">
        <v>147521014</v>
      </c>
      <c r="P9" s="57">
        <v>7947830</v>
      </c>
      <c r="Q9" s="57" t="s">
        <v>9</v>
      </c>
      <c r="R9" s="57" t="s">
        <v>10</v>
      </c>
      <c r="S9" s="57">
        <v>0</v>
      </c>
      <c r="T9" s="57">
        <v>0</v>
      </c>
      <c r="U9" s="57" t="s">
        <v>1464</v>
      </c>
      <c r="V9" s="57" t="s">
        <v>843</v>
      </c>
      <c r="W9" s="57" t="s">
        <v>843</v>
      </c>
      <c r="X9" s="57">
        <v>0</v>
      </c>
      <c r="Y9" s="57" t="s">
        <v>826</v>
      </c>
      <c r="Z9" s="57" t="s">
        <v>900</v>
      </c>
      <c r="AA9" s="57" t="s">
        <v>8</v>
      </c>
    </row>
    <row r="10" spans="1:27" x14ac:dyDescent="0.2">
      <c r="A10">
        <v>107152290</v>
      </c>
      <c r="B10">
        <v>7955673</v>
      </c>
      <c r="C10" t="s">
        <v>486</v>
      </c>
      <c r="D10" t="s">
        <v>589</v>
      </c>
      <c r="E10" t="s">
        <v>574</v>
      </c>
      <c r="G10" t="str">
        <f>"7203082474"</f>
        <v>7203082474</v>
      </c>
      <c r="H10" t="s">
        <v>844</v>
      </c>
      <c r="I10" t="s">
        <v>844</v>
      </c>
      <c r="K10" t="s">
        <v>826</v>
      </c>
      <c r="L10" t="str">
        <f t="shared" si="0"/>
        <v>Virginia Carlson</v>
      </c>
      <c r="M10" t="str">
        <f>+INDEX('Supersite Working-AW'!$R$4:$AB$196,MATCH('NGP Chairs CoChairs'!$A10,'Supersite Working-AW'!$Z$4:$Z$196,0),1)</f>
        <v>Timberline K-8</v>
      </c>
      <c r="O10" s="57">
        <v>107152290</v>
      </c>
      <c r="P10" s="57">
        <v>7955673</v>
      </c>
      <c r="Q10" s="57" t="s">
        <v>486</v>
      </c>
      <c r="R10" s="57" t="s">
        <v>589</v>
      </c>
      <c r="S10" s="57" t="s">
        <v>574</v>
      </c>
      <c r="T10" s="57">
        <v>0</v>
      </c>
      <c r="U10" s="57" t="s">
        <v>1465</v>
      </c>
      <c r="V10" s="57" t="s">
        <v>844</v>
      </c>
      <c r="W10" s="57" t="s">
        <v>844</v>
      </c>
      <c r="X10" s="57">
        <v>0</v>
      </c>
      <c r="Y10" s="57" t="s">
        <v>826</v>
      </c>
      <c r="Z10" s="57" t="s">
        <v>1466</v>
      </c>
      <c r="AA10" s="57" t="s">
        <v>184</v>
      </c>
    </row>
    <row r="11" spans="1:27" x14ac:dyDescent="0.2">
      <c r="A11">
        <v>142884574</v>
      </c>
      <c r="B11">
        <v>7987864</v>
      </c>
      <c r="C11" t="s">
        <v>1447</v>
      </c>
      <c r="D11" t="s">
        <v>1448</v>
      </c>
      <c r="H11" t="s">
        <v>1449</v>
      </c>
      <c r="I11" t="s">
        <v>1449</v>
      </c>
      <c r="J11" t="s">
        <v>826</v>
      </c>
      <c r="L11" t="str">
        <f t="shared" si="0"/>
        <v>Adrienne Dahms</v>
      </c>
      <c r="M11" t="str">
        <f>+INDEX('Supersite Working-AW'!$R$4:$AB$196,MATCH('NGP Chairs CoChairs'!$A11,'Supersite Working-AW'!$Z$4:$Z$196,0),1)</f>
        <v>Eldorado K8</v>
      </c>
      <c r="O11" s="57">
        <v>142884574</v>
      </c>
      <c r="P11" s="57">
        <v>7987864</v>
      </c>
      <c r="Q11" s="57" t="s">
        <v>1447</v>
      </c>
      <c r="R11" s="57" t="s">
        <v>1448</v>
      </c>
      <c r="S11" s="57">
        <v>0</v>
      </c>
      <c r="T11" s="57">
        <v>0</v>
      </c>
      <c r="U11" s="57">
        <v>0</v>
      </c>
      <c r="V11" s="57" t="s">
        <v>1449</v>
      </c>
      <c r="W11" s="57" t="s">
        <v>1449</v>
      </c>
      <c r="X11" s="57" t="s">
        <v>826</v>
      </c>
      <c r="Y11" s="57">
        <v>0</v>
      </c>
      <c r="Z11" s="57" t="s">
        <v>1467</v>
      </c>
      <c r="AA11" s="57" t="s">
        <v>134</v>
      </c>
    </row>
    <row r="12" spans="1:27" x14ac:dyDescent="0.2">
      <c r="A12">
        <v>107152370</v>
      </c>
      <c r="B12">
        <v>7993198</v>
      </c>
      <c r="C12" t="s">
        <v>86</v>
      </c>
      <c r="D12" t="s">
        <v>87</v>
      </c>
      <c r="G12" t="str">
        <f>"3038172531"</f>
        <v>3038172531</v>
      </c>
      <c r="H12" t="s">
        <v>845</v>
      </c>
      <c r="I12" t="s">
        <v>845</v>
      </c>
      <c r="K12" t="s">
        <v>826</v>
      </c>
      <c r="L12" t="str">
        <f t="shared" si="0"/>
        <v>Peter Dawson</v>
      </c>
      <c r="M12" t="str">
        <f>+INDEX('Supersite Working-AW'!$R$4:$AB$196,MATCH('NGP Chairs CoChairs'!$A12,'Supersite Working-AW'!$AA$4:$AA$196,0),1)</f>
        <v>Platt MS</v>
      </c>
      <c r="O12" s="57">
        <v>107152370</v>
      </c>
      <c r="P12" s="57">
        <v>7993198</v>
      </c>
      <c r="Q12" s="57" t="s">
        <v>86</v>
      </c>
      <c r="R12" s="57" t="s">
        <v>87</v>
      </c>
      <c r="S12" s="57">
        <v>0</v>
      </c>
      <c r="T12" s="57">
        <v>0</v>
      </c>
      <c r="U12" s="57" t="s">
        <v>1468</v>
      </c>
      <c r="V12" s="57" t="s">
        <v>845</v>
      </c>
      <c r="W12" s="57" t="s">
        <v>845</v>
      </c>
      <c r="X12" s="57">
        <v>0</v>
      </c>
      <c r="Y12" s="57" t="s">
        <v>826</v>
      </c>
      <c r="Z12" s="57" t="s">
        <v>1469</v>
      </c>
      <c r="AA12" s="57" t="s">
        <v>44</v>
      </c>
    </row>
    <row r="13" spans="1:27" x14ac:dyDescent="0.2">
      <c r="A13">
        <v>107152390</v>
      </c>
      <c r="B13">
        <v>8003521</v>
      </c>
      <c r="C13" t="s">
        <v>20</v>
      </c>
      <c r="D13" t="s">
        <v>21</v>
      </c>
      <c r="G13" t="str">
        <f>"3039479477"</f>
        <v>3039479477</v>
      </c>
      <c r="H13" t="s">
        <v>22</v>
      </c>
      <c r="I13" t="s">
        <v>22</v>
      </c>
      <c r="J13" t="s">
        <v>826</v>
      </c>
      <c r="L13" t="str">
        <f t="shared" si="0"/>
        <v>Gretchen Diefenderfer</v>
      </c>
      <c r="M13" t="str">
        <f>+INDEX('Supersite Working-AW'!$R$4:$AB$196,MATCH('NGP Chairs CoChairs'!$A13,'Supersite Working-AW'!$X$4:$X$196,0),1)</f>
        <v>Gold Hill School</v>
      </c>
      <c r="O13" s="57">
        <v>107152390</v>
      </c>
      <c r="P13" s="57">
        <v>8003521</v>
      </c>
      <c r="Q13" s="57" t="s">
        <v>20</v>
      </c>
      <c r="R13" s="57" t="s">
        <v>21</v>
      </c>
      <c r="S13" s="57">
        <v>0</v>
      </c>
      <c r="T13" s="57">
        <v>0</v>
      </c>
      <c r="U13" s="57" t="s">
        <v>1470</v>
      </c>
      <c r="V13" s="57" t="s">
        <v>22</v>
      </c>
      <c r="W13" s="57" t="s">
        <v>22</v>
      </c>
      <c r="X13" s="57" t="s">
        <v>826</v>
      </c>
      <c r="Y13" s="57">
        <v>0</v>
      </c>
      <c r="Z13" s="57" t="s">
        <v>92</v>
      </c>
      <c r="AA13" s="57" t="s">
        <v>137</v>
      </c>
    </row>
    <row r="14" spans="1:27" x14ac:dyDescent="0.2">
      <c r="A14">
        <v>137032958</v>
      </c>
      <c r="B14">
        <v>8001431</v>
      </c>
      <c r="C14" t="s">
        <v>76</v>
      </c>
      <c r="D14" t="s">
        <v>77</v>
      </c>
      <c r="E14" t="s">
        <v>846</v>
      </c>
      <c r="G14" t="str">
        <f>"3037757400"</f>
        <v>3037757400</v>
      </c>
      <c r="H14" t="s">
        <v>847</v>
      </c>
      <c r="I14" t="s">
        <v>847</v>
      </c>
      <c r="J14" t="s">
        <v>826</v>
      </c>
      <c r="L14" t="str">
        <f t="shared" si="0"/>
        <v>Marisa Dirks</v>
      </c>
      <c r="M14" t="str">
        <f>+INDEX('Supersite Working-AW'!$R$4:$AB$196,MATCH('NGP Chairs CoChairs'!$A14,'Supersite Working-AW'!$X$4:$X$196,0),1)</f>
        <v>Longs Peak MS</v>
      </c>
      <c r="O14" s="57">
        <v>137032958</v>
      </c>
      <c r="P14" s="57">
        <v>8001431</v>
      </c>
      <c r="Q14" s="57" t="s">
        <v>76</v>
      </c>
      <c r="R14" s="57" t="s">
        <v>77</v>
      </c>
      <c r="S14" s="57" t="s">
        <v>846</v>
      </c>
      <c r="T14" s="57">
        <v>0</v>
      </c>
      <c r="U14" s="57" t="s">
        <v>1471</v>
      </c>
      <c r="V14" s="57" t="s">
        <v>847</v>
      </c>
      <c r="W14" s="57" t="s">
        <v>847</v>
      </c>
      <c r="X14" s="57" t="s">
        <v>826</v>
      </c>
      <c r="Y14" s="57">
        <v>0</v>
      </c>
      <c r="Z14" s="57" t="s">
        <v>411</v>
      </c>
      <c r="AA14" s="57" t="s">
        <v>60</v>
      </c>
    </row>
    <row r="15" spans="1:27" x14ac:dyDescent="0.2">
      <c r="A15">
        <v>111502459</v>
      </c>
      <c r="B15">
        <v>8014988</v>
      </c>
      <c r="C15" t="s">
        <v>552</v>
      </c>
      <c r="D15" t="s">
        <v>556</v>
      </c>
      <c r="G15" t="str">
        <f>"6783573242"</f>
        <v>6783573242</v>
      </c>
      <c r="H15" t="s">
        <v>557</v>
      </c>
      <c r="I15" t="s">
        <v>557</v>
      </c>
      <c r="K15" t="s">
        <v>826</v>
      </c>
      <c r="L15" t="str">
        <f t="shared" si="0"/>
        <v>Erin Eastvedt</v>
      </c>
      <c r="M15" t="str">
        <f>+INDEX('Supersite Working-AW'!$R$4:$AB$196,MATCH('NGP Chairs CoChairs'!$A15,'Supersite Working-AW'!$Y$4:$Y$196,0),1)</f>
        <v>Burlington Elementary</v>
      </c>
      <c r="O15" s="57">
        <v>111502459</v>
      </c>
      <c r="P15" s="57">
        <v>8014988</v>
      </c>
      <c r="Q15" s="57" t="s">
        <v>552</v>
      </c>
      <c r="R15" s="57" t="s">
        <v>556</v>
      </c>
      <c r="S15" s="57">
        <v>0</v>
      </c>
      <c r="T15" s="57">
        <v>0</v>
      </c>
      <c r="U15" s="57" t="s">
        <v>1472</v>
      </c>
      <c r="V15" s="57" t="s">
        <v>557</v>
      </c>
      <c r="W15" s="57" t="s">
        <v>557</v>
      </c>
      <c r="X15" s="57">
        <v>0</v>
      </c>
      <c r="Y15" s="57" t="s">
        <v>826</v>
      </c>
      <c r="Z15" s="57" t="s">
        <v>1473</v>
      </c>
      <c r="AA15" s="57" t="s">
        <v>127</v>
      </c>
    </row>
    <row r="16" spans="1:27" x14ac:dyDescent="0.2">
      <c r="A16">
        <v>142893063</v>
      </c>
      <c r="B16">
        <v>8024294</v>
      </c>
      <c r="C16" t="s">
        <v>30</v>
      </c>
      <c r="D16" t="s">
        <v>31</v>
      </c>
      <c r="G16" t="str">
        <f>"7202334208"</f>
        <v>7202334208</v>
      </c>
      <c r="H16" t="s">
        <v>32</v>
      </c>
      <c r="I16" t="s">
        <v>32</v>
      </c>
      <c r="J16" t="s">
        <v>826</v>
      </c>
      <c r="L16" t="str">
        <f t="shared" ref="L16" si="1">(D16&amp;" "&amp;C16)</f>
        <v>Guy Errickson</v>
      </c>
      <c r="M16" t="str">
        <f>+INDEX('Supersite Working-AW'!$R$4:$AB$196,MATCH('NGP Chairs CoChairs'!$A16,'Supersite Working-AW'!$X$4:$X$196,0),1)</f>
        <v>Platt MS</v>
      </c>
      <c r="O16" s="57">
        <v>142893063</v>
      </c>
      <c r="P16" s="57">
        <v>8024294</v>
      </c>
      <c r="Q16" s="57" t="s">
        <v>30</v>
      </c>
      <c r="R16" s="57" t="s">
        <v>31</v>
      </c>
      <c r="S16" s="57">
        <v>0</v>
      </c>
      <c r="T16" s="57">
        <v>0</v>
      </c>
      <c r="U16" s="57" t="s">
        <v>1474</v>
      </c>
      <c r="V16" s="57" t="s">
        <v>32</v>
      </c>
      <c r="W16" s="57" t="s">
        <v>32</v>
      </c>
      <c r="X16" s="57" t="s">
        <v>826</v>
      </c>
      <c r="Y16" s="57">
        <v>0</v>
      </c>
      <c r="Z16" s="57" t="s">
        <v>296</v>
      </c>
      <c r="AA16" s="57" t="s">
        <v>44</v>
      </c>
    </row>
    <row r="17" spans="1:27" x14ac:dyDescent="0.2">
      <c r="A17">
        <v>107152440</v>
      </c>
      <c r="B17">
        <v>8029103</v>
      </c>
      <c r="C17" t="s">
        <v>17</v>
      </c>
      <c r="D17" t="s">
        <v>848</v>
      </c>
      <c r="E17" t="s">
        <v>849</v>
      </c>
      <c r="G17" t="str">
        <f>"5183307872"</f>
        <v>5183307872</v>
      </c>
      <c r="H17" t="s">
        <v>19</v>
      </c>
      <c r="K17" t="s">
        <v>826</v>
      </c>
      <c r="L17" t="str">
        <f t="shared" si="0"/>
        <v>Patricia Feeser</v>
      </c>
      <c r="M17" t="str">
        <f>+INDEX('Supersite Working-AW'!$R$4:$AB$196,MATCH('NGP Chairs CoChairs'!$A17,'Supersite Working-AW'!$Z$4:$Z$196,0),1)</f>
        <v>Centennial MS</v>
      </c>
      <c r="O17" s="57">
        <v>107152440</v>
      </c>
      <c r="P17" s="57">
        <v>8029103</v>
      </c>
      <c r="Q17" s="57" t="s">
        <v>17</v>
      </c>
      <c r="R17" s="57" t="s">
        <v>848</v>
      </c>
      <c r="S17" s="57" t="s">
        <v>849</v>
      </c>
      <c r="T17" s="57">
        <v>0</v>
      </c>
      <c r="U17" s="57" t="s">
        <v>1475</v>
      </c>
      <c r="V17" s="57" t="s">
        <v>19</v>
      </c>
      <c r="W17" s="57">
        <v>0</v>
      </c>
      <c r="X17" s="57">
        <v>0</v>
      </c>
      <c r="Y17" s="57" t="s">
        <v>826</v>
      </c>
      <c r="Z17" s="57" t="s">
        <v>1476</v>
      </c>
      <c r="AA17" s="57" t="s">
        <v>132</v>
      </c>
    </row>
    <row r="18" spans="1:27" x14ac:dyDescent="0.2">
      <c r="A18">
        <v>107152460</v>
      </c>
      <c r="B18">
        <v>8033360</v>
      </c>
      <c r="C18" t="s">
        <v>45</v>
      </c>
      <c r="D18" t="s">
        <v>46</v>
      </c>
      <c r="E18" t="s">
        <v>580</v>
      </c>
      <c r="G18" t="str">
        <f>"7209385326"</f>
        <v>7209385326</v>
      </c>
      <c r="H18" t="s">
        <v>581</v>
      </c>
      <c r="I18" t="s">
        <v>581</v>
      </c>
      <c r="J18" t="s">
        <v>826</v>
      </c>
      <c r="L18" t="str">
        <f t="shared" si="0"/>
        <v>Neil Fishman</v>
      </c>
      <c r="M18" t="str">
        <f>+INDEX('Supersite Working-AW'!$R$4:$AB$196,MATCH('NGP Chairs CoChairs'!$A18,'Supersite Working-AW'!$Z$4:$Z$196,0),1)</f>
        <v>Fairview HS</v>
      </c>
      <c r="O18" s="57">
        <v>107152460</v>
      </c>
      <c r="P18" s="57">
        <v>8033360</v>
      </c>
      <c r="Q18" s="57" t="s">
        <v>45</v>
      </c>
      <c r="R18" s="57" t="s">
        <v>46</v>
      </c>
      <c r="S18" s="57" t="s">
        <v>580</v>
      </c>
      <c r="T18" s="57">
        <v>0</v>
      </c>
      <c r="U18" s="57" t="s">
        <v>1477</v>
      </c>
      <c r="V18" s="57" t="s">
        <v>581</v>
      </c>
      <c r="W18" s="57" t="s">
        <v>581</v>
      </c>
      <c r="X18" s="57" t="s">
        <v>826</v>
      </c>
      <c r="Y18" s="57">
        <v>0</v>
      </c>
      <c r="Z18" s="57" t="s">
        <v>368</v>
      </c>
      <c r="AA18" s="57" t="s">
        <v>48</v>
      </c>
    </row>
    <row r="19" spans="1:27" x14ac:dyDescent="0.2">
      <c r="A19">
        <v>122989657</v>
      </c>
      <c r="B19">
        <v>8035390</v>
      </c>
      <c r="C19" t="s">
        <v>850</v>
      </c>
      <c r="D19" t="s">
        <v>851</v>
      </c>
      <c r="G19" t="str">
        <f>"3032291024"</f>
        <v>3032291024</v>
      </c>
      <c r="H19" t="s">
        <v>852</v>
      </c>
      <c r="I19" t="s">
        <v>852</v>
      </c>
      <c r="J19" t="s">
        <v>826</v>
      </c>
      <c r="L19" t="str">
        <f t="shared" si="0"/>
        <v>Mark Flett</v>
      </c>
      <c r="M19" t="str">
        <f>+INDEX('Supersite Working-AW'!$R$4:$AB$196,MATCH('NGP Chairs CoChairs'!$A19,'Supersite Working-AW'!$Y$4:$Y$196,0),1)</f>
        <v>Niwot HS</v>
      </c>
      <c r="O19" s="57">
        <v>122989657</v>
      </c>
      <c r="P19" s="57">
        <v>8035390</v>
      </c>
      <c r="Q19" s="57" t="s">
        <v>850</v>
      </c>
      <c r="R19" s="57" t="s">
        <v>851</v>
      </c>
      <c r="S19" s="57">
        <v>0</v>
      </c>
      <c r="T19" s="57">
        <v>0</v>
      </c>
      <c r="U19" s="57" t="s">
        <v>1478</v>
      </c>
      <c r="V19" s="57" t="s">
        <v>852</v>
      </c>
      <c r="W19" s="57" t="s">
        <v>852</v>
      </c>
      <c r="X19" s="57" t="s">
        <v>826</v>
      </c>
      <c r="Y19" s="57">
        <v>0</v>
      </c>
      <c r="Z19" s="57" t="s">
        <v>362</v>
      </c>
      <c r="AA19" s="57" t="s">
        <v>94</v>
      </c>
    </row>
    <row r="20" spans="1:27" x14ac:dyDescent="0.2">
      <c r="A20">
        <v>107152473</v>
      </c>
      <c r="B20">
        <v>8040827</v>
      </c>
      <c r="C20" t="s">
        <v>49</v>
      </c>
      <c r="D20" t="s">
        <v>50</v>
      </c>
      <c r="E20" t="s">
        <v>853</v>
      </c>
      <c r="G20" t="str">
        <f>"7202728398"</f>
        <v>7202728398</v>
      </c>
      <c r="H20" t="s">
        <v>854</v>
      </c>
      <c r="I20" t="s">
        <v>854</v>
      </c>
      <c r="K20" t="s">
        <v>826</v>
      </c>
      <c r="L20" t="str">
        <f t="shared" si="0"/>
        <v>Lilian Francklyn</v>
      </c>
      <c r="M20" t="str">
        <f>+INDEX('Supersite Working-AW'!$R$4:$AB$196,MATCH('NGP Chairs CoChairs'!$A20,'Supersite Working-AW'!$Y$4:$Y$196,0),1)</f>
        <v>Fairview HS</v>
      </c>
      <c r="O20" s="57">
        <v>107152473</v>
      </c>
      <c r="P20" s="57">
        <v>8040827</v>
      </c>
      <c r="Q20" s="57" t="s">
        <v>49</v>
      </c>
      <c r="R20" s="57" t="s">
        <v>50</v>
      </c>
      <c r="S20" s="57" t="s">
        <v>853</v>
      </c>
      <c r="T20" s="57">
        <v>0</v>
      </c>
      <c r="U20" s="57" t="s">
        <v>1479</v>
      </c>
      <c r="V20" s="57" t="s">
        <v>854</v>
      </c>
      <c r="W20" s="57" t="s">
        <v>854</v>
      </c>
      <c r="X20" s="57">
        <v>0</v>
      </c>
      <c r="Y20" s="57" t="s">
        <v>826</v>
      </c>
      <c r="Z20" s="57" t="s">
        <v>1480</v>
      </c>
      <c r="AA20" s="57" t="s">
        <v>48</v>
      </c>
    </row>
    <row r="21" spans="1:27" x14ac:dyDescent="0.2">
      <c r="A21">
        <v>108682188</v>
      </c>
      <c r="B21">
        <v>8051292</v>
      </c>
      <c r="C21" t="s">
        <v>591</v>
      </c>
      <c r="D21" t="s">
        <v>592</v>
      </c>
      <c r="E21" t="s">
        <v>46</v>
      </c>
      <c r="G21" t="str">
        <f>"7205341960"</f>
        <v>7205341960</v>
      </c>
      <c r="H21" t="s">
        <v>593</v>
      </c>
      <c r="I21" t="s">
        <v>594</v>
      </c>
      <c r="K21" t="s">
        <v>826</v>
      </c>
      <c r="L21" t="str">
        <f t="shared" si="0"/>
        <v>Stan Gelb</v>
      </c>
      <c r="M21" t="str">
        <f>+INDEX('Supersite Working-AW'!$R$4:$AB$196,MATCH('NGP Chairs CoChairs'!$A21,'Supersite Working-AW'!$Y$4:$Y$196,0),1)</f>
        <v>Longs Peak MS</v>
      </c>
      <c r="O21" s="57">
        <v>108682188</v>
      </c>
      <c r="P21" s="57">
        <v>8051292</v>
      </c>
      <c r="Q21" s="57" t="s">
        <v>591</v>
      </c>
      <c r="R21" s="57" t="s">
        <v>592</v>
      </c>
      <c r="S21" s="57" t="s">
        <v>46</v>
      </c>
      <c r="T21" s="57">
        <v>0</v>
      </c>
      <c r="U21" s="57" t="s">
        <v>1481</v>
      </c>
      <c r="V21" s="57" t="s">
        <v>593</v>
      </c>
      <c r="W21" s="57" t="s">
        <v>594</v>
      </c>
      <c r="X21" s="57">
        <v>0</v>
      </c>
      <c r="Y21" s="57" t="s">
        <v>826</v>
      </c>
      <c r="Z21" s="57" t="s">
        <v>1482</v>
      </c>
      <c r="AA21" s="57" t="s">
        <v>60</v>
      </c>
    </row>
    <row r="22" spans="1:27" x14ac:dyDescent="0.2">
      <c r="A22">
        <v>107152500</v>
      </c>
      <c r="B22">
        <v>200252364</v>
      </c>
      <c r="C22" t="s">
        <v>57</v>
      </c>
      <c r="D22" t="s">
        <v>58</v>
      </c>
      <c r="E22" t="s">
        <v>855</v>
      </c>
      <c r="G22" t="str">
        <f>"7207327496"</f>
        <v>7207327496</v>
      </c>
      <c r="H22" t="s">
        <v>59</v>
      </c>
      <c r="I22" t="s">
        <v>59</v>
      </c>
      <c r="K22" t="s">
        <v>826</v>
      </c>
      <c r="L22" t="str">
        <f t="shared" si="0"/>
        <v>Nancy George</v>
      </c>
      <c r="M22" t="str">
        <f>+INDEX('Supersite Working-AW'!$R$4:$AB$196,MATCH('NGP Chairs CoChairs'!$A22,'Supersite Working-AW'!$X$4:$X$196,0),1)</f>
        <v>Meadowlark School</v>
      </c>
      <c r="O22" s="57">
        <v>107152500</v>
      </c>
      <c r="P22" s="57">
        <v>200252364</v>
      </c>
      <c r="Q22" s="57" t="s">
        <v>57</v>
      </c>
      <c r="R22" s="57" t="s">
        <v>58</v>
      </c>
      <c r="S22" s="57" t="s">
        <v>855</v>
      </c>
      <c r="T22" s="57">
        <v>0</v>
      </c>
      <c r="U22" s="57" t="s">
        <v>1483</v>
      </c>
      <c r="V22" s="57" t="s">
        <v>59</v>
      </c>
      <c r="W22" s="57" t="s">
        <v>59</v>
      </c>
      <c r="X22" s="57">
        <v>0</v>
      </c>
      <c r="Y22" s="57" t="s">
        <v>826</v>
      </c>
      <c r="Z22" s="57" t="s">
        <v>1484</v>
      </c>
      <c r="AA22" s="57" t="s">
        <v>1446</v>
      </c>
    </row>
    <row r="23" spans="1:27" x14ac:dyDescent="0.2">
      <c r="A23">
        <v>107152549</v>
      </c>
      <c r="B23">
        <v>8083240</v>
      </c>
      <c r="C23" t="s">
        <v>620</v>
      </c>
      <c r="D23" t="s">
        <v>24</v>
      </c>
      <c r="G23" t="str">
        <f>"3039491542"</f>
        <v>3039491542</v>
      </c>
      <c r="H23" t="s">
        <v>621</v>
      </c>
      <c r="I23" t="s">
        <v>622</v>
      </c>
      <c r="K23" t="s">
        <v>826</v>
      </c>
      <c r="L23" t="str">
        <f t="shared" si="0"/>
        <v>Michael Hart</v>
      </c>
      <c r="M23" t="str">
        <f>+INDEX('Supersite Working-AW'!$R$4:$AB$196,MATCH('NGP Chairs CoChairs'!$A23,'Supersite Working-AW'!$Y$4:$Y$196,0),1)</f>
        <v>Centennial MS</v>
      </c>
      <c r="O23" s="57">
        <v>107152549</v>
      </c>
      <c r="P23" s="57">
        <v>8083240</v>
      </c>
      <c r="Q23" s="57" t="s">
        <v>620</v>
      </c>
      <c r="R23" s="57" t="s">
        <v>24</v>
      </c>
      <c r="S23" s="57">
        <v>0</v>
      </c>
      <c r="T23" s="57">
        <v>0</v>
      </c>
      <c r="U23" s="57" t="s">
        <v>1485</v>
      </c>
      <c r="V23" s="57" t="s">
        <v>621</v>
      </c>
      <c r="W23" s="57" t="s">
        <v>622</v>
      </c>
      <c r="X23" s="57">
        <v>0</v>
      </c>
      <c r="Y23" s="57" t="s">
        <v>826</v>
      </c>
      <c r="Z23" s="57" t="s">
        <v>1486</v>
      </c>
      <c r="AA23" s="57" t="s">
        <v>132</v>
      </c>
    </row>
    <row r="24" spans="1:27" x14ac:dyDescent="0.2">
      <c r="A24">
        <v>111658139</v>
      </c>
      <c r="B24">
        <v>601380515</v>
      </c>
      <c r="C24" t="s">
        <v>856</v>
      </c>
      <c r="D24" t="s">
        <v>857</v>
      </c>
      <c r="E24" t="s">
        <v>29</v>
      </c>
      <c r="G24" t="str">
        <f>"5127450823"</f>
        <v>5127450823</v>
      </c>
      <c r="H24" t="s">
        <v>858</v>
      </c>
      <c r="I24" t="s">
        <v>858</v>
      </c>
      <c r="J24" t="s">
        <v>826</v>
      </c>
      <c r="L24" t="str">
        <f t="shared" si="0"/>
        <v>Jasmine Holan</v>
      </c>
      <c r="M24" t="str">
        <f>+INDEX('Supersite Working-AW'!$R$4:$AB$196,MATCH('NGP Chairs CoChairs'!$A24,'Supersite Working-AW'!$X$4:$X$196,0),1)</f>
        <v xml:space="preserve">Allenspark Fire Station </v>
      </c>
      <c r="O24" s="57">
        <v>111658139</v>
      </c>
      <c r="P24" s="57">
        <v>601380515</v>
      </c>
      <c r="Q24" s="57" t="s">
        <v>856</v>
      </c>
      <c r="R24" s="57" t="s">
        <v>857</v>
      </c>
      <c r="S24" s="57" t="s">
        <v>29</v>
      </c>
      <c r="T24" s="57">
        <v>0</v>
      </c>
      <c r="U24" s="57" t="s">
        <v>1487</v>
      </c>
      <c r="V24" s="57" t="s">
        <v>858</v>
      </c>
      <c r="W24" s="57" t="s">
        <v>858</v>
      </c>
      <c r="X24" s="57" t="s">
        <v>826</v>
      </c>
      <c r="Y24" s="57">
        <v>0</v>
      </c>
      <c r="Z24" s="57" t="s">
        <v>1488</v>
      </c>
      <c r="AA24" s="57" t="s">
        <v>121</v>
      </c>
    </row>
    <row r="25" spans="1:27" x14ac:dyDescent="0.2">
      <c r="A25">
        <v>107152594</v>
      </c>
      <c r="B25">
        <v>8112611</v>
      </c>
      <c r="C25" t="s">
        <v>628</v>
      </c>
      <c r="D25" t="s">
        <v>629</v>
      </c>
      <c r="E25" t="s">
        <v>630</v>
      </c>
      <c r="G25" t="str">
        <f>"3038810816"</f>
        <v>3038810816</v>
      </c>
      <c r="H25" t="s">
        <v>75</v>
      </c>
      <c r="I25" t="s">
        <v>75</v>
      </c>
      <c r="K25" t="s">
        <v>826</v>
      </c>
      <c r="L25" t="str">
        <f t="shared" si="0"/>
        <v>marilyn hughes</v>
      </c>
      <c r="M25" t="str">
        <f>+INDEX('Supersite Working-AW'!$R$4:$AB$196,MATCH('NGP Chairs CoChairs'!$A25,'Supersite Working-AW'!$Z$4:$Z$196,0),1)</f>
        <v>Altona MS</v>
      </c>
      <c r="O25" s="57">
        <v>107152594</v>
      </c>
      <c r="P25" s="57">
        <v>8112611</v>
      </c>
      <c r="Q25" s="57" t="s">
        <v>628</v>
      </c>
      <c r="R25" s="57" t="s">
        <v>629</v>
      </c>
      <c r="S25" s="57" t="s">
        <v>630</v>
      </c>
      <c r="T25" s="57">
        <v>0</v>
      </c>
      <c r="U25" s="57" t="s">
        <v>1489</v>
      </c>
      <c r="V25" s="57" t="s">
        <v>75</v>
      </c>
      <c r="W25" s="57" t="s">
        <v>75</v>
      </c>
      <c r="X25" s="57">
        <v>0</v>
      </c>
      <c r="Y25" s="57" t="s">
        <v>826</v>
      </c>
      <c r="Z25" s="57" t="s">
        <v>1490</v>
      </c>
      <c r="AA25" s="57" t="s">
        <v>123</v>
      </c>
    </row>
    <row r="26" spans="1:27" x14ac:dyDescent="0.2">
      <c r="A26">
        <v>118591584</v>
      </c>
      <c r="B26">
        <v>8148214</v>
      </c>
      <c r="C26" t="s">
        <v>644</v>
      </c>
      <c r="D26" t="s">
        <v>54</v>
      </c>
      <c r="G26" t="str">
        <f>"7209383466"</f>
        <v>7209383466</v>
      </c>
      <c r="H26" t="s">
        <v>645</v>
      </c>
      <c r="I26" t="s">
        <v>645</v>
      </c>
      <c r="J26" t="s">
        <v>826</v>
      </c>
      <c r="L26" t="str">
        <f t="shared" si="0"/>
        <v>David Kline</v>
      </c>
      <c r="M26" t="str">
        <f>+INDEX('Supersite Working-AW'!$R$4:$AB$196,MATCH('NGP Chairs CoChairs'!$A26,'Supersite Working-AW'!$X$4:$X$196,0),1)</f>
        <v>Casey MS</v>
      </c>
      <c r="O26" s="57">
        <v>118591584</v>
      </c>
      <c r="P26" s="57">
        <v>8148214</v>
      </c>
      <c r="Q26" s="57" t="s">
        <v>644</v>
      </c>
      <c r="R26" s="57" t="s">
        <v>54</v>
      </c>
      <c r="S26" s="57">
        <v>0</v>
      </c>
      <c r="T26" s="57">
        <v>0</v>
      </c>
      <c r="U26" s="57" t="s">
        <v>1491</v>
      </c>
      <c r="V26" s="57" t="s">
        <v>645</v>
      </c>
      <c r="W26" s="57" t="s">
        <v>645</v>
      </c>
      <c r="X26" s="57" t="s">
        <v>826</v>
      </c>
      <c r="Y26" s="57">
        <v>0</v>
      </c>
      <c r="Z26" s="57" t="s">
        <v>90</v>
      </c>
      <c r="AA26" s="57" t="s">
        <v>8</v>
      </c>
    </row>
    <row r="27" spans="1:27" x14ac:dyDescent="0.2">
      <c r="A27">
        <v>107152695</v>
      </c>
      <c r="B27">
        <v>8166735</v>
      </c>
      <c r="C27" t="s">
        <v>34</v>
      </c>
      <c r="D27" t="s">
        <v>35</v>
      </c>
      <c r="G27" t="str">
        <f>"7209349497"</f>
        <v>7209349497</v>
      </c>
      <c r="H27" t="s">
        <v>36</v>
      </c>
      <c r="I27" t="s">
        <v>36</v>
      </c>
      <c r="J27" t="s">
        <v>826</v>
      </c>
      <c r="L27" t="str">
        <f t="shared" si="0"/>
        <v>Angelique Layton</v>
      </c>
      <c r="M27" t="str">
        <f>+INDEX('Supersite Working-AW'!$R$4:$AB$196,MATCH('NGP Chairs CoChairs'!$A27,'Supersite Working-AW'!$X$4:$X$196,0),1)</f>
        <v>Louisville MS</v>
      </c>
      <c r="O27" s="57">
        <v>107152695</v>
      </c>
      <c r="P27" s="57">
        <v>8166735</v>
      </c>
      <c r="Q27" s="57" t="s">
        <v>34</v>
      </c>
      <c r="R27" s="57" t="s">
        <v>35</v>
      </c>
      <c r="S27" s="57">
        <v>0</v>
      </c>
      <c r="T27" s="57">
        <v>0</v>
      </c>
      <c r="U27" s="57" t="s">
        <v>1492</v>
      </c>
      <c r="V27" s="57" t="s">
        <v>36</v>
      </c>
      <c r="W27" s="57" t="s">
        <v>36</v>
      </c>
      <c r="X27" s="57" t="s">
        <v>826</v>
      </c>
      <c r="Y27" s="57">
        <v>0</v>
      </c>
      <c r="Z27" s="57" t="s">
        <v>1493</v>
      </c>
      <c r="AA27" s="57" t="s">
        <v>28</v>
      </c>
    </row>
    <row r="28" spans="1:27" x14ac:dyDescent="0.2">
      <c r="A28">
        <v>107152704</v>
      </c>
      <c r="B28">
        <v>8167426</v>
      </c>
      <c r="C28" t="s">
        <v>29</v>
      </c>
      <c r="D28" t="s">
        <v>4</v>
      </c>
      <c r="E28" t="s">
        <v>860</v>
      </c>
      <c r="G28" t="str">
        <f>"3039815392"</f>
        <v>3039815392</v>
      </c>
      <c r="H28" t="s">
        <v>861</v>
      </c>
      <c r="I28" t="s">
        <v>861</v>
      </c>
      <c r="K28" t="s">
        <v>826</v>
      </c>
      <c r="L28" t="str">
        <f t="shared" si="0"/>
        <v>Linda Lee</v>
      </c>
      <c r="M28" t="str">
        <f>+INDEX('Supersite Working-AW'!$R$4:$AB$196,MATCH('NGP Chairs CoChairs'!$A28,'Supersite Working-AW'!$Y$4:$Y$196,0),1)</f>
        <v>Louisville MS</v>
      </c>
      <c r="O28" s="57">
        <v>107152704</v>
      </c>
      <c r="P28" s="57">
        <v>8167426</v>
      </c>
      <c r="Q28" s="57" t="s">
        <v>29</v>
      </c>
      <c r="R28" s="57" t="s">
        <v>4</v>
      </c>
      <c r="S28" s="57" t="s">
        <v>860</v>
      </c>
      <c r="T28" s="57">
        <v>0</v>
      </c>
      <c r="U28" s="57" t="s">
        <v>1494</v>
      </c>
      <c r="V28" s="57" t="s">
        <v>861</v>
      </c>
      <c r="W28" s="57" t="s">
        <v>861</v>
      </c>
      <c r="X28" s="57">
        <v>0</v>
      </c>
      <c r="Y28" s="57" t="s">
        <v>826</v>
      </c>
      <c r="Z28" s="57" t="s">
        <v>1495</v>
      </c>
      <c r="AA28" s="57" t="s">
        <v>28</v>
      </c>
    </row>
    <row r="29" spans="1:27" x14ac:dyDescent="0.2">
      <c r="A29">
        <v>118591255</v>
      </c>
      <c r="B29">
        <v>200098630</v>
      </c>
      <c r="C29" t="s">
        <v>862</v>
      </c>
      <c r="D29" t="s">
        <v>617</v>
      </c>
      <c r="E29" t="s">
        <v>480</v>
      </c>
      <c r="G29" t="str">
        <f>"2144977899"</f>
        <v>2144977899</v>
      </c>
      <c r="H29" t="s">
        <v>863</v>
      </c>
      <c r="I29" t="s">
        <v>863</v>
      </c>
      <c r="J29" t="s">
        <v>826</v>
      </c>
      <c r="L29" t="str">
        <f t="shared" si="0"/>
        <v>Lisa Lesniak</v>
      </c>
      <c r="M29" t="str">
        <f>+INDEX('Supersite Working-AW'!$R$4:$AB$196,MATCH('NGP Chairs CoChairs'!$A29,'Supersite Working-AW'!$X$4:$X$196,0),1)</f>
        <v>Nederland HS</v>
      </c>
      <c r="O29" s="57">
        <v>118591255</v>
      </c>
      <c r="P29" s="57">
        <v>200098630</v>
      </c>
      <c r="Q29" s="57" t="s">
        <v>862</v>
      </c>
      <c r="R29" s="57" t="s">
        <v>617</v>
      </c>
      <c r="S29" s="57" t="s">
        <v>480</v>
      </c>
      <c r="T29" s="57">
        <v>0</v>
      </c>
      <c r="U29" s="57" t="s">
        <v>1496</v>
      </c>
      <c r="V29" s="57" t="s">
        <v>863</v>
      </c>
      <c r="W29" s="57" t="s">
        <v>863</v>
      </c>
      <c r="X29" s="57" t="s">
        <v>826</v>
      </c>
      <c r="Y29" s="57">
        <v>0</v>
      </c>
      <c r="Z29" s="57" t="s">
        <v>348</v>
      </c>
      <c r="AA29" s="57" t="s">
        <v>40</v>
      </c>
    </row>
    <row r="30" spans="1:27" x14ac:dyDescent="0.2">
      <c r="A30">
        <v>107152750</v>
      </c>
      <c r="B30">
        <v>8190603</v>
      </c>
      <c r="C30" t="s">
        <v>1450</v>
      </c>
      <c r="D30" t="s">
        <v>1451</v>
      </c>
      <c r="E30" t="s">
        <v>480</v>
      </c>
      <c r="G30" t="str">
        <f>"3035884452"</f>
        <v>3035884452</v>
      </c>
      <c r="H30" t="s">
        <v>864</v>
      </c>
      <c r="I30" t="s">
        <v>864</v>
      </c>
      <c r="J30" t="s">
        <v>826</v>
      </c>
      <c r="L30" t="str">
        <f t="shared" si="0"/>
        <v>sharon malloy</v>
      </c>
      <c r="M30" t="str">
        <f>+INDEX('Supersite Working-AW'!$R$4:$AB$196,MATCH('NGP Chairs CoChairs'!$A30,'Supersite Working-AW'!$Y$4:$Y$196,0),1)</f>
        <v>Altona MS</v>
      </c>
      <c r="O30" s="57">
        <v>107152750</v>
      </c>
      <c r="P30" s="57">
        <v>8190603</v>
      </c>
      <c r="Q30" s="57" t="s">
        <v>1450</v>
      </c>
      <c r="R30" s="57" t="s">
        <v>1451</v>
      </c>
      <c r="S30" s="57" t="s">
        <v>480</v>
      </c>
      <c r="T30" s="57">
        <v>0</v>
      </c>
      <c r="U30" s="57" t="s">
        <v>1497</v>
      </c>
      <c r="V30" s="57" t="s">
        <v>864</v>
      </c>
      <c r="W30" s="57" t="s">
        <v>864</v>
      </c>
      <c r="X30" s="57" t="s">
        <v>826</v>
      </c>
      <c r="Y30" s="57">
        <v>0</v>
      </c>
      <c r="Z30" s="57" t="s">
        <v>1498</v>
      </c>
      <c r="AA30" s="57" t="s">
        <v>123</v>
      </c>
    </row>
    <row r="31" spans="1:27" x14ac:dyDescent="0.2">
      <c r="A31">
        <v>113627156</v>
      </c>
      <c r="B31">
        <v>600232796</v>
      </c>
      <c r="C31" t="s">
        <v>865</v>
      </c>
      <c r="D31" t="s">
        <v>866</v>
      </c>
      <c r="G31" t="str">
        <f>"3038867847"</f>
        <v>3038867847</v>
      </c>
      <c r="H31" t="s">
        <v>867</v>
      </c>
      <c r="I31" t="s">
        <v>868</v>
      </c>
      <c r="K31" t="s">
        <v>826</v>
      </c>
      <c r="L31" t="str">
        <f t="shared" si="0"/>
        <v>Katie Malzbender</v>
      </c>
      <c r="M31" t="str">
        <f>+INDEX('Supersite Working-AW'!$R$4:$AB$196,MATCH('NGP Chairs CoChairs'!$A31,'Supersite Working-AW'!$Y$4:$Y$196,0),1)</f>
        <v>Platt MS</v>
      </c>
      <c r="O31" s="57">
        <v>113627156</v>
      </c>
      <c r="P31" s="57">
        <v>600232796</v>
      </c>
      <c r="Q31" s="57" t="s">
        <v>865</v>
      </c>
      <c r="R31" s="57" t="s">
        <v>866</v>
      </c>
      <c r="S31" s="57">
        <v>0</v>
      </c>
      <c r="T31" s="57">
        <v>0</v>
      </c>
      <c r="U31" s="57" t="s">
        <v>1499</v>
      </c>
      <c r="V31" s="57" t="s">
        <v>867</v>
      </c>
      <c r="W31" s="57" t="s">
        <v>868</v>
      </c>
      <c r="X31" s="57">
        <v>0</v>
      </c>
      <c r="Y31" s="57" t="s">
        <v>826</v>
      </c>
      <c r="Z31" s="57" t="s">
        <v>1500</v>
      </c>
      <c r="AA31" s="57" t="s">
        <v>44</v>
      </c>
    </row>
    <row r="32" spans="1:27" x14ac:dyDescent="0.2">
      <c r="A32">
        <v>109594214</v>
      </c>
      <c r="B32">
        <v>600733227</v>
      </c>
      <c r="C32" t="s">
        <v>869</v>
      </c>
      <c r="D32" t="s">
        <v>870</v>
      </c>
      <c r="G32" t="str">
        <f>"3037756376"</f>
        <v>3037756376</v>
      </c>
      <c r="H32" t="s">
        <v>871</v>
      </c>
      <c r="I32" t="s">
        <v>872</v>
      </c>
      <c r="J32" t="s">
        <v>826</v>
      </c>
      <c r="L32" t="str">
        <f t="shared" si="0"/>
        <v>Jake Marsing</v>
      </c>
      <c r="M32" t="e">
        <f>+INDEX('Supersite Working-AW'!$R$4:$AB$196,MATCH('NGP Chairs CoChairs'!$A32,'Supersite Working-AW'!$Z$4:$Z$196,0),1)</f>
        <v>#N/A</v>
      </c>
      <c r="O32" s="57">
        <v>109594214</v>
      </c>
      <c r="P32" s="57">
        <v>600733227</v>
      </c>
      <c r="Q32" s="57" t="s">
        <v>869</v>
      </c>
      <c r="R32" s="57" t="s">
        <v>870</v>
      </c>
      <c r="S32" s="57">
        <v>0</v>
      </c>
      <c r="T32" s="57">
        <v>0</v>
      </c>
      <c r="U32" s="57" t="s">
        <v>1501</v>
      </c>
      <c r="V32" s="57" t="s">
        <v>871</v>
      </c>
      <c r="W32" s="57" t="s">
        <v>872</v>
      </c>
      <c r="X32" s="57" t="s">
        <v>826</v>
      </c>
      <c r="Y32" s="57">
        <v>0</v>
      </c>
      <c r="Z32" s="57" t="s">
        <v>1502</v>
      </c>
      <c r="AA32" s="57" t="e">
        <v>#N/A</v>
      </c>
    </row>
    <row r="33" spans="1:27" x14ac:dyDescent="0.2">
      <c r="A33">
        <v>107152772</v>
      </c>
      <c r="B33">
        <v>8193992</v>
      </c>
      <c r="C33" t="s">
        <v>686</v>
      </c>
      <c r="D33" t="s">
        <v>687</v>
      </c>
      <c r="E33" t="s">
        <v>688</v>
      </c>
      <c r="G33" t="str">
        <f>"3033191169"</f>
        <v>3033191169</v>
      </c>
      <c r="H33" t="s">
        <v>689</v>
      </c>
      <c r="I33" t="s">
        <v>689</v>
      </c>
      <c r="J33" t="s">
        <v>826</v>
      </c>
      <c r="L33" t="str">
        <f t="shared" si="0"/>
        <v>Becky Martinek</v>
      </c>
      <c r="M33" t="str">
        <f>+INDEX('Supersite Working-AW'!$R$4:$AB$196,MATCH('NGP Chairs CoChairs'!$A33,'Supersite Working-AW'!$X$4:$X$196,0),1)</f>
        <v>Ward Town Hall</v>
      </c>
      <c r="O33" s="57">
        <v>107152772</v>
      </c>
      <c r="P33" s="57">
        <v>8193992</v>
      </c>
      <c r="Q33" s="57" t="s">
        <v>686</v>
      </c>
      <c r="R33" s="57" t="s">
        <v>687</v>
      </c>
      <c r="S33" s="57" t="s">
        <v>688</v>
      </c>
      <c r="T33" s="57">
        <v>0</v>
      </c>
      <c r="U33" s="57" t="s">
        <v>1503</v>
      </c>
      <c r="V33" s="57" t="s">
        <v>689</v>
      </c>
      <c r="W33" s="57" t="s">
        <v>689</v>
      </c>
      <c r="X33" s="57" t="s">
        <v>826</v>
      </c>
      <c r="Y33" s="57">
        <v>0</v>
      </c>
      <c r="Z33" s="57" t="s">
        <v>1504</v>
      </c>
      <c r="AA33" s="57" t="s">
        <v>192</v>
      </c>
    </row>
    <row r="34" spans="1:27" x14ac:dyDescent="0.2">
      <c r="A34">
        <v>107152783</v>
      </c>
      <c r="B34">
        <v>8206872</v>
      </c>
      <c r="C34" t="s">
        <v>81</v>
      </c>
      <c r="D34" t="s">
        <v>82</v>
      </c>
      <c r="E34" t="s">
        <v>873</v>
      </c>
      <c r="G34" t="str">
        <f>"3036817722"</f>
        <v>3036817722</v>
      </c>
      <c r="H34" t="s">
        <v>83</v>
      </c>
      <c r="I34" t="s">
        <v>83</v>
      </c>
      <c r="J34" t="s">
        <v>826</v>
      </c>
      <c r="L34" t="str">
        <f t="shared" si="0"/>
        <v>Lynette McClain</v>
      </c>
      <c r="M34" t="str">
        <f>+INDEX('Supersite Working-AW'!$R$4:$AB$196,MATCH('NGP Chairs CoChairs'!$A34,'Supersite Working-AW'!$Y$4:$Y$196,0),1)</f>
        <v>Timberline K-8</v>
      </c>
      <c r="O34" s="57">
        <v>107152783</v>
      </c>
      <c r="P34" s="57">
        <v>8206872</v>
      </c>
      <c r="Q34" s="57" t="s">
        <v>81</v>
      </c>
      <c r="R34" s="57" t="s">
        <v>82</v>
      </c>
      <c r="S34" s="57" t="s">
        <v>873</v>
      </c>
      <c r="T34" s="57">
        <v>0</v>
      </c>
      <c r="U34" s="57" t="s">
        <v>1505</v>
      </c>
      <c r="V34" s="57" t="s">
        <v>83</v>
      </c>
      <c r="W34" s="57" t="s">
        <v>83</v>
      </c>
      <c r="X34" s="57" t="s">
        <v>826</v>
      </c>
      <c r="Y34" s="57">
        <v>0</v>
      </c>
      <c r="Z34" s="57" t="s">
        <v>95</v>
      </c>
      <c r="AA34" s="57" t="s">
        <v>184</v>
      </c>
    </row>
    <row r="35" spans="1:27" x14ac:dyDescent="0.2">
      <c r="A35">
        <v>107152803</v>
      </c>
      <c r="B35">
        <v>601081734</v>
      </c>
      <c r="C35" t="s">
        <v>874</v>
      </c>
      <c r="D35" t="s">
        <v>875</v>
      </c>
      <c r="E35" t="s">
        <v>480</v>
      </c>
      <c r="G35" t="str">
        <f>"4108187383"</f>
        <v>4108187383</v>
      </c>
      <c r="H35" t="s">
        <v>876</v>
      </c>
      <c r="I35" t="s">
        <v>876</v>
      </c>
      <c r="J35" t="s">
        <v>826</v>
      </c>
      <c r="L35" t="str">
        <f t="shared" si="0"/>
        <v>Lynne McNamara</v>
      </c>
      <c r="M35" t="str">
        <f>+INDEX('Supersite Working-AW'!$R$4:$AB$196,MATCH('NGP Chairs CoChairs'!$A35,'Supersite Working-AW'!$X$4:$X$196,0),1)</f>
        <v>Timberline K-8</v>
      </c>
      <c r="O35" s="57">
        <v>107152803</v>
      </c>
      <c r="P35" s="57">
        <v>601081734</v>
      </c>
      <c r="Q35" s="57" t="s">
        <v>874</v>
      </c>
      <c r="R35" s="57" t="s">
        <v>875</v>
      </c>
      <c r="S35" s="57" t="s">
        <v>480</v>
      </c>
      <c r="T35" s="57">
        <v>0</v>
      </c>
      <c r="U35" s="57" t="s">
        <v>1506</v>
      </c>
      <c r="V35" s="57" t="s">
        <v>876</v>
      </c>
      <c r="W35" s="57" t="s">
        <v>876</v>
      </c>
      <c r="X35" s="57" t="s">
        <v>826</v>
      </c>
      <c r="Y35" s="57">
        <v>0</v>
      </c>
      <c r="Z35" s="57" t="s">
        <v>405</v>
      </c>
      <c r="AA35" s="57" t="s">
        <v>184</v>
      </c>
    </row>
    <row r="36" spans="1:27" x14ac:dyDescent="0.2">
      <c r="A36">
        <v>114937498</v>
      </c>
      <c r="B36">
        <v>8244744</v>
      </c>
      <c r="C36" t="s">
        <v>41</v>
      </c>
      <c r="D36" t="s">
        <v>42</v>
      </c>
      <c r="E36" t="s">
        <v>877</v>
      </c>
      <c r="G36" t="str">
        <f>"3032583745"</f>
        <v>3032583745</v>
      </c>
      <c r="H36" t="s">
        <v>43</v>
      </c>
      <c r="I36" t="s">
        <v>43</v>
      </c>
      <c r="J36" t="s">
        <v>826</v>
      </c>
      <c r="L36" t="str">
        <f t="shared" si="0"/>
        <v>Allen Nelson</v>
      </c>
      <c r="M36" t="str">
        <f>+INDEX('Supersite Working-AW'!$R$4:$AB$196,MATCH('NGP Chairs CoChairs'!$A36,'Supersite Working-AW'!$Y$4:$Y$196,0),1)</f>
        <v>Nederland HS</v>
      </c>
      <c r="O36" s="57">
        <v>114937498</v>
      </c>
      <c r="P36" s="57">
        <v>8244744</v>
      </c>
      <c r="Q36" s="57" t="s">
        <v>41</v>
      </c>
      <c r="R36" s="57" t="s">
        <v>42</v>
      </c>
      <c r="S36" s="57" t="s">
        <v>877</v>
      </c>
      <c r="T36" s="57">
        <v>0</v>
      </c>
      <c r="U36" s="57" t="s">
        <v>1507</v>
      </c>
      <c r="V36" s="57" t="s">
        <v>43</v>
      </c>
      <c r="W36" s="57" t="s">
        <v>43</v>
      </c>
      <c r="X36" s="57" t="s">
        <v>826</v>
      </c>
      <c r="Y36" s="57">
        <v>0</v>
      </c>
      <c r="Z36" s="57" t="s">
        <v>347</v>
      </c>
      <c r="AA36" s="57" t="s">
        <v>40</v>
      </c>
    </row>
    <row r="37" spans="1:27" x14ac:dyDescent="0.2">
      <c r="A37">
        <v>107152870</v>
      </c>
      <c r="B37">
        <v>8248086</v>
      </c>
      <c r="C37" t="s">
        <v>878</v>
      </c>
      <c r="D37" t="s">
        <v>819</v>
      </c>
      <c r="G37" t="str">
        <f>"3037752697"</f>
        <v>3037752697</v>
      </c>
      <c r="H37" t="s">
        <v>879</v>
      </c>
      <c r="I37" t="s">
        <v>879</v>
      </c>
      <c r="J37" t="s">
        <v>826</v>
      </c>
      <c r="L37" t="str">
        <f t="shared" si="0"/>
        <v>Bruce Norikane</v>
      </c>
      <c r="M37" t="str">
        <f>+INDEX('Supersite Working-AW'!$R$4:$AB$196,MATCH('NGP Chairs CoChairs'!$A37,'Supersite Working-AW'!$Z$4:$Z$196,0),1)</f>
        <v>Casey MS</v>
      </c>
      <c r="O37" s="57">
        <v>107152870</v>
      </c>
      <c r="P37" s="57">
        <v>8248086</v>
      </c>
      <c r="Q37" s="57" t="s">
        <v>878</v>
      </c>
      <c r="R37" s="57" t="s">
        <v>819</v>
      </c>
      <c r="S37" s="57">
        <v>0</v>
      </c>
      <c r="T37" s="57">
        <v>0</v>
      </c>
      <c r="U37" s="57" t="s">
        <v>1508</v>
      </c>
      <c r="V37" s="57" t="s">
        <v>879</v>
      </c>
      <c r="W37" s="57" t="s">
        <v>879</v>
      </c>
      <c r="X37" s="57" t="s">
        <v>826</v>
      </c>
      <c r="Y37" s="57">
        <v>0</v>
      </c>
      <c r="Z37" s="57" t="s">
        <v>1509</v>
      </c>
      <c r="AA37" s="57" t="s">
        <v>8</v>
      </c>
    </row>
    <row r="38" spans="1:27" x14ac:dyDescent="0.2">
      <c r="A38">
        <v>107152873</v>
      </c>
      <c r="B38">
        <v>8246083</v>
      </c>
      <c r="C38" t="s">
        <v>51</v>
      </c>
      <c r="D38" t="s">
        <v>52</v>
      </c>
      <c r="G38" t="str">
        <f>"3034786467"</f>
        <v>3034786467</v>
      </c>
      <c r="H38" t="s">
        <v>53</v>
      </c>
      <c r="I38" t="s">
        <v>53</v>
      </c>
      <c r="J38" t="s">
        <v>826</v>
      </c>
      <c r="L38" t="str">
        <f t="shared" si="0"/>
        <v>Kenneth Nova</v>
      </c>
      <c r="M38" t="str">
        <f>+INDEX('Supersite Working-AW'!$R$4:$AB$196,MATCH('NGP Chairs CoChairs'!$A38,'Supersite Working-AW'!$X$4:$X$196,0),1)</f>
        <v>Fairview HS</v>
      </c>
      <c r="O38" s="57">
        <v>107152873</v>
      </c>
      <c r="P38" s="57">
        <v>8246083</v>
      </c>
      <c r="Q38" s="57" t="s">
        <v>51</v>
      </c>
      <c r="R38" s="57" t="s">
        <v>52</v>
      </c>
      <c r="S38" s="57">
        <v>0</v>
      </c>
      <c r="T38" s="57">
        <v>0</v>
      </c>
      <c r="U38" s="57" t="s">
        <v>1510</v>
      </c>
      <c r="V38" s="57" t="s">
        <v>53</v>
      </c>
      <c r="W38" s="57" t="s">
        <v>53</v>
      </c>
      <c r="X38" s="57" t="s">
        <v>826</v>
      </c>
      <c r="Y38" s="57">
        <v>0</v>
      </c>
      <c r="Z38" s="57" t="s">
        <v>289</v>
      </c>
      <c r="AA38" s="57" t="s">
        <v>48</v>
      </c>
    </row>
    <row r="39" spans="1:27" x14ac:dyDescent="0.2">
      <c r="A39">
        <v>148428799</v>
      </c>
      <c r="B39">
        <v>8316981</v>
      </c>
      <c r="C39" t="s">
        <v>880</v>
      </c>
      <c r="D39" t="s">
        <v>487</v>
      </c>
      <c r="G39" t="str">
        <f>"7203525103"</f>
        <v>7203525103</v>
      </c>
      <c r="H39" t="s">
        <v>881</v>
      </c>
      <c r="I39" t="s">
        <v>882</v>
      </c>
      <c r="J39" t="s">
        <v>826</v>
      </c>
      <c r="L39" t="str">
        <f t="shared" si="0"/>
        <v>Catherine Sargent</v>
      </c>
      <c r="M39" t="e">
        <f>+INDEX('Supersite Working-AW'!$R$4:$AB$196,MATCH('NGP Chairs CoChairs'!$A39,'Supersite Working-AW'!$Z$4:$Z$196,0),1)</f>
        <v>#N/A</v>
      </c>
      <c r="O39" s="57">
        <v>148428799</v>
      </c>
      <c r="P39" s="57">
        <v>8316981</v>
      </c>
      <c r="Q39" s="57" t="s">
        <v>880</v>
      </c>
      <c r="R39" s="57" t="s">
        <v>487</v>
      </c>
      <c r="S39" s="57">
        <v>0</v>
      </c>
      <c r="T39" s="57">
        <v>0</v>
      </c>
      <c r="U39" s="57" t="s">
        <v>1511</v>
      </c>
      <c r="V39" s="57" t="s">
        <v>881</v>
      </c>
      <c r="W39" s="57" t="s">
        <v>882</v>
      </c>
      <c r="X39" s="57" t="s">
        <v>826</v>
      </c>
      <c r="Y39" s="57">
        <v>0</v>
      </c>
      <c r="Z39" s="57" t="s">
        <v>1512</v>
      </c>
      <c r="AA39" s="57" t="e">
        <v>#N/A</v>
      </c>
    </row>
    <row r="40" spans="1:27" x14ac:dyDescent="0.2">
      <c r="A40">
        <v>122990310</v>
      </c>
      <c r="B40">
        <v>8323023</v>
      </c>
      <c r="C40" t="s">
        <v>742</v>
      </c>
      <c r="D40" t="s">
        <v>26</v>
      </c>
      <c r="E40" t="s">
        <v>743</v>
      </c>
      <c r="F40" t="s">
        <v>744</v>
      </c>
      <c r="G40" s="139" t="s">
        <v>1767</v>
      </c>
      <c r="H40" t="s">
        <v>745</v>
      </c>
      <c r="I40" t="s">
        <v>745</v>
      </c>
      <c r="J40" t="s">
        <v>826</v>
      </c>
      <c r="L40" t="str">
        <f t="shared" si="0"/>
        <v>Robert Schaller</v>
      </c>
      <c r="M40" t="str">
        <f>+INDEX('Supersite Working-AW'!$R$4:$AB$196,MATCH('NGP Chairs CoChairs'!$A40,'Supersite Working-AW'!$X$4:$X$196,0),1)</f>
        <v>Jamestown School</v>
      </c>
      <c r="O40" s="57">
        <v>122990310</v>
      </c>
      <c r="P40" s="57">
        <v>8323023</v>
      </c>
      <c r="Q40" s="57" t="s">
        <v>742</v>
      </c>
      <c r="R40" s="57" t="s">
        <v>26</v>
      </c>
      <c r="S40" s="57" t="s">
        <v>743</v>
      </c>
      <c r="T40" s="57" t="s">
        <v>744</v>
      </c>
      <c r="U40" s="57">
        <v>0</v>
      </c>
      <c r="V40" s="57" t="s">
        <v>745</v>
      </c>
      <c r="W40" s="57" t="s">
        <v>745</v>
      </c>
      <c r="X40" s="57" t="s">
        <v>826</v>
      </c>
      <c r="Y40" s="57">
        <v>0</v>
      </c>
      <c r="Z40" s="57" t="s">
        <v>1513</v>
      </c>
      <c r="AA40" s="57" t="s">
        <v>139</v>
      </c>
    </row>
    <row r="41" spans="1:27" x14ac:dyDescent="0.2">
      <c r="A41">
        <v>107153029</v>
      </c>
      <c r="B41">
        <v>8348060</v>
      </c>
      <c r="C41" t="s">
        <v>14</v>
      </c>
      <c r="D41" t="s">
        <v>15</v>
      </c>
      <c r="G41" t="str">
        <f>"3032492204"</f>
        <v>3032492204</v>
      </c>
      <c r="H41" t="s">
        <v>16</v>
      </c>
      <c r="I41" t="s">
        <v>16</v>
      </c>
      <c r="J41" t="s">
        <v>826</v>
      </c>
      <c r="L41" t="str">
        <f t="shared" si="0"/>
        <v>Joel Smith</v>
      </c>
      <c r="M41" t="str">
        <f>+INDEX('Supersite Working-AW'!$R$4:$AB$196,MATCH('NGP Chairs CoChairs'!$A41,'Supersite Working-AW'!$X$4:$X$196,0),1)</f>
        <v>Centennial MS</v>
      </c>
      <c r="O41" s="57">
        <v>107153029</v>
      </c>
      <c r="P41" s="57">
        <v>8348060</v>
      </c>
      <c r="Q41" s="57" t="s">
        <v>14</v>
      </c>
      <c r="R41" s="57" t="s">
        <v>15</v>
      </c>
      <c r="S41" s="57">
        <v>0</v>
      </c>
      <c r="T41" s="57">
        <v>0</v>
      </c>
      <c r="U41" s="57" t="s">
        <v>1514</v>
      </c>
      <c r="V41" s="57" t="s">
        <v>16</v>
      </c>
      <c r="W41" s="57" t="s">
        <v>16</v>
      </c>
      <c r="X41" s="57" t="s">
        <v>826</v>
      </c>
      <c r="Y41" s="57">
        <v>0</v>
      </c>
      <c r="Z41" s="57" t="s">
        <v>270</v>
      </c>
      <c r="AA41" s="57" t="s">
        <v>132</v>
      </c>
    </row>
    <row r="42" spans="1:27" x14ac:dyDescent="0.2">
      <c r="A42">
        <v>147113970</v>
      </c>
      <c r="B42">
        <v>602274041</v>
      </c>
      <c r="C42" t="s">
        <v>14</v>
      </c>
      <c r="D42" t="s">
        <v>24</v>
      </c>
      <c r="E42" t="s">
        <v>883</v>
      </c>
      <c r="F42" t="s">
        <v>744</v>
      </c>
      <c r="G42" t="str">
        <f>"9525673288"</f>
        <v>9525673288</v>
      </c>
      <c r="H42" t="s">
        <v>884</v>
      </c>
      <c r="I42" t="s">
        <v>884</v>
      </c>
      <c r="J42" t="s">
        <v>826</v>
      </c>
      <c r="L42" t="str">
        <f t="shared" si="0"/>
        <v>Michael Smith</v>
      </c>
      <c r="M42" t="str">
        <f>+INDEX('Supersite Working-AW'!$R$4:$AB$196,MATCH('NGP Chairs CoChairs'!$A42,'Supersite Working-AW'!$X$4:$X$196,0),1)</f>
        <v>New Vista</v>
      </c>
      <c r="O42" s="57">
        <v>147113970</v>
      </c>
      <c r="P42" s="57">
        <v>602274041</v>
      </c>
      <c r="Q42" s="57" t="s">
        <v>14</v>
      </c>
      <c r="R42" s="57" t="s">
        <v>24</v>
      </c>
      <c r="S42" s="57" t="s">
        <v>883</v>
      </c>
      <c r="T42" s="57" t="s">
        <v>744</v>
      </c>
      <c r="U42" s="57" t="s">
        <v>1515</v>
      </c>
      <c r="V42" s="57" t="s">
        <v>884</v>
      </c>
      <c r="W42" s="57" t="s">
        <v>884</v>
      </c>
      <c r="X42" s="57" t="s">
        <v>826</v>
      </c>
      <c r="Y42" s="57">
        <v>0</v>
      </c>
      <c r="Z42" s="57" t="s">
        <v>1516</v>
      </c>
      <c r="AA42" s="57" t="s">
        <v>125</v>
      </c>
    </row>
    <row r="43" spans="1:27" x14ac:dyDescent="0.2">
      <c r="A43">
        <v>130838049</v>
      </c>
      <c r="B43">
        <v>601750550</v>
      </c>
      <c r="C43" t="s">
        <v>885</v>
      </c>
      <c r="D43" t="s">
        <v>886</v>
      </c>
      <c r="G43" t="str">
        <f>"2408990037"</f>
        <v>2408990037</v>
      </c>
      <c r="H43" t="s">
        <v>887</v>
      </c>
      <c r="I43" t="s">
        <v>887</v>
      </c>
      <c r="K43" t="s">
        <v>826</v>
      </c>
      <c r="L43" t="str">
        <f t="shared" si="0"/>
        <v>Marcela Stras</v>
      </c>
      <c r="M43" t="str">
        <f>+INDEX('Supersite Working-AW'!$R$4:$AB$196,MATCH('NGP Chairs CoChairs'!$A43,'Supersite Working-AW'!$AA$4:$AA$196,0),1)</f>
        <v>Timberline K-8</v>
      </c>
      <c r="O43" s="57">
        <v>130838049</v>
      </c>
      <c r="P43" s="57">
        <v>601750550</v>
      </c>
      <c r="Q43" s="57" t="s">
        <v>885</v>
      </c>
      <c r="R43" s="57" t="s">
        <v>886</v>
      </c>
      <c r="S43" s="57">
        <v>0</v>
      </c>
      <c r="T43" s="57">
        <v>0</v>
      </c>
      <c r="U43" s="57" t="s">
        <v>1517</v>
      </c>
      <c r="V43" s="57" t="s">
        <v>887</v>
      </c>
      <c r="W43" s="57" t="s">
        <v>887</v>
      </c>
      <c r="X43" s="57">
        <v>0</v>
      </c>
      <c r="Y43" s="57" t="s">
        <v>826</v>
      </c>
      <c r="Z43" s="57" t="s">
        <v>1518</v>
      </c>
      <c r="AA43" s="57" t="s">
        <v>184</v>
      </c>
    </row>
    <row r="44" spans="1:27" x14ac:dyDescent="0.2">
      <c r="A44">
        <v>107153071</v>
      </c>
      <c r="B44">
        <v>8369447</v>
      </c>
      <c r="C44" t="s">
        <v>522</v>
      </c>
      <c r="D44" t="s">
        <v>888</v>
      </c>
      <c r="E44" t="s">
        <v>860</v>
      </c>
      <c r="G44" t="str">
        <f>"7206008829"</f>
        <v>7206008829</v>
      </c>
      <c r="H44" t="s">
        <v>889</v>
      </c>
      <c r="I44" t="s">
        <v>889</v>
      </c>
      <c r="J44" t="s">
        <v>826</v>
      </c>
      <c r="L44" t="str">
        <f t="shared" si="0"/>
        <v>Molly Stuart</v>
      </c>
      <c r="M44" t="e">
        <f>+INDEX('Supersite Working-AW'!$R$4:$AB$196,MATCH('NGP Chairs CoChairs'!$A44,'Supersite Working-AW'!$Z$4:$Z$196,0),1)</f>
        <v>#N/A</v>
      </c>
      <c r="O44" s="57">
        <v>107153071</v>
      </c>
      <c r="P44" s="57">
        <v>8369447</v>
      </c>
      <c r="Q44" s="57" t="s">
        <v>522</v>
      </c>
      <c r="R44" s="57" t="s">
        <v>888</v>
      </c>
      <c r="S44" s="57" t="s">
        <v>860</v>
      </c>
      <c r="T44" s="57">
        <v>0</v>
      </c>
      <c r="U44" s="57" t="s">
        <v>1519</v>
      </c>
      <c r="V44" s="57" t="s">
        <v>889</v>
      </c>
      <c r="W44" s="57" t="s">
        <v>889</v>
      </c>
      <c r="X44" s="57" t="s">
        <v>826</v>
      </c>
      <c r="Y44" s="57">
        <v>0</v>
      </c>
      <c r="Z44" s="57" t="s">
        <v>253</v>
      </c>
      <c r="AA44" s="57" t="e">
        <v>#N/A</v>
      </c>
    </row>
    <row r="45" spans="1:27" x14ac:dyDescent="0.2">
      <c r="A45">
        <v>107146029</v>
      </c>
      <c r="B45">
        <v>601659099</v>
      </c>
      <c r="C45" t="s">
        <v>71</v>
      </c>
      <c r="D45" t="s">
        <v>72</v>
      </c>
      <c r="E45" t="s">
        <v>709</v>
      </c>
      <c r="G45" t="str">
        <f>"9192102776"</f>
        <v>9192102776</v>
      </c>
      <c r="H45" t="s">
        <v>890</v>
      </c>
      <c r="I45" t="s">
        <v>73</v>
      </c>
      <c r="K45" t="s">
        <v>826</v>
      </c>
      <c r="L45" t="str">
        <f t="shared" si="0"/>
        <v>Carol Teal</v>
      </c>
      <c r="M45" t="str">
        <f>+INDEX('Supersite Working-AW'!$R$4:$AB$196,MATCH('NGP Chairs CoChairs'!$A45,'Supersite Working-AW'!$X$4:$X$196,0),1)</f>
        <v>Eldorado K8</v>
      </c>
      <c r="O45" s="57">
        <v>107146029</v>
      </c>
      <c r="P45" s="57">
        <v>601659099</v>
      </c>
      <c r="Q45" s="57" t="s">
        <v>71</v>
      </c>
      <c r="R45" s="57" t="s">
        <v>72</v>
      </c>
      <c r="S45" s="57" t="s">
        <v>709</v>
      </c>
      <c r="T45" s="57">
        <v>0</v>
      </c>
      <c r="U45" s="57" t="s">
        <v>1520</v>
      </c>
      <c r="V45" s="57" t="s">
        <v>890</v>
      </c>
      <c r="W45" s="57" t="s">
        <v>73</v>
      </c>
      <c r="X45" s="57">
        <v>0</v>
      </c>
      <c r="Y45" s="57" t="s">
        <v>826</v>
      </c>
      <c r="Z45" s="57" t="s">
        <v>1521</v>
      </c>
      <c r="AA45" s="57" t="s">
        <v>134</v>
      </c>
    </row>
    <row r="46" spans="1:27" x14ac:dyDescent="0.2">
      <c r="A46">
        <v>144328289</v>
      </c>
      <c r="B46">
        <v>603495194</v>
      </c>
      <c r="C46" t="s">
        <v>891</v>
      </c>
      <c r="D46" t="s">
        <v>892</v>
      </c>
      <c r="G46" t="str">
        <f>"7326737007"</f>
        <v>7326737007</v>
      </c>
      <c r="H46" t="s">
        <v>893</v>
      </c>
      <c r="I46" t="s">
        <v>893</v>
      </c>
      <c r="K46" t="s">
        <v>826</v>
      </c>
      <c r="L46" t="str">
        <f t="shared" si="0"/>
        <v>Pamela Teixeira</v>
      </c>
      <c r="M46" t="str">
        <f>+INDEX('Supersite Working-AW'!$R$4:$AB$196,MATCH('NGP Chairs CoChairs'!$A46,'Supersite Working-AW'!$Y$4:$Y$196,0),1)</f>
        <v>Meadowlark School</v>
      </c>
      <c r="O46" s="57">
        <v>144328289</v>
      </c>
      <c r="P46" s="57">
        <v>603495194</v>
      </c>
      <c r="Q46" s="57" t="s">
        <v>891</v>
      </c>
      <c r="R46" s="57" t="s">
        <v>892</v>
      </c>
      <c r="S46" s="57">
        <v>0</v>
      </c>
      <c r="T46" s="57">
        <v>0</v>
      </c>
      <c r="U46" s="57" t="s">
        <v>1522</v>
      </c>
      <c r="V46" s="57" t="s">
        <v>893</v>
      </c>
      <c r="W46" s="57" t="s">
        <v>893</v>
      </c>
      <c r="X46" s="57">
        <v>0</v>
      </c>
      <c r="Y46" s="57" t="s">
        <v>826</v>
      </c>
      <c r="Z46" s="57" t="s">
        <v>1523</v>
      </c>
      <c r="AA46" s="57" t="s">
        <v>1446</v>
      </c>
    </row>
    <row r="47" spans="1:27" x14ac:dyDescent="0.2">
      <c r="A47">
        <v>107153112</v>
      </c>
      <c r="B47">
        <v>8397070</v>
      </c>
      <c r="C47" t="s">
        <v>894</v>
      </c>
      <c r="D47" t="s">
        <v>895</v>
      </c>
      <c r="E47" t="s">
        <v>729</v>
      </c>
      <c r="G47" t="str">
        <f>"7205341960"</f>
        <v>7205341960</v>
      </c>
      <c r="H47" t="s">
        <v>896</v>
      </c>
      <c r="I47" t="s">
        <v>897</v>
      </c>
      <c r="K47" t="s">
        <v>826</v>
      </c>
      <c r="L47" t="str">
        <f t="shared" si="0"/>
        <v>Beth Utton</v>
      </c>
      <c r="M47" t="str">
        <f>+INDEX('Supersite Working-AW'!$R$4:$AB$196,MATCH('NGP Chairs CoChairs'!$A47,'Supersite Working-AW'!$Z$4:$Z$196,0),1)</f>
        <v>Longs Peak MS</v>
      </c>
      <c r="O47" s="57">
        <v>107153112</v>
      </c>
      <c r="P47" s="57">
        <v>8397070</v>
      </c>
      <c r="Q47" s="57" t="s">
        <v>894</v>
      </c>
      <c r="R47" s="57" t="s">
        <v>895</v>
      </c>
      <c r="S47" s="57" t="s">
        <v>729</v>
      </c>
      <c r="T47" s="57">
        <v>0</v>
      </c>
      <c r="U47" s="57" t="s">
        <v>1481</v>
      </c>
      <c r="V47" s="57" t="s">
        <v>896</v>
      </c>
      <c r="W47" s="57" t="s">
        <v>897</v>
      </c>
      <c r="X47" s="57">
        <v>0</v>
      </c>
      <c r="Y47" s="57" t="s">
        <v>826</v>
      </c>
      <c r="Z47" s="57" t="s">
        <v>1524</v>
      </c>
      <c r="AA47" s="57" t="s">
        <v>60</v>
      </c>
    </row>
    <row r="48" spans="1:27" x14ac:dyDescent="0.2">
      <c r="A48">
        <v>107153114</v>
      </c>
      <c r="B48">
        <v>600992763</v>
      </c>
      <c r="C48" t="s">
        <v>781</v>
      </c>
      <c r="D48" t="s">
        <v>782</v>
      </c>
      <c r="G48" t="str">
        <f>"3033788355"</f>
        <v>3033788355</v>
      </c>
      <c r="H48" t="s">
        <v>783</v>
      </c>
      <c r="I48" t="s">
        <v>783</v>
      </c>
      <c r="K48" t="s">
        <v>826</v>
      </c>
      <c r="L48" t="str">
        <f t="shared" si="0"/>
        <v>Dalton Valette</v>
      </c>
      <c r="M48" t="str">
        <f>+INDEX('Supersite Working-AW'!$R$4:$AB$196,MATCH('NGP Chairs CoChairs'!$A48,'Supersite Working-AW'!$Y$4:$Y$196,0),1)</f>
        <v>Eldorado K8</v>
      </c>
      <c r="O48" s="57">
        <v>107153114</v>
      </c>
      <c r="P48" s="57">
        <v>600992763</v>
      </c>
      <c r="Q48" s="57" t="s">
        <v>781</v>
      </c>
      <c r="R48" s="57" t="s">
        <v>782</v>
      </c>
      <c r="S48" s="57">
        <v>0</v>
      </c>
      <c r="T48" s="57">
        <v>0</v>
      </c>
      <c r="U48" s="57" t="s">
        <v>1525</v>
      </c>
      <c r="V48" s="57" t="s">
        <v>783</v>
      </c>
      <c r="W48" s="57" t="s">
        <v>783</v>
      </c>
      <c r="X48" s="57">
        <v>0</v>
      </c>
      <c r="Y48" s="57" t="s">
        <v>826</v>
      </c>
      <c r="Z48" s="57" t="s">
        <v>1526</v>
      </c>
      <c r="AA48" s="57" t="s">
        <v>134</v>
      </c>
    </row>
    <row r="49" spans="1:27" x14ac:dyDescent="0.2">
      <c r="A49">
        <v>122099501</v>
      </c>
      <c r="B49">
        <v>8412476</v>
      </c>
      <c r="C49" t="s">
        <v>792</v>
      </c>
      <c r="D49" t="s">
        <v>779</v>
      </c>
      <c r="E49" t="s">
        <v>467</v>
      </c>
      <c r="G49" t="str">
        <f>"3035891976"</f>
        <v>3035891976</v>
      </c>
      <c r="H49" t="s">
        <v>793</v>
      </c>
      <c r="I49" t="s">
        <v>794</v>
      </c>
      <c r="J49" t="s">
        <v>826</v>
      </c>
      <c r="L49" t="str">
        <f t="shared" si="0"/>
        <v>Amy Weinstein</v>
      </c>
      <c r="M49" t="e">
        <f>+INDEX('Supersite Working-AW'!$R$4:$AB$196,MATCH('NGP Chairs CoChairs'!$A49,'Supersite Working-AW'!$Z$4:$Z$196,0),1)</f>
        <v>#N/A</v>
      </c>
      <c r="N49" t="e">
        <f>+INDEX('Supersite Working-AW'!$R$4:$AB$196,MATCH('NGP Chairs CoChairs'!$A49,'Supersite Working-AW'!$AB$4:AC$196,0),1)</f>
        <v>#N/A</v>
      </c>
      <c r="O49" s="57">
        <v>122099501</v>
      </c>
      <c r="P49" s="57">
        <v>8412476</v>
      </c>
      <c r="Q49" s="57" t="s">
        <v>792</v>
      </c>
      <c r="R49" s="57" t="s">
        <v>779</v>
      </c>
      <c r="S49" s="57" t="s">
        <v>467</v>
      </c>
      <c r="T49" s="57">
        <v>0</v>
      </c>
      <c r="U49" s="57" t="s">
        <v>1527</v>
      </c>
      <c r="V49" s="57" t="s">
        <v>793</v>
      </c>
      <c r="W49" s="57" t="s">
        <v>794</v>
      </c>
      <c r="X49" s="57" t="s">
        <v>826</v>
      </c>
      <c r="Y49" s="57">
        <v>0</v>
      </c>
      <c r="Z49" s="57" t="s">
        <v>1528</v>
      </c>
      <c r="AA49" s="57" t="e">
        <v>#N/A</v>
      </c>
    </row>
    <row r="50" spans="1:27" x14ac:dyDescent="0.2">
      <c r="A50">
        <v>107153150</v>
      </c>
      <c r="B50">
        <v>8413690</v>
      </c>
      <c r="C50" t="s">
        <v>68</v>
      </c>
      <c r="D50" t="s">
        <v>69</v>
      </c>
      <c r="E50" t="s">
        <v>898</v>
      </c>
      <c r="G50" t="str">
        <f>"3032426450"</f>
        <v>3032426450</v>
      </c>
      <c r="H50" t="s">
        <v>70</v>
      </c>
      <c r="I50" t="s">
        <v>70</v>
      </c>
      <c r="J50" t="s">
        <v>826</v>
      </c>
      <c r="L50" t="str">
        <f t="shared" si="0"/>
        <v>Gaythia Weis</v>
      </c>
      <c r="M50" t="str">
        <f>+INDEX('Supersite Working-AW'!$R$4:$AB$196,MATCH('NGP Chairs CoChairs'!$A50,'Supersite Working-AW'!$X$4:$X$196,0),1)</f>
        <v>Altona MS</v>
      </c>
      <c r="O50" s="57">
        <v>107153150</v>
      </c>
      <c r="P50" s="57">
        <v>8413690</v>
      </c>
      <c r="Q50" s="57" t="s">
        <v>68</v>
      </c>
      <c r="R50" s="57" t="s">
        <v>69</v>
      </c>
      <c r="S50" s="57" t="s">
        <v>898</v>
      </c>
      <c r="T50" s="57">
        <v>0</v>
      </c>
      <c r="U50" s="57" t="s">
        <v>1529</v>
      </c>
      <c r="V50" s="57" t="s">
        <v>70</v>
      </c>
      <c r="W50" s="57" t="s">
        <v>70</v>
      </c>
      <c r="X50" s="57" t="s">
        <v>826</v>
      </c>
      <c r="Y50" s="57">
        <v>0</v>
      </c>
      <c r="Z50" s="57" t="s">
        <v>379</v>
      </c>
      <c r="AA50" s="57" t="s">
        <v>123</v>
      </c>
    </row>
    <row r="51" spans="1:27" x14ac:dyDescent="0.2">
      <c r="A51">
        <v>107272606</v>
      </c>
      <c r="B51">
        <v>8426947</v>
      </c>
      <c r="C51" t="s">
        <v>65</v>
      </c>
      <c r="D51" t="s">
        <v>899</v>
      </c>
      <c r="E51" t="s">
        <v>632</v>
      </c>
      <c r="G51" t="str">
        <f>"3038095686"</f>
        <v>3038095686</v>
      </c>
      <c r="H51" t="s">
        <v>66</v>
      </c>
      <c r="I51" t="s">
        <v>66</v>
      </c>
      <c r="J51" t="s">
        <v>826</v>
      </c>
      <c r="L51" t="str">
        <f t="shared" si="0"/>
        <v>Jen Wingard</v>
      </c>
      <c r="M51" t="str">
        <f>+INDEX('Supersite Working-AW'!$R$4:$AB$196,MATCH('NGP Chairs CoChairs'!$A51,'Supersite Working-AW'!$X$4:$X$196,0),1)</f>
        <v>Lyons Middle Senior</v>
      </c>
      <c r="O51" s="57">
        <v>107272606</v>
      </c>
      <c r="P51" s="57">
        <v>8426947</v>
      </c>
      <c r="Q51" s="57" t="s">
        <v>65</v>
      </c>
      <c r="R51" s="57" t="s">
        <v>899</v>
      </c>
      <c r="S51" s="57" t="s">
        <v>632</v>
      </c>
      <c r="T51" s="57">
        <v>0</v>
      </c>
      <c r="U51" s="57" t="s">
        <v>1530</v>
      </c>
      <c r="V51" s="57" t="s">
        <v>66</v>
      </c>
      <c r="W51" s="57" t="s">
        <v>66</v>
      </c>
      <c r="X51" s="57" t="s">
        <v>826</v>
      </c>
      <c r="Y51" s="57">
        <v>0</v>
      </c>
      <c r="Z51" s="57" t="s">
        <v>241</v>
      </c>
      <c r="AA51" s="57" t="s">
        <v>141</v>
      </c>
    </row>
    <row r="52" spans="1:27" x14ac:dyDescent="0.2">
      <c r="A52">
        <v>114937506</v>
      </c>
      <c r="B52">
        <v>8427277</v>
      </c>
      <c r="C52" t="s">
        <v>807</v>
      </c>
      <c r="D52" t="s">
        <v>446</v>
      </c>
      <c r="G52" t="str">
        <f>"3035810783"</f>
        <v>3035810783</v>
      </c>
      <c r="H52" t="s">
        <v>808</v>
      </c>
      <c r="K52" t="s">
        <v>826</v>
      </c>
      <c r="L52" t="str">
        <f t="shared" si="0"/>
        <v>Susan Winter</v>
      </c>
      <c r="M52" t="str">
        <f>+INDEX('Supersite Working-AW'!$R$4:$AB$196,MATCH('NGP Chairs CoChairs'!$A52,'Supersite Working-AW'!$Z$4:$Z$196,0),1)</f>
        <v>Niwot HS</v>
      </c>
      <c r="O52" s="57">
        <v>114937506</v>
      </c>
      <c r="P52" s="57">
        <v>8427277</v>
      </c>
      <c r="Q52" s="57" t="s">
        <v>807</v>
      </c>
      <c r="R52" s="57" t="s">
        <v>446</v>
      </c>
      <c r="S52" s="57">
        <v>0</v>
      </c>
      <c r="T52" s="57">
        <v>0</v>
      </c>
      <c r="U52" s="57" t="s">
        <v>1531</v>
      </c>
      <c r="V52" s="57" t="s">
        <v>808</v>
      </c>
      <c r="W52" s="57">
        <v>0</v>
      </c>
      <c r="X52" s="57">
        <v>0</v>
      </c>
      <c r="Y52" s="57" t="s">
        <v>826</v>
      </c>
      <c r="Z52" s="57" t="s">
        <v>359</v>
      </c>
      <c r="AA52" s="57" t="s">
        <v>94</v>
      </c>
    </row>
    <row r="53" spans="1:27" x14ac:dyDescent="0.2"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</row>
  </sheetData>
  <sheetProtection sheet="1" autoFilter="0"/>
  <autoFilter ref="A1:AA53" xr:uid="{9849CBCA-E7CE-4658-901D-6E8FBBACF674}"/>
  <sortState xmlns:xlrd2="http://schemas.microsoft.com/office/spreadsheetml/2017/richdata2" ref="A2:K42">
    <sortCondition ref="C2:C42"/>
    <sortCondition ref="D2:D42"/>
  </sortState>
  <hyperlinks>
    <hyperlink ref="G40" r:id="rId1" display="tel:+1-720-220-4975" xr:uid="{C38C242D-58FA-4763-85FF-F39263996F85}"/>
  </hyperlinks>
  <pageMargins left="0.7" right="0.7" top="0.75" bottom="0.75" header="0.3" footer="0.3"/>
  <pageSetup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9195-B91D-4376-9B84-70A5C34F2F9E}">
  <sheetPr>
    <tabColor theme="7"/>
  </sheetPr>
  <dimension ref="A1:V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" sqref="A9:XFD9"/>
    </sheetView>
  </sheetViews>
  <sheetFormatPr baseColWidth="10" defaultColWidth="8.83203125" defaultRowHeight="16" x14ac:dyDescent="0.2"/>
  <cols>
    <col min="1" max="1" width="6" style="1" bestFit="1" customWidth="1"/>
    <col min="2" max="2" width="16" customWidth="1"/>
    <col min="4" max="4" width="2.83203125" hidden="1" customWidth="1"/>
    <col min="5" max="5" width="2.6640625" hidden="1" customWidth="1"/>
    <col min="6" max="6" width="3" hidden="1" customWidth="1"/>
    <col min="7" max="7" width="13" customWidth="1"/>
    <col min="8" max="8" width="39" bestFit="1" customWidth="1"/>
    <col min="9" max="9" width="8.1640625" bestFit="1" customWidth="1"/>
    <col min="10" max="10" width="23.33203125" bestFit="1" customWidth="1"/>
    <col min="11" max="11" width="12.6640625" customWidth="1"/>
    <col min="12" max="12" width="15.33203125" bestFit="1" customWidth="1"/>
    <col min="13" max="13" width="10.6640625" customWidth="1"/>
    <col min="14" max="14" width="14.5" bestFit="1" customWidth="1"/>
    <col min="15" max="17" width="10.6640625" customWidth="1"/>
    <col min="18" max="18" width="18.5" bestFit="1" customWidth="1"/>
    <col min="19" max="19" width="12.5" bestFit="1" customWidth="1"/>
    <col min="20" max="20" width="15.33203125" bestFit="1" customWidth="1"/>
    <col min="21" max="21" width="15.6640625" bestFit="1" customWidth="1"/>
  </cols>
  <sheetData>
    <row r="1" spans="1:21" x14ac:dyDescent="0.2">
      <c r="A1" s="136" t="s">
        <v>157</v>
      </c>
      <c r="B1" s="66" t="s">
        <v>413</v>
      </c>
      <c r="C1" s="67" t="s">
        <v>414</v>
      </c>
      <c r="D1" s="76" t="s">
        <v>415</v>
      </c>
      <c r="E1" s="67" t="s">
        <v>155</v>
      </c>
      <c r="F1" s="76" t="s">
        <v>156</v>
      </c>
      <c r="G1" s="67" t="s">
        <v>416</v>
      </c>
      <c r="H1" s="67" t="s">
        <v>1</v>
      </c>
      <c r="I1" s="67" t="s">
        <v>417</v>
      </c>
      <c r="J1" s="67" t="s">
        <v>1426</v>
      </c>
      <c r="K1" s="67" t="s">
        <v>1427</v>
      </c>
      <c r="L1" s="67" t="s">
        <v>1799</v>
      </c>
      <c r="M1" s="67" t="s">
        <v>1800</v>
      </c>
      <c r="N1" s="67" t="s">
        <v>1801</v>
      </c>
      <c r="O1" s="67" t="s">
        <v>1802</v>
      </c>
      <c r="P1" s="67" t="s">
        <v>1803</v>
      </c>
      <c r="Q1" s="67" t="s">
        <v>1804</v>
      </c>
      <c r="R1" s="78" t="s">
        <v>418</v>
      </c>
      <c r="S1" s="78" t="s">
        <v>419</v>
      </c>
      <c r="T1" s="78" t="s">
        <v>420</v>
      </c>
      <c r="U1" s="79" t="s">
        <v>421</v>
      </c>
    </row>
    <row r="2" spans="1:21" x14ac:dyDescent="0.2">
      <c r="A2" s="137">
        <v>1</v>
      </c>
      <c r="B2" s="71">
        <v>2181007810</v>
      </c>
      <c r="C2" s="71">
        <v>810</v>
      </c>
      <c r="D2" s="71">
        <v>2</v>
      </c>
      <c r="E2" s="71">
        <v>18</v>
      </c>
      <c r="F2" s="71">
        <v>10</v>
      </c>
      <c r="G2" s="71" t="s">
        <v>8</v>
      </c>
      <c r="H2" s="71" t="s">
        <v>1559</v>
      </c>
      <c r="I2" s="71">
        <v>5</v>
      </c>
      <c r="J2" s="71" t="s">
        <v>90</v>
      </c>
      <c r="K2" s="71" t="s">
        <v>1491</v>
      </c>
      <c r="L2" s="154" t="s">
        <v>900</v>
      </c>
      <c r="M2" s="71" t="s">
        <v>1464</v>
      </c>
      <c r="N2" s="71" t="s">
        <v>1509</v>
      </c>
      <c r="O2" s="71" t="s">
        <v>1508</v>
      </c>
      <c r="P2" s="71"/>
      <c r="Q2" s="71"/>
      <c r="R2" s="71" t="s">
        <v>1560</v>
      </c>
      <c r="S2" s="71" t="s">
        <v>1560</v>
      </c>
      <c r="T2" s="71" t="s">
        <v>1561</v>
      </c>
      <c r="U2" s="71" t="s">
        <v>1562</v>
      </c>
    </row>
    <row r="3" spans="1:21" x14ac:dyDescent="0.2">
      <c r="A3" s="137">
        <v>2</v>
      </c>
      <c r="B3" s="71">
        <v>2181007817</v>
      </c>
      <c r="C3" s="71">
        <v>817</v>
      </c>
      <c r="D3" s="71">
        <v>2</v>
      </c>
      <c r="E3" s="71">
        <v>18</v>
      </c>
      <c r="F3" s="71">
        <v>10</v>
      </c>
      <c r="G3" s="71" t="s">
        <v>8</v>
      </c>
      <c r="H3" s="71" t="s">
        <v>1559</v>
      </c>
      <c r="I3" s="71">
        <v>4</v>
      </c>
      <c r="J3" s="71" t="s">
        <v>90</v>
      </c>
      <c r="K3" s="71" t="s">
        <v>1491</v>
      </c>
      <c r="L3" s="71" t="s">
        <v>900</v>
      </c>
      <c r="M3" s="71" t="s">
        <v>1464</v>
      </c>
      <c r="N3" s="71" t="s">
        <v>1509</v>
      </c>
      <c r="O3" s="71" t="s">
        <v>1508</v>
      </c>
      <c r="P3" s="71"/>
      <c r="Q3" s="71"/>
      <c r="R3" s="71"/>
      <c r="S3" s="71"/>
      <c r="T3" s="71"/>
      <c r="U3" s="71"/>
    </row>
    <row r="4" spans="1:21" x14ac:dyDescent="0.2">
      <c r="A4" s="137">
        <v>3</v>
      </c>
      <c r="B4" s="71">
        <v>2181007818</v>
      </c>
      <c r="C4" s="71">
        <v>818</v>
      </c>
      <c r="D4" s="71">
        <v>2</v>
      </c>
      <c r="E4" s="71">
        <v>18</v>
      </c>
      <c r="F4" s="71">
        <v>10</v>
      </c>
      <c r="G4" s="71" t="s">
        <v>8</v>
      </c>
      <c r="H4" s="71" t="s">
        <v>1559</v>
      </c>
      <c r="I4" s="71">
        <v>3</v>
      </c>
      <c r="J4" s="71" t="s">
        <v>90</v>
      </c>
      <c r="K4" s="71" t="s">
        <v>1491</v>
      </c>
      <c r="L4" s="71" t="s">
        <v>900</v>
      </c>
      <c r="M4" s="71" t="s">
        <v>1464</v>
      </c>
      <c r="N4" s="71" t="s">
        <v>1509</v>
      </c>
      <c r="O4" s="71" t="s">
        <v>1508</v>
      </c>
      <c r="P4" s="71"/>
      <c r="Q4" s="71"/>
      <c r="R4" s="71"/>
      <c r="S4" s="71"/>
      <c r="T4" s="71"/>
      <c r="U4" s="71"/>
    </row>
    <row r="5" spans="1:21" x14ac:dyDescent="0.2">
      <c r="A5" s="137">
        <v>4</v>
      </c>
      <c r="B5" s="71">
        <v>2181007820</v>
      </c>
      <c r="C5" s="71">
        <v>820</v>
      </c>
      <c r="D5" s="71">
        <v>2</v>
      </c>
      <c r="E5" s="71">
        <v>18</v>
      </c>
      <c r="F5" s="71">
        <v>10</v>
      </c>
      <c r="G5" s="71" t="s">
        <v>8</v>
      </c>
      <c r="H5" s="71" t="s">
        <v>1559</v>
      </c>
      <c r="I5" s="71">
        <v>3</v>
      </c>
      <c r="J5" s="71" t="s">
        <v>90</v>
      </c>
      <c r="K5" s="71" t="s">
        <v>1491</v>
      </c>
      <c r="L5" s="71" t="s">
        <v>900</v>
      </c>
      <c r="M5" s="71" t="s">
        <v>1464</v>
      </c>
      <c r="N5" s="71" t="s">
        <v>1509</v>
      </c>
      <c r="O5" s="71" t="s">
        <v>1508</v>
      </c>
      <c r="P5" s="71"/>
      <c r="Q5" s="71"/>
      <c r="R5" s="71"/>
      <c r="S5" s="71"/>
      <c r="T5" s="71"/>
      <c r="U5" s="71"/>
    </row>
    <row r="6" spans="1:21" x14ac:dyDescent="0.2">
      <c r="A6" s="137">
        <v>5</v>
      </c>
      <c r="B6" s="71">
        <v>2181007821</v>
      </c>
      <c r="C6" s="71">
        <v>821</v>
      </c>
      <c r="D6" s="71">
        <v>2</v>
      </c>
      <c r="E6" s="71">
        <v>18</v>
      </c>
      <c r="F6" s="71">
        <v>10</v>
      </c>
      <c r="G6" s="71" t="s">
        <v>8</v>
      </c>
      <c r="H6" s="71" t="s">
        <v>1559</v>
      </c>
      <c r="I6" s="71">
        <v>3</v>
      </c>
      <c r="J6" s="71" t="s">
        <v>90</v>
      </c>
      <c r="K6" s="71" t="s">
        <v>1491</v>
      </c>
      <c r="L6" s="71" t="s">
        <v>900</v>
      </c>
      <c r="M6" s="71" t="s">
        <v>1464</v>
      </c>
      <c r="N6" s="71" t="s">
        <v>1509</v>
      </c>
      <c r="O6" s="71" t="s">
        <v>1508</v>
      </c>
      <c r="P6" s="71"/>
      <c r="Q6" s="71"/>
      <c r="R6" s="71"/>
      <c r="S6" s="71"/>
      <c r="T6" s="71"/>
      <c r="U6" s="71"/>
    </row>
    <row r="7" spans="1:21" x14ac:dyDescent="0.2">
      <c r="A7" s="137">
        <v>6</v>
      </c>
      <c r="B7" s="71">
        <v>2181007822</v>
      </c>
      <c r="C7" s="71">
        <v>822</v>
      </c>
      <c r="D7" s="71">
        <v>2</v>
      </c>
      <c r="E7" s="71">
        <v>18</v>
      </c>
      <c r="F7" s="71">
        <v>10</v>
      </c>
      <c r="G7" s="71" t="s">
        <v>8</v>
      </c>
      <c r="H7" s="71" t="s">
        <v>1559</v>
      </c>
      <c r="I7" s="71">
        <v>2</v>
      </c>
      <c r="J7" s="71" t="s">
        <v>90</v>
      </c>
      <c r="K7" s="71" t="s">
        <v>1491</v>
      </c>
      <c r="L7" s="71" t="s">
        <v>900</v>
      </c>
      <c r="M7" s="71" t="s">
        <v>1464</v>
      </c>
      <c r="N7" s="71" t="s">
        <v>1509</v>
      </c>
      <c r="O7" s="71" t="s">
        <v>1508</v>
      </c>
      <c r="P7" s="71"/>
      <c r="Q7" s="71"/>
      <c r="R7" s="71" t="s">
        <v>1560</v>
      </c>
      <c r="S7" s="71" t="s">
        <v>1560</v>
      </c>
      <c r="T7" s="71" t="s">
        <v>1563</v>
      </c>
      <c r="U7" s="71" t="s">
        <v>1564</v>
      </c>
    </row>
    <row r="8" spans="1:21" x14ac:dyDescent="0.2">
      <c r="A8" s="137">
        <v>7</v>
      </c>
      <c r="B8" s="71">
        <v>2181007823</v>
      </c>
      <c r="C8" s="71">
        <v>823</v>
      </c>
      <c r="D8" s="71">
        <v>2</v>
      </c>
      <c r="E8" s="71">
        <v>18</v>
      </c>
      <c r="F8" s="71">
        <v>10</v>
      </c>
      <c r="G8" s="71" t="s">
        <v>8</v>
      </c>
      <c r="H8" s="71" t="s">
        <v>1559</v>
      </c>
      <c r="I8" s="71">
        <v>2</v>
      </c>
      <c r="J8" s="71" t="s">
        <v>90</v>
      </c>
      <c r="K8" s="71" t="s">
        <v>1491</v>
      </c>
      <c r="L8" s="71" t="s">
        <v>900</v>
      </c>
      <c r="M8" s="71" t="s">
        <v>1464</v>
      </c>
      <c r="N8" s="71" t="s">
        <v>1509</v>
      </c>
      <c r="O8" s="71" t="s">
        <v>1508</v>
      </c>
      <c r="P8" s="71"/>
      <c r="Q8" s="71"/>
      <c r="R8" s="71" t="s">
        <v>1560</v>
      </c>
      <c r="S8" s="71" t="s">
        <v>1560</v>
      </c>
      <c r="T8" s="71" t="s">
        <v>1565</v>
      </c>
      <c r="U8" s="71" t="s">
        <v>1566</v>
      </c>
    </row>
    <row r="9" spans="1:21" x14ac:dyDescent="0.2">
      <c r="A9" s="137">
        <v>8</v>
      </c>
      <c r="B9" s="71">
        <v>2181007824</v>
      </c>
      <c r="C9" s="71">
        <v>824</v>
      </c>
      <c r="D9" s="71">
        <v>2</v>
      </c>
      <c r="E9" s="71">
        <v>18</v>
      </c>
      <c r="F9" s="71">
        <v>10</v>
      </c>
      <c r="G9" s="71" t="s">
        <v>8</v>
      </c>
      <c r="H9" s="71" t="s">
        <v>1559</v>
      </c>
      <c r="I9" s="71">
        <v>5</v>
      </c>
      <c r="J9" s="71" t="s">
        <v>90</v>
      </c>
      <c r="K9" s="71" t="s">
        <v>1491</v>
      </c>
      <c r="L9" s="71" t="s">
        <v>900</v>
      </c>
      <c r="M9" s="71" t="s">
        <v>1464</v>
      </c>
      <c r="N9" s="71" t="s">
        <v>1509</v>
      </c>
      <c r="O9" s="71" t="s">
        <v>1508</v>
      </c>
      <c r="P9" s="71"/>
      <c r="Q9" s="71"/>
      <c r="R9" s="71" t="s">
        <v>1560</v>
      </c>
      <c r="S9" s="71" t="s">
        <v>1560</v>
      </c>
      <c r="T9" s="71" t="s">
        <v>1567</v>
      </c>
      <c r="U9" s="71" t="s">
        <v>1568</v>
      </c>
    </row>
    <row r="10" spans="1:21" x14ac:dyDescent="0.2">
      <c r="A10" s="137">
        <v>9</v>
      </c>
      <c r="B10" s="71">
        <v>2181007825</v>
      </c>
      <c r="C10" s="71">
        <v>825</v>
      </c>
      <c r="D10" s="71">
        <v>2</v>
      </c>
      <c r="E10" s="71">
        <v>18</v>
      </c>
      <c r="F10" s="71">
        <v>10</v>
      </c>
      <c r="G10" s="71" t="s">
        <v>8</v>
      </c>
      <c r="H10" s="71" t="s">
        <v>1559</v>
      </c>
      <c r="I10" s="71">
        <v>2</v>
      </c>
      <c r="J10" s="71" t="s">
        <v>90</v>
      </c>
      <c r="K10" s="71" t="s">
        <v>1491</v>
      </c>
      <c r="L10" s="71" t="s">
        <v>900</v>
      </c>
      <c r="M10" s="71" t="s">
        <v>1464</v>
      </c>
      <c r="N10" s="71" t="s">
        <v>1509</v>
      </c>
      <c r="O10" s="71" t="s">
        <v>1508</v>
      </c>
      <c r="P10" s="71"/>
      <c r="Q10" s="71"/>
      <c r="R10" s="71" t="s">
        <v>90</v>
      </c>
      <c r="S10" s="71" t="s">
        <v>1491</v>
      </c>
      <c r="T10" s="71" t="s">
        <v>90</v>
      </c>
      <c r="U10" s="71" t="s">
        <v>1491</v>
      </c>
    </row>
    <row r="11" spans="1:21" x14ac:dyDescent="0.2">
      <c r="A11" s="137">
        <v>10</v>
      </c>
      <c r="B11" s="71">
        <v>2181007826</v>
      </c>
      <c r="C11" s="71">
        <v>826</v>
      </c>
      <c r="D11" s="71">
        <v>2</v>
      </c>
      <c r="E11" s="71">
        <v>18</v>
      </c>
      <c r="F11" s="71">
        <v>10</v>
      </c>
      <c r="G11" s="71" t="s">
        <v>8</v>
      </c>
      <c r="H11" s="71" t="s">
        <v>1559</v>
      </c>
      <c r="I11" s="71">
        <v>4</v>
      </c>
      <c r="J11" s="71" t="s">
        <v>90</v>
      </c>
      <c r="K11" s="71" t="s">
        <v>1491</v>
      </c>
      <c r="L11" s="71" t="s">
        <v>900</v>
      </c>
      <c r="M11" s="71" t="s">
        <v>1464</v>
      </c>
      <c r="N11" s="71" t="s">
        <v>1509</v>
      </c>
      <c r="O11" s="71" t="s">
        <v>1508</v>
      </c>
      <c r="P11" s="71"/>
      <c r="Q11" s="71"/>
      <c r="R11" s="71"/>
      <c r="S11" s="71"/>
      <c r="T11" s="71"/>
      <c r="U11" s="71"/>
    </row>
    <row r="12" spans="1:21" x14ac:dyDescent="0.2">
      <c r="A12" s="137">
        <v>11</v>
      </c>
      <c r="B12" s="71">
        <v>2184907827</v>
      </c>
      <c r="C12" s="71">
        <v>827</v>
      </c>
      <c r="D12" s="71">
        <v>2</v>
      </c>
      <c r="E12" s="71">
        <v>18</v>
      </c>
      <c r="F12" s="71">
        <v>49</v>
      </c>
      <c r="G12" s="71" t="s">
        <v>8</v>
      </c>
      <c r="H12" s="71" t="s">
        <v>1559</v>
      </c>
      <c r="I12" s="71">
        <v>2</v>
      </c>
      <c r="J12" s="71" t="s">
        <v>90</v>
      </c>
      <c r="K12" s="71" t="s">
        <v>1491</v>
      </c>
      <c r="L12" s="71" t="s">
        <v>900</v>
      </c>
      <c r="M12" s="71" t="s">
        <v>1464</v>
      </c>
      <c r="N12" s="71" t="s">
        <v>1509</v>
      </c>
      <c r="O12" s="71" t="s">
        <v>1508</v>
      </c>
      <c r="P12" s="71"/>
      <c r="Q12" s="71"/>
      <c r="R12" s="71" t="s">
        <v>1560</v>
      </c>
      <c r="S12" s="71" t="s">
        <v>1560</v>
      </c>
      <c r="T12" s="71" t="s">
        <v>1569</v>
      </c>
      <c r="U12" s="71" t="s">
        <v>1570</v>
      </c>
    </row>
    <row r="13" spans="1:21" x14ac:dyDescent="0.2">
      <c r="A13" s="137">
        <v>12</v>
      </c>
      <c r="B13" s="71">
        <v>2154907910</v>
      </c>
      <c r="C13" s="71">
        <v>910</v>
      </c>
      <c r="D13" s="71">
        <v>2</v>
      </c>
      <c r="E13" s="71">
        <v>15</v>
      </c>
      <c r="F13" s="71">
        <v>49</v>
      </c>
      <c r="G13" s="71" t="s">
        <v>8</v>
      </c>
      <c r="H13" s="71" t="s">
        <v>1559</v>
      </c>
      <c r="I13" s="71">
        <v>2</v>
      </c>
      <c r="J13" s="71" t="s">
        <v>90</v>
      </c>
      <c r="K13" s="71" t="s">
        <v>1491</v>
      </c>
      <c r="L13" s="71" t="s">
        <v>900</v>
      </c>
      <c r="M13" s="71" t="s">
        <v>1464</v>
      </c>
      <c r="N13" s="71" t="s">
        <v>1509</v>
      </c>
      <c r="O13" s="71" t="s">
        <v>1508</v>
      </c>
      <c r="P13" s="71"/>
      <c r="Q13" s="71"/>
      <c r="R13" s="71"/>
      <c r="S13" s="71"/>
      <c r="T13" s="71"/>
      <c r="U13" s="71"/>
    </row>
    <row r="14" spans="1:21" x14ac:dyDescent="0.2">
      <c r="A14" s="137">
        <v>13</v>
      </c>
      <c r="B14" s="71">
        <v>2181007803</v>
      </c>
      <c r="C14" s="71">
        <v>803</v>
      </c>
      <c r="D14" s="71">
        <v>2</v>
      </c>
      <c r="E14" s="71">
        <v>18</v>
      </c>
      <c r="F14" s="71">
        <v>10</v>
      </c>
      <c r="G14" s="71" t="s">
        <v>132</v>
      </c>
      <c r="H14" s="71" t="s">
        <v>1571</v>
      </c>
      <c r="I14" s="71">
        <v>4</v>
      </c>
      <c r="J14" s="71" t="s">
        <v>270</v>
      </c>
      <c r="K14" s="71" t="s">
        <v>1514</v>
      </c>
      <c r="L14" s="71" t="s">
        <v>1486</v>
      </c>
      <c r="M14" s="71" t="s">
        <v>1485</v>
      </c>
      <c r="N14" s="71" t="s">
        <v>1476</v>
      </c>
      <c r="O14" s="71" t="s">
        <v>1475</v>
      </c>
      <c r="P14" s="71"/>
      <c r="Q14" s="71"/>
      <c r="R14" s="71" t="s">
        <v>1572</v>
      </c>
      <c r="S14" s="71" t="s">
        <v>1573</v>
      </c>
      <c r="T14" s="71" t="s">
        <v>1572</v>
      </c>
      <c r="U14" s="71" t="s">
        <v>1573</v>
      </c>
    </row>
    <row r="15" spans="1:21" x14ac:dyDescent="0.2">
      <c r="A15" s="137">
        <v>14</v>
      </c>
      <c r="B15" s="71">
        <v>2184907804</v>
      </c>
      <c r="C15" s="71">
        <v>804</v>
      </c>
      <c r="D15" s="71">
        <v>2</v>
      </c>
      <c r="E15" s="71">
        <v>18</v>
      </c>
      <c r="F15" s="71">
        <v>49</v>
      </c>
      <c r="G15" s="71" t="s">
        <v>132</v>
      </c>
      <c r="H15" s="71" t="s">
        <v>1571</v>
      </c>
      <c r="I15" s="71">
        <v>4</v>
      </c>
      <c r="J15" s="71" t="s">
        <v>270</v>
      </c>
      <c r="K15" s="71" t="s">
        <v>1514</v>
      </c>
      <c r="L15" s="71" t="s">
        <v>1486</v>
      </c>
      <c r="M15" s="71" t="s">
        <v>1485</v>
      </c>
      <c r="N15" s="71" t="s">
        <v>1476</v>
      </c>
      <c r="O15" s="71" t="s">
        <v>1475</v>
      </c>
      <c r="P15" s="71"/>
      <c r="Q15" s="71"/>
      <c r="R15" s="71" t="s">
        <v>1574</v>
      </c>
      <c r="S15" s="71" t="s">
        <v>1575</v>
      </c>
      <c r="T15" s="71" t="s">
        <v>1560</v>
      </c>
      <c r="U15" s="71" t="s">
        <v>1560</v>
      </c>
    </row>
    <row r="16" spans="1:21" x14ac:dyDescent="0.2">
      <c r="A16" s="137">
        <v>15</v>
      </c>
      <c r="B16" s="71">
        <v>2184907805</v>
      </c>
      <c r="C16" s="71">
        <v>805</v>
      </c>
      <c r="D16" s="71">
        <v>2</v>
      </c>
      <c r="E16" s="71">
        <v>18</v>
      </c>
      <c r="F16" s="71">
        <v>49</v>
      </c>
      <c r="G16" s="71" t="s">
        <v>132</v>
      </c>
      <c r="H16" s="71" t="s">
        <v>1571</v>
      </c>
      <c r="I16" s="71">
        <v>2</v>
      </c>
      <c r="J16" s="71" t="s">
        <v>270</v>
      </c>
      <c r="K16" s="71" t="s">
        <v>1514</v>
      </c>
      <c r="L16" s="71" t="s">
        <v>1486</v>
      </c>
      <c r="M16" s="71" t="s">
        <v>1485</v>
      </c>
      <c r="N16" s="71" t="s">
        <v>1476</v>
      </c>
      <c r="O16" s="71" t="s">
        <v>1475</v>
      </c>
      <c r="P16" s="71"/>
      <c r="Q16" s="71"/>
      <c r="R16" s="71" t="s">
        <v>1576</v>
      </c>
      <c r="S16" s="71" t="s">
        <v>1577</v>
      </c>
      <c r="T16" s="71" t="s">
        <v>1560</v>
      </c>
      <c r="U16" s="71" t="s">
        <v>1560</v>
      </c>
    </row>
    <row r="17" spans="1:21" x14ac:dyDescent="0.2">
      <c r="A17" s="137">
        <v>16</v>
      </c>
      <c r="B17" s="71">
        <v>2181007806</v>
      </c>
      <c r="C17" s="71">
        <v>806</v>
      </c>
      <c r="D17" s="71">
        <v>2</v>
      </c>
      <c r="E17" s="71">
        <v>18</v>
      </c>
      <c r="F17" s="71">
        <v>10</v>
      </c>
      <c r="G17" s="71" t="s">
        <v>132</v>
      </c>
      <c r="H17" s="71" t="s">
        <v>1571</v>
      </c>
      <c r="I17" s="71">
        <v>3</v>
      </c>
      <c r="J17" s="71" t="s">
        <v>270</v>
      </c>
      <c r="K17" s="71" t="s">
        <v>1514</v>
      </c>
      <c r="L17" s="71" t="s">
        <v>1486</v>
      </c>
      <c r="M17" s="71" t="s">
        <v>1485</v>
      </c>
      <c r="N17" s="71" t="s">
        <v>1476</v>
      </c>
      <c r="O17" s="71" t="s">
        <v>1475</v>
      </c>
      <c r="P17" s="71"/>
      <c r="Q17" s="71"/>
      <c r="R17" s="71" t="s">
        <v>1578</v>
      </c>
      <c r="S17" s="71" t="s">
        <v>1579</v>
      </c>
      <c r="T17" s="71" t="s">
        <v>1560</v>
      </c>
      <c r="U17" s="71" t="s">
        <v>1560</v>
      </c>
    </row>
    <row r="18" spans="1:21" x14ac:dyDescent="0.2">
      <c r="A18" s="137">
        <v>17</v>
      </c>
      <c r="B18" s="71">
        <v>2181007807</v>
      </c>
      <c r="C18" s="71">
        <v>807</v>
      </c>
      <c r="D18" s="71">
        <v>2</v>
      </c>
      <c r="E18" s="71">
        <v>18</v>
      </c>
      <c r="F18" s="71">
        <v>10</v>
      </c>
      <c r="G18" s="71" t="s">
        <v>132</v>
      </c>
      <c r="H18" s="71" t="s">
        <v>1571</v>
      </c>
      <c r="I18" s="71">
        <v>2</v>
      </c>
      <c r="J18" s="71" t="s">
        <v>270</v>
      </c>
      <c r="K18" s="71" t="s">
        <v>1514</v>
      </c>
      <c r="L18" s="71" t="s">
        <v>1486</v>
      </c>
      <c r="M18" s="71" t="s">
        <v>1485</v>
      </c>
      <c r="N18" s="71" t="s">
        <v>1476</v>
      </c>
      <c r="O18" s="71" t="s">
        <v>1475</v>
      </c>
      <c r="P18" s="71"/>
      <c r="Q18" s="71"/>
      <c r="R18" s="71" t="s">
        <v>1580</v>
      </c>
      <c r="S18" s="71" t="s">
        <v>1581</v>
      </c>
      <c r="T18" s="71" t="s">
        <v>1580</v>
      </c>
      <c r="U18" s="71" t="s">
        <v>1581</v>
      </c>
    </row>
    <row r="19" spans="1:21" x14ac:dyDescent="0.2">
      <c r="A19" s="137">
        <v>18</v>
      </c>
      <c r="B19" s="71">
        <v>2181007811</v>
      </c>
      <c r="C19" s="71">
        <v>811</v>
      </c>
      <c r="D19" s="71">
        <v>2</v>
      </c>
      <c r="E19" s="71">
        <v>18</v>
      </c>
      <c r="F19" s="71">
        <v>10</v>
      </c>
      <c r="G19" s="71" t="s">
        <v>132</v>
      </c>
      <c r="H19" s="71" t="s">
        <v>1571</v>
      </c>
      <c r="I19" s="71">
        <v>2</v>
      </c>
      <c r="J19" s="71" t="s">
        <v>270</v>
      </c>
      <c r="K19" s="71" t="s">
        <v>1514</v>
      </c>
      <c r="L19" s="71" t="s">
        <v>1486</v>
      </c>
      <c r="M19" s="71" t="s">
        <v>1485</v>
      </c>
      <c r="N19" s="71" t="s">
        <v>1476</v>
      </c>
      <c r="O19" s="71" t="s">
        <v>1475</v>
      </c>
      <c r="P19" s="71"/>
      <c r="Q19" s="71"/>
      <c r="R19" s="71" t="s">
        <v>1582</v>
      </c>
      <c r="S19" s="71" t="s">
        <v>1583</v>
      </c>
      <c r="T19" s="71" t="s">
        <v>1560</v>
      </c>
      <c r="U19" s="71" t="s">
        <v>1560</v>
      </c>
    </row>
    <row r="20" spans="1:21" x14ac:dyDescent="0.2">
      <c r="A20" s="137">
        <v>19</v>
      </c>
      <c r="B20" s="71">
        <v>2181007812</v>
      </c>
      <c r="C20" s="71">
        <v>812</v>
      </c>
      <c r="D20" s="71">
        <v>2</v>
      </c>
      <c r="E20" s="71">
        <v>18</v>
      </c>
      <c r="F20" s="71">
        <v>10</v>
      </c>
      <c r="G20" s="71" t="s">
        <v>132</v>
      </c>
      <c r="H20" s="71" t="s">
        <v>1571</v>
      </c>
      <c r="I20" s="71">
        <v>3</v>
      </c>
      <c r="J20" s="71" t="s">
        <v>270</v>
      </c>
      <c r="K20" s="71" t="s">
        <v>1514</v>
      </c>
      <c r="L20" s="71" t="s">
        <v>1486</v>
      </c>
      <c r="M20" s="71" t="s">
        <v>1485</v>
      </c>
      <c r="N20" s="71" t="s">
        <v>1476</v>
      </c>
      <c r="O20" s="71" t="s">
        <v>1475</v>
      </c>
      <c r="P20" s="71"/>
      <c r="Q20" s="71"/>
      <c r="R20" s="71" t="s">
        <v>1486</v>
      </c>
      <c r="S20" s="71" t="s">
        <v>1485</v>
      </c>
      <c r="T20" s="71" t="s">
        <v>1560</v>
      </c>
      <c r="U20" s="71" t="s">
        <v>1560</v>
      </c>
    </row>
    <row r="21" spans="1:21" x14ac:dyDescent="0.2">
      <c r="A21" s="137">
        <v>20</v>
      </c>
      <c r="B21" s="71">
        <v>2181007813</v>
      </c>
      <c r="C21" s="71">
        <v>813</v>
      </c>
      <c r="D21" s="71">
        <v>2</v>
      </c>
      <c r="E21" s="71">
        <v>18</v>
      </c>
      <c r="F21" s="71">
        <v>10</v>
      </c>
      <c r="G21" s="71" t="s">
        <v>132</v>
      </c>
      <c r="H21" s="71" t="s">
        <v>1571</v>
      </c>
      <c r="I21" s="71">
        <v>4</v>
      </c>
      <c r="J21" s="71" t="s">
        <v>270</v>
      </c>
      <c r="K21" s="71" t="s">
        <v>1514</v>
      </c>
      <c r="L21" s="71" t="s">
        <v>1486</v>
      </c>
      <c r="M21" s="71" t="s">
        <v>1485</v>
      </c>
      <c r="N21" s="71" t="s">
        <v>1476</v>
      </c>
      <c r="O21" s="71" t="s">
        <v>1475</v>
      </c>
      <c r="P21" s="71"/>
      <c r="Q21" s="71"/>
      <c r="R21" s="71"/>
      <c r="S21" s="71"/>
      <c r="T21" s="71"/>
      <c r="U21" s="71"/>
    </row>
    <row r="22" spans="1:21" x14ac:dyDescent="0.2">
      <c r="A22" s="137">
        <v>21</v>
      </c>
      <c r="B22" s="71">
        <v>2184907814</v>
      </c>
      <c r="C22" s="71">
        <v>814</v>
      </c>
      <c r="D22" s="71">
        <v>2</v>
      </c>
      <c r="E22" s="71">
        <v>18</v>
      </c>
      <c r="F22" s="71">
        <v>49</v>
      </c>
      <c r="G22" s="71" t="s">
        <v>132</v>
      </c>
      <c r="H22" s="71" t="s">
        <v>1571</v>
      </c>
      <c r="I22" s="71">
        <v>5</v>
      </c>
      <c r="J22" s="71" t="s">
        <v>270</v>
      </c>
      <c r="K22" s="71" t="s">
        <v>1514</v>
      </c>
      <c r="L22" s="71" t="s">
        <v>1486</v>
      </c>
      <c r="M22" s="71" t="s">
        <v>1485</v>
      </c>
      <c r="N22" s="71" t="s">
        <v>1476</v>
      </c>
      <c r="O22" s="71" t="s">
        <v>1475</v>
      </c>
      <c r="P22" s="71"/>
      <c r="Q22" s="71"/>
      <c r="R22" s="71" t="s">
        <v>1560</v>
      </c>
      <c r="S22" s="71" t="s">
        <v>1560</v>
      </c>
      <c r="T22" s="71" t="s">
        <v>1584</v>
      </c>
      <c r="U22" s="71" t="s">
        <v>1585</v>
      </c>
    </row>
    <row r="23" spans="1:21" x14ac:dyDescent="0.2">
      <c r="A23" s="137">
        <v>22</v>
      </c>
      <c r="B23" s="71">
        <v>2184907815</v>
      </c>
      <c r="C23" s="71">
        <v>815</v>
      </c>
      <c r="D23" s="71">
        <v>2</v>
      </c>
      <c r="E23" s="71">
        <v>18</v>
      </c>
      <c r="F23" s="71">
        <v>49</v>
      </c>
      <c r="G23" s="71" t="s">
        <v>132</v>
      </c>
      <c r="H23" s="71" t="s">
        <v>1571</v>
      </c>
      <c r="I23" s="71">
        <v>2</v>
      </c>
      <c r="J23" s="71" t="s">
        <v>270</v>
      </c>
      <c r="K23" s="71" t="s">
        <v>1514</v>
      </c>
      <c r="L23" s="71" t="s">
        <v>1486</v>
      </c>
      <c r="M23" s="71" t="s">
        <v>1485</v>
      </c>
      <c r="N23" s="71" t="s">
        <v>1476</v>
      </c>
      <c r="O23" s="71" t="s">
        <v>1475</v>
      </c>
      <c r="P23" s="71"/>
      <c r="Q23" s="71"/>
      <c r="R23" s="71" t="s">
        <v>1586</v>
      </c>
      <c r="S23" s="71" t="s">
        <v>1587</v>
      </c>
      <c r="T23" s="71" t="s">
        <v>1560</v>
      </c>
      <c r="U23" s="71" t="s">
        <v>1560</v>
      </c>
    </row>
    <row r="24" spans="1:21" x14ac:dyDescent="0.2">
      <c r="A24" s="137">
        <v>23</v>
      </c>
      <c r="B24" s="71">
        <v>2181007816</v>
      </c>
      <c r="C24" s="71">
        <v>816</v>
      </c>
      <c r="D24" s="71">
        <v>2</v>
      </c>
      <c r="E24" s="71">
        <v>18</v>
      </c>
      <c r="F24" s="71">
        <v>10</v>
      </c>
      <c r="G24" s="71" t="s">
        <v>132</v>
      </c>
      <c r="H24" s="71" t="s">
        <v>1571</v>
      </c>
      <c r="I24" s="71">
        <v>3</v>
      </c>
      <c r="J24" s="71" t="s">
        <v>270</v>
      </c>
      <c r="K24" s="71" t="s">
        <v>1514</v>
      </c>
      <c r="L24" s="71" t="s">
        <v>1486</v>
      </c>
      <c r="M24" s="71" t="s">
        <v>1485</v>
      </c>
      <c r="N24" s="71" t="s">
        <v>1476</v>
      </c>
      <c r="O24" s="71" t="s">
        <v>1475</v>
      </c>
      <c r="P24" s="71"/>
      <c r="Q24" s="71"/>
      <c r="R24" s="71" t="s">
        <v>1588</v>
      </c>
      <c r="S24" s="71" t="s">
        <v>1589</v>
      </c>
      <c r="T24" s="71" t="s">
        <v>1588</v>
      </c>
      <c r="U24" s="71" t="s">
        <v>1589</v>
      </c>
    </row>
    <row r="25" spans="1:21" x14ac:dyDescent="0.2">
      <c r="A25" s="137">
        <v>24</v>
      </c>
      <c r="B25" s="71">
        <v>2154907911</v>
      </c>
      <c r="C25" s="71">
        <v>911</v>
      </c>
      <c r="D25" s="71">
        <v>2</v>
      </c>
      <c r="E25" s="71">
        <v>15</v>
      </c>
      <c r="F25" s="71">
        <v>49</v>
      </c>
      <c r="G25" s="71" t="s">
        <v>132</v>
      </c>
      <c r="H25" s="71" t="s">
        <v>1571</v>
      </c>
      <c r="I25" s="71">
        <v>5</v>
      </c>
      <c r="J25" s="71" t="s">
        <v>270</v>
      </c>
      <c r="K25" s="71" t="s">
        <v>1514</v>
      </c>
      <c r="L25" s="71" t="s">
        <v>1486</v>
      </c>
      <c r="M25" s="71" t="s">
        <v>1485</v>
      </c>
      <c r="N25" s="71" t="s">
        <v>1476</v>
      </c>
      <c r="O25" s="71" t="s">
        <v>1475</v>
      </c>
      <c r="P25" s="71"/>
      <c r="Q25" s="71"/>
      <c r="R25" s="71" t="s">
        <v>1590</v>
      </c>
      <c r="S25" s="71" t="s">
        <v>1591</v>
      </c>
      <c r="T25" s="71" t="s">
        <v>1590</v>
      </c>
      <c r="U25" s="71" t="s">
        <v>1591</v>
      </c>
    </row>
    <row r="26" spans="1:21" x14ac:dyDescent="0.2">
      <c r="A26" s="137">
        <v>25</v>
      </c>
      <c r="B26" s="71">
        <v>2154907912</v>
      </c>
      <c r="C26" s="71">
        <v>912</v>
      </c>
      <c r="D26" s="71">
        <v>2</v>
      </c>
      <c r="E26" s="71">
        <v>15</v>
      </c>
      <c r="F26" s="71">
        <v>49</v>
      </c>
      <c r="G26" s="71" t="s">
        <v>132</v>
      </c>
      <c r="H26" s="71" t="s">
        <v>1571</v>
      </c>
      <c r="I26" s="71">
        <v>5</v>
      </c>
      <c r="J26" s="71" t="s">
        <v>270</v>
      </c>
      <c r="K26" s="71" t="s">
        <v>1514</v>
      </c>
      <c r="L26" s="71" t="s">
        <v>1486</v>
      </c>
      <c r="M26" s="71" t="s">
        <v>1485</v>
      </c>
      <c r="N26" s="71" t="s">
        <v>1476</v>
      </c>
      <c r="O26" s="71" t="s">
        <v>1475</v>
      </c>
      <c r="P26" s="71"/>
      <c r="Q26" s="71"/>
      <c r="R26" s="71"/>
      <c r="S26" s="71"/>
      <c r="T26" s="71"/>
      <c r="U26" s="71"/>
    </row>
    <row r="27" spans="1:21" x14ac:dyDescent="0.2">
      <c r="A27" s="137">
        <v>26</v>
      </c>
      <c r="B27" s="71">
        <v>2181007840</v>
      </c>
      <c r="C27" s="71">
        <v>840</v>
      </c>
      <c r="D27" s="71">
        <v>2</v>
      </c>
      <c r="E27" s="71">
        <v>18</v>
      </c>
      <c r="F27" s="71">
        <v>10</v>
      </c>
      <c r="G27" s="71" t="s">
        <v>164</v>
      </c>
      <c r="H27" s="71" t="s">
        <v>1597</v>
      </c>
      <c r="I27" s="71">
        <v>2</v>
      </c>
      <c r="J27" s="71" t="s">
        <v>1419</v>
      </c>
      <c r="K27" s="71" t="s">
        <v>1461</v>
      </c>
      <c r="L27" s="71" t="s">
        <v>1469</v>
      </c>
      <c r="M27" s="71" t="s">
        <v>1468</v>
      </c>
      <c r="N27" s="71"/>
      <c r="O27" s="71"/>
      <c r="P27" s="71"/>
      <c r="Q27" s="71"/>
      <c r="R27" s="71" t="s">
        <v>1469</v>
      </c>
      <c r="S27" s="71" t="s">
        <v>1468</v>
      </c>
      <c r="T27" s="71" t="s">
        <v>1560</v>
      </c>
      <c r="U27" s="71" t="s">
        <v>1560</v>
      </c>
    </row>
    <row r="28" spans="1:21" x14ac:dyDescent="0.2">
      <c r="A28" s="137">
        <v>27</v>
      </c>
      <c r="B28" s="71">
        <v>2181007842</v>
      </c>
      <c r="C28" s="71">
        <v>842</v>
      </c>
      <c r="D28" s="71">
        <v>2</v>
      </c>
      <c r="E28" s="71">
        <v>18</v>
      </c>
      <c r="F28" s="71">
        <v>10</v>
      </c>
      <c r="G28" s="71" t="s">
        <v>164</v>
      </c>
      <c r="H28" s="71" t="s">
        <v>1597</v>
      </c>
      <c r="I28" s="71">
        <v>2</v>
      </c>
      <c r="J28" s="71" t="s">
        <v>1419</v>
      </c>
      <c r="K28" s="71" t="s">
        <v>1461</v>
      </c>
      <c r="L28" s="71" t="s">
        <v>1469</v>
      </c>
      <c r="M28" s="71" t="s">
        <v>1468</v>
      </c>
      <c r="N28" s="71"/>
      <c r="O28" s="71"/>
      <c r="P28" s="71"/>
      <c r="Q28" s="71"/>
      <c r="R28" s="71" t="s">
        <v>1593</v>
      </c>
      <c r="S28" s="71" t="s">
        <v>1594</v>
      </c>
      <c r="T28" s="71" t="s">
        <v>1560</v>
      </c>
      <c r="U28" s="71" t="s">
        <v>1560</v>
      </c>
    </row>
    <row r="29" spans="1:21" x14ac:dyDescent="0.2">
      <c r="A29" s="137">
        <v>28</v>
      </c>
      <c r="B29" s="71">
        <v>2181007848</v>
      </c>
      <c r="C29" s="71">
        <v>848</v>
      </c>
      <c r="D29" s="71">
        <v>2</v>
      </c>
      <c r="E29" s="71">
        <v>18</v>
      </c>
      <c r="F29" s="71">
        <v>10</v>
      </c>
      <c r="G29" s="71" t="s">
        <v>164</v>
      </c>
      <c r="H29" s="71" t="s">
        <v>1597</v>
      </c>
      <c r="I29" s="71">
        <v>2</v>
      </c>
      <c r="J29" s="71" t="s">
        <v>1419</v>
      </c>
      <c r="K29" s="71" t="s">
        <v>1461</v>
      </c>
      <c r="L29" s="71" t="s">
        <v>1469</v>
      </c>
      <c r="M29" s="71" t="s">
        <v>1468</v>
      </c>
      <c r="N29" s="71"/>
      <c r="O29" s="71"/>
      <c r="P29" s="71"/>
      <c r="Q29" s="71"/>
      <c r="R29" s="71" t="s">
        <v>1595</v>
      </c>
      <c r="S29" s="71" t="s">
        <v>1596</v>
      </c>
      <c r="T29" s="71" t="s">
        <v>1560</v>
      </c>
      <c r="U29" s="71" t="s">
        <v>1560</v>
      </c>
    </row>
    <row r="30" spans="1:21" x14ac:dyDescent="0.2">
      <c r="A30" s="137">
        <v>29</v>
      </c>
      <c r="B30" s="71">
        <v>2151207004</v>
      </c>
      <c r="C30" s="71">
        <v>4</v>
      </c>
      <c r="D30" s="71">
        <v>2</v>
      </c>
      <c r="E30" s="71">
        <v>15</v>
      </c>
      <c r="F30" s="71">
        <v>12</v>
      </c>
      <c r="G30" s="71" t="s">
        <v>44</v>
      </c>
      <c r="H30" s="71" t="s">
        <v>1592</v>
      </c>
      <c r="I30" s="71">
        <v>2</v>
      </c>
      <c r="J30" s="71" t="s">
        <v>296</v>
      </c>
      <c r="K30" s="71" t="s">
        <v>1474</v>
      </c>
      <c r="L30" s="71" t="s">
        <v>1500</v>
      </c>
      <c r="M30" s="71" t="s">
        <v>1499</v>
      </c>
      <c r="N30" s="71"/>
      <c r="O30" s="71" t="s">
        <v>1461</v>
      </c>
      <c r="P30" s="71"/>
      <c r="Q30" s="71"/>
      <c r="R30" s="71"/>
      <c r="S30" s="71"/>
      <c r="T30" s="71"/>
      <c r="U30" s="71"/>
    </row>
    <row r="31" spans="1:21" x14ac:dyDescent="0.2">
      <c r="A31" s="137">
        <v>30</v>
      </c>
      <c r="B31" s="71">
        <v>2181007834</v>
      </c>
      <c r="C31" s="71">
        <v>834</v>
      </c>
      <c r="D31" s="71">
        <v>2</v>
      </c>
      <c r="E31" s="71">
        <v>18</v>
      </c>
      <c r="F31" s="71">
        <v>10</v>
      </c>
      <c r="G31" s="71" t="s">
        <v>44</v>
      </c>
      <c r="H31" s="71" t="s">
        <v>1592</v>
      </c>
      <c r="I31" s="71">
        <v>2</v>
      </c>
      <c r="J31" s="71" t="s">
        <v>296</v>
      </c>
      <c r="K31" s="71" t="s">
        <v>1474</v>
      </c>
      <c r="L31" s="71" t="s">
        <v>1500</v>
      </c>
      <c r="M31" s="71" t="s">
        <v>1499</v>
      </c>
      <c r="N31" s="71"/>
      <c r="O31" s="71" t="s">
        <v>1461</v>
      </c>
      <c r="P31" s="71"/>
      <c r="Q31" s="71"/>
      <c r="R31" s="71" t="s">
        <v>1598</v>
      </c>
      <c r="S31" s="71" t="s">
        <v>1599</v>
      </c>
      <c r="T31" s="71" t="s">
        <v>1560</v>
      </c>
      <c r="U31" s="71" t="s">
        <v>1560</v>
      </c>
    </row>
    <row r="32" spans="1:21" x14ac:dyDescent="0.2">
      <c r="A32" s="137">
        <v>31</v>
      </c>
      <c r="B32" s="71">
        <v>2181007835</v>
      </c>
      <c r="C32" s="71">
        <v>835</v>
      </c>
      <c r="D32" s="71">
        <v>2</v>
      </c>
      <c r="E32" s="71">
        <v>18</v>
      </c>
      <c r="F32" s="71">
        <v>10</v>
      </c>
      <c r="G32" s="71" t="s">
        <v>44</v>
      </c>
      <c r="H32" s="71" t="s">
        <v>1592</v>
      </c>
      <c r="I32" s="71">
        <v>2</v>
      </c>
      <c r="J32" s="71" t="s">
        <v>296</v>
      </c>
      <c r="K32" s="71" t="s">
        <v>1474</v>
      </c>
      <c r="L32" s="71" t="s">
        <v>1500</v>
      </c>
      <c r="M32" s="71" t="s">
        <v>1499</v>
      </c>
      <c r="N32" s="71"/>
      <c r="O32" s="71" t="s">
        <v>1461</v>
      </c>
      <c r="P32" s="71"/>
      <c r="Q32" s="71"/>
      <c r="R32" s="71"/>
      <c r="S32" s="71"/>
      <c r="T32" s="71"/>
      <c r="U32" s="71"/>
    </row>
    <row r="33" spans="1:22" x14ac:dyDescent="0.2">
      <c r="A33" s="137">
        <v>32</v>
      </c>
      <c r="B33" s="71">
        <v>2181007836</v>
      </c>
      <c r="C33" s="71">
        <v>836</v>
      </c>
      <c r="D33" s="71">
        <v>2</v>
      </c>
      <c r="E33" s="71">
        <v>18</v>
      </c>
      <c r="F33" s="71">
        <v>10</v>
      </c>
      <c r="G33" s="71" t="s">
        <v>44</v>
      </c>
      <c r="H33" s="71" t="s">
        <v>1592</v>
      </c>
      <c r="I33" s="71">
        <v>2</v>
      </c>
      <c r="J33" s="71" t="s">
        <v>296</v>
      </c>
      <c r="K33" s="71" t="s">
        <v>1474</v>
      </c>
      <c r="L33" s="71" t="s">
        <v>1500</v>
      </c>
      <c r="M33" s="71" t="s">
        <v>1499</v>
      </c>
      <c r="N33" s="71"/>
      <c r="O33" s="71" t="s">
        <v>1461</v>
      </c>
      <c r="P33" s="71"/>
      <c r="Q33" s="71"/>
      <c r="R33" s="71"/>
      <c r="S33" s="71"/>
      <c r="T33" s="71"/>
      <c r="U33" s="71"/>
    </row>
    <row r="34" spans="1:22" x14ac:dyDescent="0.2">
      <c r="A34" s="137">
        <v>33</v>
      </c>
      <c r="B34" s="71">
        <v>2181007837</v>
      </c>
      <c r="C34" s="71">
        <v>837</v>
      </c>
      <c r="D34" s="71">
        <v>2</v>
      </c>
      <c r="E34" s="71">
        <v>18</v>
      </c>
      <c r="F34" s="71">
        <v>10</v>
      </c>
      <c r="G34" s="71" t="s">
        <v>44</v>
      </c>
      <c r="H34" s="71" t="s">
        <v>1592</v>
      </c>
      <c r="I34" s="71">
        <v>3</v>
      </c>
      <c r="J34" s="71" t="s">
        <v>296</v>
      </c>
      <c r="K34" s="71" t="s">
        <v>1474</v>
      </c>
      <c r="L34" s="71" t="s">
        <v>1500</v>
      </c>
      <c r="M34" s="71" t="s">
        <v>1499</v>
      </c>
      <c r="N34" s="71"/>
      <c r="O34" s="71" t="s">
        <v>1461</v>
      </c>
      <c r="P34" s="71"/>
      <c r="Q34" s="71"/>
      <c r="R34" s="71" t="s">
        <v>1560</v>
      </c>
      <c r="S34" s="71" t="s">
        <v>1560</v>
      </c>
      <c r="T34" s="71" t="s">
        <v>1600</v>
      </c>
      <c r="U34" s="71" t="s">
        <v>1601</v>
      </c>
    </row>
    <row r="35" spans="1:22" x14ac:dyDescent="0.2">
      <c r="A35" s="137">
        <v>34</v>
      </c>
      <c r="B35" s="71">
        <v>2181007838</v>
      </c>
      <c r="C35" s="71">
        <v>838</v>
      </c>
      <c r="D35" s="71">
        <v>2</v>
      </c>
      <c r="E35" s="71">
        <v>18</v>
      </c>
      <c r="F35" s="71">
        <v>10</v>
      </c>
      <c r="G35" s="71" t="s">
        <v>44</v>
      </c>
      <c r="H35" s="71" t="s">
        <v>1592</v>
      </c>
      <c r="I35" s="71">
        <v>4</v>
      </c>
      <c r="J35" s="71" t="s">
        <v>296</v>
      </c>
      <c r="K35" s="71" t="s">
        <v>1474</v>
      </c>
      <c r="L35" s="71" t="s">
        <v>1500</v>
      </c>
      <c r="M35" s="71" t="s">
        <v>1499</v>
      </c>
      <c r="N35" s="71"/>
      <c r="O35" s="71" t="s">
        <v>1461</v>
      </c>
      <c r="P35" s="71"/>
      <c r="Q35" s="71"/>
      <c r="R35" s="71"/>
      <c r="S35" s="71"/>
      <c r="T35" s="71"/>
      <c r="U35" s="71"/>
    </row>
    <row r="36" spans="1:22" x14ac:dyDescent="0.2">
      <c r="A36" s="137">
        <v>35</v>
      </c>
      <c r="B36" s="71">
        <v>2181007839</v>
      </c>
      <c r="C36" s="71">
        <v>839</v>
      </c>
      <c r="D36" s="71">
        <v>2</v>
      </c>
      <c r="E36" s="71">
        <v>18</v>
      </c>
      <c r="F36" s="71">
        <v>10</v>
      </c>
      <c r="G36" s="71" t="s">
        <v>44</v>
      </c>
      <c r="H36" s="71" t="s">
        <v>1592</v>
      </c>
      <c r="I36" s="71">
        <v>5</v>
      </c>
      <c r="J36" s="71" t="s">
        <v>296</v>
      </c>
      <c r="K36" s="71" t="s">
        <v>1474</v>
      </c>
      <c r="L36" s="71" t="s">
        <v>1500</v>
      </c>
      <c r="M36" s="71" t="s">
        <v>1499</v>
      </c>
      <c r="N36" s="71"/>
      <c r="O36" s="71" t="s">
        <v>1461</v>
      </c>
      <c r="P36" s="71"/>
      <c r="Q36" s="71"/>
      <c r="R36" s="71" t="s">
        <v>1602</v>
      </c>
      <c r="S36" s="71" t="s">
        <v>1603</v>
      </c>
      <c r="T36" s="71" t="s">
        <v>1560</v>
      </c>
      <c r="U36" s="71" t="s">
        <v>1560</v>
      </c>
    </row>
    <row r="37" spans="1:22" x14ac:dyDescent="0.2">
      <c r="A37" s="137">
        <v>36</v>
      </c>
      <c r="B37" s="71">
        <v>2181007841</v>
      </c>
      <c r="C37" s="71">
        <v>841</v>
      </c>
      <c r="D37" s="71">
        <v>2</v>
      </c>
      <c r="E37" s="71">
        <v>18</v>
      </c>
      <c r="F37" s="71">
        <v>10</v>
      </c>
      <c r="G37" s="71" t="s">
        <v>44</v>
      </c>
      <c r="H37" s="71" t="s">
        <v>1592</v>
      </c>
      <c r="I37" s="71">
        <v>2</v>
      </c>
      <c r="J37" s="71" t="s">
        <v>296</v>
      </c>
      <c r="K37" s="71" t="s">
        <v>1474</v>
      </c>
      <c r="L37" s="71" t="s">
        <v>1500</v>
      </c>
      <c r="M37" s="71" t="s">
        <v>1499</v>
      </c>
      <c r="N37" s="71"/>
      <c r="O37" s="71" t="s">
        <v>1461</v>
      </c>
      <c r="P37" s="71"/>
      <c r="Q37" s="71"/>
      <c r="R37" s="71" t="s">
        <v>1604</v>
      </c>
      <c r="S37" s="71" t="s">
        <v>1605</v>
      </c>
      <c r="T37" s="71" t="s">
        <v>1604</v>
      </c>
      <c r="U37" s="71" t="s">
        <v>1605</v>
      </c>
    </row>
    <row r="38" spans="1:22" x14ac:dyDescent="0.2">
      <c r="A38" s="137">
        <v>37</v>
      </c>
      <c r="B38" s="71">
        <v>2181007849</v>
      </c>
      <c r="C38" s="71">
        <v>849</v>
      </c>
      <c r="D38" s="71">
        <v>2</v>
      </c>
      <c r="E38" s="71">
        <v>18</v>
      </c>
      <c r="F38" s="71">
        <v>10</v>
      </c>
      <c r="G38" s="71" t="s">
        <v>44</v>
      </c>
      <c r="H38" s="71" t="s">
        <v>1592</v>
      </c>
      <c r="I38" s="71">
        <v>3</v>
      </c>
      <c r="J38" s="71" t="s">
        <v>296</v>
      </c>
      <c r="K38" s="71" t="s">
        <v>1474</v>
      </c>
      <c r="L38" s="71" t="s">
        <v>1500</v>
      </c>
      <c r="M38" s="71" t="s">
        <v>1499</v>
      </c>
      <c r="N38" s="71"/>
      <c r="O38" s="71" t="s">
        <v>1461</v>
      </c>
      <c r="P38" s="71"/>
      <c r="Q38" s="71"/>
      <c r="R38" s="71" t="s">
        <v>1606</v>
      </c>
      <c r="S38" s="71" t="s">
        <v>1607</v>
      </c>
      <c r="T38" s="71" t="s">
        <v>1560</v>
      </c>
      <c r="U38" s="71" t="s">
        <v>1560</v>
      </c>
    </row>
    <row r="39" spans="1:22" x14ac:dyDescent="0.2">
      <c r="A39" s="137">
        <v>38</v>
      </c>
      <c r="B39" s="71">
        <v>2184907828</v>
      </c>
      <c r="C39" s="71">
        <v>828</v>
      </c>
      <c r="D39" s="71">
        <v>2</v>
      </c>
      <c r="E39" s="71">
        <v>18</v>
      </c>
      <c r="F39" s="71">
        <v>49</v>
      </c>
      <c r="G39" s="71" t="s">
        <v>125</v>
      </c>
      <c r="H39" s="71" t="s">
        <v>1608</v>
      </c>
      <c r="I39" s="71">
        <v>2</v>
      </c>
      <c r="J39" s="71" t="s">
        <v>1516</v>
      </c>
      <c r="K39" s="71" t="s">
        <v>1515</v>
      </c>
      <c r="L39" s="71"/>
      <c r="M39" s="71"/>
      <c r="N39" s="71"/>
      <c r="O39" s="71"/>
      <c r="P39" s="71"/>
      <c r="Q39" s="71"/>
      <c r="R39" s="71" t="s">
        <v>1609</v>
      </c>
      <c r="S39" s="71" t="s">
        <v>1610</v>
      </c>
      <c r="T39" s="71" t="s">
        <v>1609</v>
      </c>
      <c r="U39" s="71" t="s">
        <v>1610</v>
      </c>
    </row>
    <row r="40" spans="1:22" x14ac:dyDescent="0.2">
      <c r="A40" s="137">
        <v>39</v>
      </c>
      <c r="B40" s="71">
        <v>2181007829</v>
      </c>
      <c r="C40" s="71">
        <v>829</v>
      </c>
      <c r="D40" s="71">
        <v>2</v>
      </c>
      <c r="E40" s="71">
        <v>18</v>
      </c>
      <c r="F40" s="71">
        <v>10</v>
      </c>
      <c r="G40" s="71" t="s">
        <v>125</v>
      </c>
      <c r="H40" s="71" t="s">
        <v>1608</v>
      </c>
      <c r="I40" s="71">
        <v>2</v>
      </c>
      <c r="J40" s="71" t="s">
        <v>1516</v>
      </c>
      <c r="K40" s="71" t="s">
        <v>1515</v>
      </c>
      <c r="L40" s="71"/>
      <c r="M40" s="71"/>
      <c r="N40" s="71"/>
      <c r="O40" s="71"/>
      <c r="P40" s="71"/>
      <c r="Q40" s="71"/>
      <c r="R40" s="71" t="s">
        <v>1611</v>
      </c>
      <c r="S40" s="71" t="s">
        <v>1612</v>
      </c>
      <c r="T40" s="71" t="s">
        <v>1560</v>
      </c>
      <c r="U40" s="71" t="s">
        <v>1560</v>
      </c>
    </row>
    <row r="41" spans="1:22" x14ac:dyDescent="0.2">
      <c r="A41" s="137">
        <v>40</v>
      </c>
      <c r="B41" s="71">
        <v>2181007831</v>
      </c>
      <c r="C41" s="71">
        <v>831</v>
      </c>
      <c r="D41" s="71">
        <v>2</v>
      </c>
      <c r="E41" s="71">
        <v>18</v>
      </c>
      <c r="F41" s="71">
        <v>10</v>
      </c>
      <c r="G41" s="71" t="s">
        <v>125</v>
      </c>
      <c r="H41" s="71" t="s">
        <v>1608</v>
      </c>
      <c r="I41" s="71">
        <v>2</v>
      </c>
      <c r="J41" s="71" t="s">
        <v>1516</v>
      </c>
      <c r="K41" s="71" t="s">
        <v>1515</v>
      </c>
      <c r="L41" s="71"/>
      <c r="M41" s="71"/>
      <c r="N41" s="71"/>
      <c r="O41" s="71"/>
      <c r="P41" s="71"/>
      <c r="Q41" s="71"/>
      <c r="R41" s="71"/>
      <c r="S41" s="71"/>
      <c r="T41" s="71"/>
      <c r="U41" s="71"/>
    </row>
    <row r="42" spans="1:22" x14ac:dyDescent="0.2">
      <c r="A42" s="137">
        <v>41</v>
      </c>
      <c r="B42" s="71">
        <v>2181007832</v>
      </c>
      <c r="C42" s="71">
        <v>832</v>
      </c>
      <c r="D42" s="71">
        <v>2</v>
      </c>
      <c r="E42" s="71">
        <v>18</v>
      </c>
      <c r="F42" s="71">
        <v>10</v>
      </c>
      <c r="G42" s="71" t="s">
        <v>125</v>
      </c>
      <c r="H42" s="71" t="s">
        <v>1608</v>
      </c>
      <c r="I42" s="71">
        <v>2</v>
      </c>
      <c r="J42" s="71" t="s">
        <v>1516</v>
      </c>
      <c r="K42" s="71" t="s">
        <v>1515</v>
      </c>
      <c r="L42" s="71"/>
      <c r="M42" s="71"/>
      <c r="N42" s="71"/>
      <c r="O42" s="71"/>
      <c r="P42" s="71"/>
      <c r="Q42" s="71"/>
      <c r="R42" s="71" t="s">
        <v>1613</v>
      </c>
      <c r="S42" s="71" t="s">
        <v>1614</v>
      </c>
      <c r="T42" s="71" t="s">
        <v>1613</v>
      </c>
      <c r="U42" s="71" t="s">
        <v>1614</v>
      </c>
    </row>
    <row r="43" spans="1:22" x14ac:dyDescent="0.2">
      <c r="A43" s="137">
        <v>42</v>
      </c>
      <c r="B43" s="71">
        <v>2181007833</v>
      </c>
      <c r="C43" s="71">
        <v>833</v>
      </c>
      <c r="D43" s="71">
        <v>2</v>
      </c>
      <c r="E43" s="71">
        <v>18</v>
      </c>
      <c r="F43" s="71">
        <v>10</v>
      </c>
      <c r="G43" s="71" t="s">
        <v>125</v>
      </c>
      <c r="H43" s="71" t="s">
        <v>1608</v>
      </c>
      <c r="I43" s="71">
        <v>2</v>
      </c>
      <c r="J43" s="71" t="s">
        <v>1516</v>
      </c>
      <c r="K43" s="71" t="s">
        <v>1515</v>
      </c>
      <c r="L43" s="71"/>
      <c r="M43" s="71"/>
      <c r="N43" s="71"/>
      <c r="O43" s="71"/>
      <c r="P43" s="71"/>
      <c r="Q43" s="71"/>
      <c r="R43" s="71"/>
      <c r="S43" s="71"/>
      <c r="T43" s="71"/>
      <c r="U43" s="71"/>
    </row>
    <row r="44" spans="1:22" x14ac:dyDescent="0.2">
      <c r="A44" s="137">
        <v>43</v>
      </c>
      <c r="B44" s="71">
        <v>2181007830</v>
      </c>
      <c r="C44" s="71">
        <v>830</v>
      </c>
      <c r="D44" s="71">
        <v>2</v>
      </c>
      <c r="E44" s="71">
        <v>18</v>
      </c>
      <c r="F44" s="71">
        <v>10</v>
      </c>
      <c r="G44" s="71" t="s">
        <v>91</v>
      </c>
      <c r="H44" s="71" t="s">
        <v>1797</v>
      </c>
      <c r="I44" s="71">
        <v>3</v>
      </c>
      <c r="J44" s="71" t="s">
        <v>289</v>
      </c>
      <c r="K44" s="71" t="s">
        <v>1510</v>
      </c>
      <c r="L44" s="71" t="s">
        <v>1480</v>
      </c>
      <c r="M44" s="71" t="s">
        <v>1479</v>
      </c>
      <c r="N44" s="71" t="s">
        <v>368</v>
      </c>
      <c r="O44" s="71" t="s">
        <v>1477</v>
      </c>
      <c r="P44" s="71" t="s">
        <v>1457</v>
      </c>
      <c r="Q44" s="71" t="s">
        <v>1456</v>
      </c>
      <c r="R44" s="71"/>
      <c r="S44" s="71"/>
      <c r="T44" s="71"/>
      <c r="U44" s="71"/>
    </row>
    <row r="45" spans="1:22" x14ac:dyDescent="0.2">
      <c r="A45" s="137">
        <v>44</v>
      </c>
      <c r="B45" s="71">
        <v>2181007843</v>
      </c>
      <c r="C45" s="71">
        <v>843</v>
      </c>
      <c r="D45" s="71">
        <v>2</v>
      </c>
      <c r="E45" s="71">
        <v>18</v>
      </c>
      <c r="F45" s="71">
        <v>10</v>
      </c>
      <c r="G45" s="71" t="s">
        <v>91</v>
      </c>
      <c r="H45" s="71" t="s">
        <v>1797</v>
      </c>
      <c r="I45" s="71">
        <v>2</v>
      </c>
      <c r="J45" s="71" t="s">
        <v>289</v>
      </c>
      <c r="K45" s="71" t="s">
        <v>1510</v>
      </c>
      <c r="L45" s="71" t="s">
        <v>1480</v>
      </c>
      <c r="M45" s="71" t="s">
        <v>1479</v>
      </c>
      <c r="N45" s="71" t="s">
        <v>368</v>
      </c>
      <c r="O45" s="71" t="s">
        <v>1477</v>
      </c>
      <c r="P45" s="71" t="s">
        <v>1457</v>
      </c>
      <c r="Q45" s="71" t="s">
        <v>1456</v>
      </c>
      <c r="R45" s="71" t="s">
        <v>1615</v>
      </c>
      <c r="S45" s="71">
        <v>0</v>
      </c>
      <c r="T45" s="71" t="s">
        <v>1560</v>
      </c>
      <c r="U45" s="71" t="s">
        <v>1560</v>
      </c>
    </row>
    <row r="46" spans="1:22" x14ac:dyDescent="0.2">
      <c r="A46" s="137">
        <v>45</v>
      </c>
      <c r="B46" s="71">
        <v>2184907844</v>
      </c>
      <c r="C46" s="71">
        <v>844</v>
      </c>
      <c r="D46" s="71">
        <v>2</v>
      </c>
      <c r="E46" s="71">
        <v>18</v>
      </c>
      <c r="F46" s="71">
        <v>49</v>
      </c>
      <c r="G46" s="71" t="s">
        <v>91</v>
      </c>
      <c r="H46" s="71" t="s">
        <v>1797</v>
      </c>
      <c r="I46" s="71">
        <v>5</v>
      </c>
      <c r="J46" s="71" t="s">
        <v>289</v>
      </c>
      <c r="K46" s="71" t="s">
        <v>1510</v>
      </c>
      <c r="L46" s="71" t="s">
        <v>1480</v>
      </c>
      <c r="M46" s="71" t="s">
        <v>1479</v>
      </c>
      <c r="N46" s="71" t="s">
        <v>368</v>
      </c>
      <c r="O46" s="71" t="s">
        <v>1477</v>
      </c>
      <c r="P46" s="71" t="s">
        <v>1457</v>
      </c>
      <c r="Q46" s="71" t="s">
        <v>1456</v>
      </c>
      <c r="R46" s="71" t="s">
        <v>1560</v>
      </c>
      <c r="S46" s="71" t="s">
        <v>1560</v>
      </c>
      <c r="T46" s="71" t="s">
        <v>1616</v>
      </c>
      <c r="U46" s="71" t="s">
        <v>1617</v>
      </c>
      <c r="V46" s="138" t="s">
        <v>1766</v>
      </c>
    </row>
    <row r="47" spans="1:22" x14ac:dyDescent="0.2">
      <c r="A47" s="137">
        <v>46</v>
      </c>
      <c r="B47" s="71">
        <v>2184907845</v>
      </c>
      <c r="C47" s="71">
        <v>845</v>
      </c>
      <c r="D47" s="71">
        <v>2</v>
      </c>
      <c r="E47" s="71">
        <v>18</v>
      </c>
      <c r="F47" s="71">
        <v>49</v>
      </c>
      <c r="G47" s="71" t="s">
        <v>91</v>
      </c>
      <c r="H47" s="71" t="s">
        <v>1797</v>
      </c>
      <c r="I47" s="71">
        <v>2</v>
      </c>
      <c r="J47" s="71" t="s">
        <v>289</v>
      </c>
      <c r="K47" s="71" t="s">
        <v>1510</v>
      </c>
      <c r="L47" s="71" t="s">
        <v>1480</v>
      </c>
      <c r="M47" s="71" t="s">
        <v>1479</v>
      </c>
      <c r="N47" s="71" t="s">
        <v>368</v>
      </c>
      <c r="O47" s="71" t="s">
        <v>1477</v>
      </c>
      <c r="P47" s="71" t="s">
        <v>1457</v>
      </c>
      <c r="Q47" s="71" t="s">
        <v>1456</v>
      </c>
      <c r="R47" s="71"/>
      <c r="S47" s="71"/>
      <c r="T47" s="71"/>
      <c r="U47" s="71"/>
    </row>
    <row r="48" spans="1:22" x14ac:dyDescent="0.2">
      <c r="A48" s="137">
        <v>47</v>
      </c>
      <c r="B48" s="71">
        <v>2181007846</v>
      </c>
      <c r="C48" s="71">
        <v>846</v>
      </c>
      <c r="D48" s="71">
        <v>2</v>
      </c>
      <c r="E48" s="71">
        <v>18</v>
      </c>
      <c r="F48" s="71">
        <v>10</v>
      </c>
      <c r="G48" s="71" t="s">
        <v>91</v>
      </c>
      <c r="H48" s="71" t="s">
        <v>1797</v>
      </c>
      <c r="I48" s="71">
        <v>2</v>
      </c>
      <c r="J48" s="71" t="s">
        <v>289</v>
      </c>
      <c r="K48" s="71" t="s">
        <v>1510</v>
      </c>
      <c r="L48" s="71" t="s">
        <v>1480</v>
      </c>
      <c r="M48" s="71" t="s">
        <v>1479</v>
      </c>
      <c r="N48" s="71" t="s">
        <v>368</v>
      </c>
      <c r="O48" s="71" t="s">
        <v>1477</v>
      </c>
      <c r="P48" s="71" t="s">
        <v>1457</v>
      </c>
      <c r="Q48" s="71" t="s">
        <v>1456</v>
      </c>
      <c r="R48" s="71" t="s">
        <v>1618</v>
      </c>
      <c r="S48" s="71" t="s">
        <v>1619</v>
      </c>
      <c r="T48" s="71" t="s">
        <v>1618</v>
      </c>
      <c r="U48" s="71" t="s">
        <v>1619</v>
      </c>
    </row>
    <row r="49" spans="1:21" x14ac:dyDescent="0.2">
      <c r="A49" s="137">
        <v>48</v>
      </c>
      <c r="B49" s="71">
        <v>2181007847</v>
      </c>
      <c r="C49" s="71">
        <v>847</v>
      </c>
      <c r="D49" s="71">
        <v>2</v>
      </c>
      <c r="E49" s="71">
        <v>18</v>
      </c>
      <c r="F49" s="71">
        <v>10</v>
      </c>
      <c r="G49" s="71" t="s">
        <v>91</v>
      </c>
      <c r="H49" s="71" t="s">
        <v>1797</v>
      </c>
      <c r="I49" s="71">
        <v>4</v>
      </c>
      <c r="J49" s="71" t="s">
        <v>289</v>
      </c>
      <c r="K49" s="71" t="s">
        <v>1510</v>
      </c>
      <c r="L49" s="71" t="s">
        <v>1480</v>
      </c>
      <c r="M49" s="71" t="s">
        <v>1479</v>
      </c>
      <c r="N49" s="71" t="s">
        <v>368</v>
      </c>
      <c r="O49" s="71" t="s">
        <v>1477</v>
      </c>
      <c r="P49" s="71" t="s">
        <v>1457</v>
      </c>
      <c r="Q49" s="71" t="s">
        <v>1456</v>
      </c>
      <c r="R49" s="71" t="s">
        <v>1620</v>
      </c>
      <c r="S49" s="71" t="s">
        <v>1621</v>
      </c>
      <c r="T49" s="71" t="s">
        <v>1620</v>
      </c>
      <c r="U49" s="71" t="s">
        <v>1621</v>
      </c>
    </row>
    <row r="50" spans="1:21" x14ac:dyDescent="0.2">
      <c r="A50" s="137">
        <v>49</v>
      </c>
      <c r="B50" s="71">
        <v>2181007850</v>
      </c>
      <c r="C50" s="71">
        <v>850</v>
      </c>
      <c r="D50" s="71">
        <v>2</v>
      </c>
      <c r="E50" s="71">
        <v>18</v>
      </c>
      <c r="F50" s="71">
        <v>10</v>
      </c>
      <c r="G50" s="71" t="s">
        <v>91</v>
      </c>
      <c r="H50" s="71" t="s">
        <v>1797</v>
      </c>
      <c r="I50" s="71">
        <v>2</v>
      </c>
      <c r="J50" s="71" t="s">
        <v>289</v>
      </c>
      <c r="K50" s="71" t="s">
        <v>1510</v>
      </c>
      <c r="L50" s="71" t="s">
        <v>1480</v>
      </c>
      <c r="M50" s="71" t="s">
        <v>1479</v>
      </c>
      <c r="N50" s="71" t="s">
        <v>368</v>
      </c>
      <c r="O50" s="71" t="s">
        <v>1477</v>
      </c>
      <c r="P50" s="71" t="s">
        <v>1457</v>
      </c>
      <c r="Q50" s="71" t="s">
        <v>1456</v>
      </c>
      <c r="R50" s="71" t="s">
        <v>1622</v>
      </c>
      <c r="S50" s="71" t="s">
        <v>1623</v>
      </c>
      <c r="T50" s="71" t="s">
        <v>1622</v>
      </c>
      <c r="U50" s="71" t="s">
        <v>1623</v>
      </c>
    </row>
    <row r="51" spans="1:21" x14ac:dyDescent="0.2">
      <c r="A51" s="137">
        <v>50</v>
      </c>
      <c r="B51" s="71">
        <v>2181007851</v>
      </c>
      <c r="C51" s="71">
        <v>851</v>
      </c>
      <c r="D51" s="71">
        <v>2</v>
      </c>
      <c r="E51" s="71">
        <v>18</v>
      </c>
      <c r="F51" s="71">
        <v>10</v>
      </c>
      <c r="G51" s="71" t="s">
        <v>91</v>
      </c>
      <c r="H51" s="71" t="s">
        <v>1797</v>
      </c>
      <c r="I51" s="71">
        <v>3</v>
      </c>
      <c r="J51" s="71" t="s">
        <v>289</v>
      </c>
      <c r="K51" s="71" t="s">
        <v>1510</v>
      </c>
      <c r="L51" s="71" t="s">
        <v>1480</v>
      </c>
      <c r="M51" s="71" t="s">
        <v>1479</v>
      </c>
      <c r="N51" s="71" t="s">
        <v>368</v>
      </c>
      <c r="O51" s="71" t="s">
        <v>1477</v>
      </c>
      <c r="P51" s="71" t="s">
        <v>1457</v>
      </c>
      <c r="Q51" s="71" t="s">
        <v>1456</v>
      </c>
      <c r="R51" s="71" t="s">
        <v>1624</v>
      </c>
      <c r="S51" s="71" t="s">
        <v>1625</v>
      </c>
      <c r="T51" s="71" t="s">
        <v>1560</v>
      </c>
      <c r="U51" s="71" t="s">
        <v>1560</v>
      </c>
    </row>
    <row r="52" spans="1:21" x14ac:dyDescent="0.2">
      <c r="A52" s="137">
        <v>51</v>
      </c>
      <c r="B52" s="71">
        <v>2184907852</v>
      </c>
      <c r="C52" s="71">
        <v>852</v>
      </c>
      <c r="D52" s="71">
        <v>2</v>
      </c>
      <c r="E52" s="71">
        <v>18</v>
      </c>
      <c r="F52" s="71">
        <v>49</v>
      </c>
      <c r="G52" s="71" t="s">
        <v>91</v>
      </c>
      <c r="H52" s="71" t="s">
        <v>1797</v>
      </c>
      <c r="I52" s="71">
        <v>2</v>
      </c>
      <c r="J52" s="71" t="s">
        <v>289</v>
      </c>
      <c r="K52" s="71" t="s">
        <v>1510</v>
      </c>
      <c r="L52" s="71" t="s">
        <v>1480</v>
      </c>
      <c r="M52" s="71" t="s">
        <v>1479</v>
      </c>
      <c r="N52" s="71" t="s">
        <v>368</v>
      </c>
      <c r="O52" s="71" t="s">
        <v>1477</v>
      </c>
      <c r="P52" s="71" t="s">
        <v>1457</v>
      </c>
      <c r="Q52" s="71" t="s">
        <v>1456</v>
      </c>
      <c r="R52" s="71" t="s">
        <v>1626</v>
      </c>
      <c r="S52" s="71" t="s">
        <v>1627</v>
      </c>
      <c r="T52" s="71" t="s">
        <v>1626</v>
      </c>
      <c r="U52" s="71" t="s">
        <v>1627</v>
      </c>
    </row>
    <row r="53" spans="1:21" x14ac:dyDescent="0.2">
      <c r="A53" s="137">
        <v>52</v>
      </c>
      <c r="B53" s="71">
        <v>2184907853</v>
      </c>
      <c r="C53" s="71">
        <v>853</v>
      </c>
      <c r="D53" s="71">
        <v>2</v>
      </c>
      <c r="E53" s="71">
        <v>18</v>
      </c>
      <c r="F53" s="71">
        <v>49</v>
      </c>
      <c r="G53" s="71" t="s">
        <v>91</v>
      </c>
      <c r="H53" s="71" t="s">
        <v>1797</v>
      </c>
      <c r="I53" s="71">
        <v>2</v>
      </c>
      <c r="J53" s="71" t="s">
        <v>289</v>
      </c>
      <c r="K53" s="71" t="s">
        <v>1510</v>
      </c>
      <c r="L53" s="71" t="s">
        <v>1480</v>
      </c>
      <c r="M53" s="71" t="s">
        <v>1479</v>
      </c>
      <c r="N53" s="71" t="s">
        <v>368</v>
      </c>
      <c r="O53" s="71" t="s">
        <v>1477</v>
      </c>
      <c r="P53" s="71" t="s">
        <v>1457</v>
      </c>
      <c r="Q53" s="71" t="s">
        <v>1456</v>
      </c>
      <c r="R53" s="71"/>
      <c r="S53" s="71"/>
      <c r="T53" s="71"/>
      <c r="U53" s="71"/>
    </row>
    <row r="54" spans="1:21" x14ac:dyDescent="0.2">
      <c r="A54" s="137">
        <v>53</v>
      </c>
      <c r="B54" s="71">
        <v>2184907854</v>
      </c>
      <c r="C54" s="71">
        <v>854</v>
      </c>
      <c r="D54" s="71">
        <v>2</v>
      </c>
      <c r="E54" s="71">
        <v>18</v>
      </c>
      <c r="F54" s="71">
        <v>49</v>
      </c>
      <c r="G54" s="71" t="s">
        <v>91</v>
      </c>
      <c r="H54" s="71" t="s">
        <v>1797</v>
      </c>
      <c r="I54" s="71">
        <v>4</v>
      </c>
      <c r="J54" s="71" t="s">
        <v>289</v>
      </c>
      <c r="K54" s="71" t="s">
        <v>1510</v>
      </c>
      <c r="L54" s="71" t="s">
        <v>1480</v>
      </c>
      <c r="M54" s="71" t="s">
        <v>1479</v>
      </c>
      <c r="N54" s="71" t="s">
        <v>368</v>
      </c>
      <c r="O54" s="71" t="s">
        <v>1477</v>
      </c>
      <c r="P54" s="71" t="s">
        <v>1457</v>
      </c>
      <c r="Q54" s="71" t="s">
        <v>1456</v>
      </c>
      <c r="R54" s="71" t="s">
        <v>1628</v>
      </c>
      <c r="S54" s="71" t="s">
        <v>1629</v>
      </c>
      <c r="T54" s="71" t="s">
        <v>1628</v>
      </c>
      <c r="U54" s="71" t="s">
        <v>1629</v>
      </c>
    </row>
    <row r="55" spans="1:21" x14ac:dyDescent="0.2">
      <c r="A55" s="137">
        <v>54</v>
      </c>
      <c r="B55" s="71">
        <v>2184907855</v>
      </c>
      <c r="C55" s="71">
        <v>855</v>
      </c>
      <c r="D55" s="71">
        <v>2</v>
      </c>
      <c r="E55" s="71">
        <v>18</v>
      </c>
      <c r="F55" s="71">
        <v>49</v>
      </c>
      <c r="G55" s="71" t="s">
        <v>91</v>
      </c>
      <c r="H55" s="71" t="s">
        <v>1797</v>
      </c>
      <c r="I55" s="71">
        <v>4</v>
      </c>
      <c r="J55" s="71" t="s">
        <v>289</v>
      </c>
      <c r="K55" s="71" t="s">
        <v>1510</v>
      </c>
      <c r="L55" s="71" t="s">
        <v>1480</v>
      </c>
      <c r="M55" s="71" t="s">
        <v>1479</v>
      </c>
      <c r="N55" s="71" t="s">
        <v>368</v>
      </c>
      <c r="O55" s="71" t="s">
        <v>1477</v>
      </c>
      <c r="P55" s="71" t="s">
        <v>1457</v>
      </c>
      <c r="Q55" s="71" t="s">
        <v>1456</v>
      </c>
      <c r="R55" s="71" t="s">
        <v>1630</v>
      </c>
      <c r="S55" s="71" t="s">
        <v>1631</v>
      </c>
      <c r="T55" s="71" t="s">
        <v>1630</v>
      </c>
      <c r="U55" s="71" t="s">
        <v>1631</v>
      </c>
    </row>
    <row r="56" spans="1:21" x14ac:dyDescent="0.2">
      <c r="A56" s="137">
        <v>55</v>
      </c>
      <c r="B56" s="71">
        <v>2184907856</v>
      </c>
      <c r="C56" s="71">
        <v>856</v>
      </c>
      <c r="D56" s="71">
        <v>2</v>
      </c>
      <c r="E56" s="71">
        <v>18</v>
      </c>
      <c r="F56" s="71">
        <v>49</v>
      </c>
      <c r="G56" s="71" t="s">
        <v>91</v>
      </c>
      <c r="H56" s="71" t="s">
        <v>1797</v>
      </c>
      <c r="I56" s="71">
        <v>2</v>
      </c>
      <c r="J56" s="71" t="s">
        <v>289</v>
      </c>
      <c r="K56" s="71" t="s">
        <v>1510</v>
      </c>
      <c r="L56" s="71" t="s">
        <v>1480</v>
      </c>
      <c r="M56" s="71" t="s">
        <v>1479</v>
      </c>
      <c r="N56" s="71" t="s">
        <v>368</v>
      </c>
      <c r="O56" s="71" t="s">
        <v>1477</v>
      </c>
      <c r="P56" s="71" t="s">
        <v>1457</v>
      </c>
      <c r="Q56" s="71" t="s">
        <v>1456</v>
      </c>
      <c r="R56" s="71"/>
      <c r="S56" s="71"/>
      <c r="T56" s="71"/>
      <c r="U56" s="71"/>
    </row>
    <row r="57" spans="1:21" x14ac:dyDescent="0.2">
      <c r="A57" s="137">
        <v>56</v>
      </c>
      <c r="B57" s="71">
        <v>2184907857</v>
      </c>
      <c r="C57" s="71">
        <v>857</v>
      </c>
      <c r="D57" s="71">
        <v>2</v>
      </c>
      <c r="E57" s="71">
        <v>18</v>
      </c>
      <c r="F57" s="71">
        <v>49</v>
      </c>
      <c r="G57" s="71" t="s">
        <v>91</v>
      </c>
      <c r="H57" s="71" t="s">
        <v>1797</v>
      </c>
      <c r="I57" s="71">
        <v>3</v>
      </c>
      <c r="J57" s="71" t="s">
        <v>289</v>
      </c>
      <c r="K57" s="71" t="s">
        <v>1510</v>
      </c>
      <c r="L57" s="71" t="s">
        <v>1480</v>
      </c>
      <c r="M57" s="71" t="s">
        <v>1479</v>
      </c>
      <c r="N57" s="71" t="s">
        <v>368</v>
      </c>
      <c r="O57" s="71" t="s">
        <v>1477</v>
      </c>
      <c r="P57" s="71" t="s">
        <v>1457</v>
      </c>
      <c r="Q57" s="71" t="s">
        <v>1456</v>
      </c>
      <c r="R57" s="71"/>
      <c r="S57" s="71"/>
      <c r="T57" s="71"/>
      <c r="U57" s="71"/>
    </row>
    <row r="58" spans="1:21" x14ac:dyDescent="0.2">
      <c r="A58" s="137">
        <v>57</v>
      </c>
      <c r="B58" s="71">
        <v>2154907900</v>
      </c>
      <c r="C58" s="71">
        <v>900</v>
      </c>
      <c r="D58" s="71">
        <v>2</v>
      </c>
      <c r="E58" s="71">
        <v>15</v>
      </c>
      <c r="F58" s="71">
        <v>49</v>
      </c>
      <c r="G58" s="71" t="s">
        <v>91</v>
      </c>
      <c r="H58" s="71" t="s">
        <v>1797</v>
      </c>
      <c r="I58" s="71">
        <v>2</v>
      </c>
      <c r="J58" s="71" t="s">
        <v>289</v>
      </c>
      <c r="K58" s="71" t="s">
        <v>1510</v>
      </c>
      <c r="L58" s="71" t="s">
        <v>1480</v>
      </c>
      <c r="M58" s="71" t="s">
        <v>1479</v>
      </c>
      <c r="N58" s="71" t="s">
        <v>368</v>
      </c>
      <c r="O58" s="71" t="s">
        <v>1477</v>
      </c>
      <c r="P58" s="71" t="s">
        <v>1457</v>
      </c>
      <c r="Q58" s="71" t="s">
        <v>1456</v>
      </c>
      <c r="R58" s="71"/>
      <c r="S58" s="71"/>
      <c r="T58" s="71"/>
      <c r="U58" s="71"/>
    </row>
    <row r="59" spans="1:21" x14ac:dyDescent="0.2">
      <c r="A59" s="137">
        <v>58</v>
      </c>
      <c r="B59" s="71">
        <v>2154907906</v>
      </c>
      <c r="C59" s="71">
        <v>906</v>
      </c>
      <c r="D59" s="71">
        <v>2</v>
      </c>
      <c r="E59" s="71">
        <v>15</v>
      </c>
      <c r="F59" s="71">
        <v>49</v>
      </c>
      <c r="G59" s="71" t="s">
        <v>91</v>
      </c>
      <c r="H59" s="71" t="s">
        <v>1797</v>
      </c>
      <c r="I59" s="71">
        <v>4</v>
      </c>
      <c r="J59" s="71" t="s">
        <v>289</v>
      </c>
      <c r="K59" s="71" t="s">
        <v>1510</v>
      </c>
      <c r="L59" s="71" t="s">
        <v>1480</v>
      </c>
      <c r="M59" s="71" t="s">
        <v>1479</v>
      </c>
      <c r="N59" s="71" t="s">
        <v>368</v>
      </c>
      <c r="O59" s="71" t="s">
        <v>1477</v>
      </c>
      <c r="P59" s="71" t="s">
        <v>1457</v>
      </c>
      <c r="Q59" s="71" t="s">
        <v>1456</v>
      </c>
      <c r="R59" s="71" t="s">
        <v>1632</v>
      </c>
      <c r="S59" s="71" t="s">
        <v>1633</v>
      </c>
      <c r="T59" s="71" t="s">
        <v>1632</v>
      </c>
      <c r="U59" s="71" t="s">
        <v>1633</v>
      </c>
    </row>
    <row r="60" spans="1:21" x14ac:dyDescent="0.2">
      <c r="A60" s="137">
        <v>59</v>
      </c>
      <c r="B60" s="71">
        <v>2171907400</v>
      </c>
      <c r="C60" s="71">
        <v>400</v>
      </c>
      <c r="D60" s="71">
        <v>2</v>
      </c>
      <c r="E60" s="71">
        <v>17</v>
      </c>
      <c r="F60" s="71">
        <v>19</v>
      </c>
      <c r="G60" s="19" t="s">
        <v>1798</v>
      </c>
      <c r="H60" s="71" t="s">
        <v>1795</v>
      </c>
      <c r="I60" s="71">
        <v>3</v>
      </c>
      <c r="J60" s="71" t="s">
        <v>1484</v>
      </c>
      <c r="K60" s="71" t="s">
        <v>1483</v>
      </c>
      <c r="L60" s="71" t="s">
        <v>1523</v>
      </c>
      <c r="M60" s="71" t="s">
        <v>1522</v>
      </c>
      <c r="N60" s="71" t="s">
        <v>1463</v>
      </c>
      <c r="O60" s="71" t="s">
        <v>1462</v>
      </c>
      <c r="P60" s="71"/>
      <c r="Q60" s="71"/>
      <c r="R60" s="71"/>
      <c r="S60" s="71"/>
      <c r="T60" s="71"/>
      <c r="U60" s="71"/>
    </row>
    <row r="61" spans="1:21" x14ac:dyDescent="0.2">
      <c r="A61" s="137">
        <v>60</v>
      </c>
      <c r="B61" s="71">
        <v>2171907401</v>
      </c>
      <c r="C61" s="71">
        <v>401</v>
      </c>
      <c r="D61" s="71">
        <v>2</v>
      </c>
      <c r="E61" s="71">
        <v>17</v>
      </c>
      <c r="F61" s="71">
        <v>19</v>
      </c>
      <c r="G61" s="19" t="s">
        <v>1798</v>
      </c>
      <c r="H61" s="71" t="s">
        <v>1795</v>
      </c>
      <c r="I61" s="71">
        <v>2</v>
      </c>
      <c r="J61" s="71" t="s">
        <v>1484</v>
      </c>
      <c r="K61" s="71" t="s">
        <v>1483</v>
      </c>
      <c r="L61" s="71" t="s">
        <v>1523</v>
      </c>
      <c r="M61" s="71" t="s">
        <v>1522</v>
      </c>
      <c r="N61" s="71" t="s">
        <v>1463</v>
      </c>
      <c r="O61" s="71" t="s">
        <v>1462</v>
      </c>
      <c r="P61" s="71"/>
      <c r="Q61" s="71"/>
      <c r="R61" s="71"/>
      <c r="S61" s="71"/>
      <c r="T61" s="71"/>
      <c r="U61" s="71"/>
    </row>
    <row r="62" spans="1:21" x14ac:dyDescent="0.2">
      <c r="A62" s="137">
        <v>61</v>
      </c>
      <c r="B62" s="71">
        <v>2171907402</v>
      </c>
      <c r="C62" s="71">
        <v>402</v>
      </c>
      <c r="D62" s="71">
        <v>2</v>
      </c>
      <c r="E62" s="71">
        <v>17</v>
      </c>
      <c r="F62" s="71">
        <v>19</v>
      </c>
      <c r="G62" s="19" t="s">
        <v>1798</v>
      </c>
      <c r="H62" s="71" t="s">
        <v>1795</v>
      </c>
      <c r="I62" s="71">
        <v>2</v>
      </c>
      <c r="J62" s="71" t="s">
        <v>1484</v>
      </c>
      <c r="K62" s="71" t="s">
        <v>1483</v>
      </c>
      <c r="L62" s="71" t="s">
        <v>1523</v>
      </c>
      <c r="M62" s="71" t="s">
        <v>1522</v>
      </c>
      <c r="N62" s="71" t="s">
        <v>1463</v>
      </c>
      <c r="O62" s="71" t="s">
        <v>1462</v>
      </c>
      <c r="P62" s="71"/>
      <c r="Q62" s="71"/>
      <c r="R62" s="71" t="s">
        <v>1560</v>
      </c>
      <c r="S62" s="71" t="s">
        <v>1560</v>
      </c>
      <c r="T62" s="71" t="s">
        <v>1634</v>
      </c>
      <c r="U62" s="71" t="s">
        <v>1635</v>
      </c>
    </row>
    <row r="63" spans="1:21" x14ac:dyDescent="0.2">
      <c r="A63" s="137">
        <v>62</v>
      </c>
      <c r="B63" s="71">
        <v>2171907403</v>
      </c>
      <c r="C63" s="71">
        <v>403</v>
      </c>
      <c r="D63" s="71">
        <v>2</v>
      </c>
      <c r="E63" s="71">
        <v>17</v>
      </c>
      <c r="F63" s="71">
        <v>19</v>
      </c>
      <c r="G63" s="19" t="s">
        <v>1798</v>
      </c>
      <c r="H63" s="71" t="s">
        <v>1795</v>
      </c>
      <c r="I63" s="71">
        <v>3</v>
      </c>
      <c r="J63" s="71" t="s">
        <v>1484</v>
      </c>
      <c r="K63" s="71" t="s">
        <v>1483</v>
      </c>
      <c r="L63" s="71" t="s">
        <v>1523</v>
      </c>
      <c r="M63" s="71" t="s">
        <v>1522</v>
      </c>
      <c r="N63" s="71" t="s">
        <v>1463</v>
      </c>
      <c r="O63" s="71" t="s">
        <v>1462</v>
      </c>
      <c r="P63" s="71"/>
      <c r="Q63" s="71"/>
      <c r="R63" s="71" t="s">
        <v>1636</v>
      </c>
      <c r="S63" s="71" t="s">
        <v>1637</v>
      </c>
      <c r="T63" s="71" t="s">
        <v>1560</v>
      </c>
      <c r="U63" s="71" t="s">
        <v>1560</v>
      </c>
    </row>
    <row r="64" spans="1:21" x14ac:dyDescent="0.2">
      <c r="A64" s="137">
        <v>63</v>
      </c>
      <c r="B64" s="71">
        <v>2171907404</v>
      </c>
      <c r="C64" s="71">
        <v>404</v>
      </c>
      <c r="D64" s="71">
        <v>2</v>
      </c>
      <c r="E64" s="71">
        <v>17</v>
      </c>
      <c r="F64" s="71">
        <v>19</v>
      </c>
      <c r="G64" s="19" t="s">
        <v>1798</v>
      </c>
      <c r="H64" s="71" t="s">
        <v>1795</v>
      </c>
      <c r="I64" s="71">
        <v>2</v>
      </c>
      <c r="J64" s="71" t="s">
        <v>1484</v>
      </c>
      <c r="K64" s="71" t="s">
        <v>1483</v>
      </c>
      <c r="L64" s="71" t="s">
        <v>1523</v>
      </c>
      <c r="M64" s="71" t="s">
        <v>1522</v>
      </c>
      <c r="N64" s="71" t="s">
        <v>1463</v>
      </c>
      <c r="O64" s="71" t="s">
        <v>1462</v>
      </c>
      <c r="P64" s="71"/>
      <c r="Q64" s="71"/>
      <c r="R64" s="71"/>
      <c r="S64" s="71"/>
      <c r="T64" s="71"/>
      <c r="U64" s="71"/>
    </row>
    <row r="65" spans="1:21" x14ac:dyDescent="0.2">
      <c r="A65" s="137">
        <v>64</v>
      </c>
      <c r="B65" s="71">
        <v>2171907405</v>
      </c>
      <c r="C65" s="71">
        <v>405</v>
      </c>
      <c r="D65" s="71">
        <v>2</v>
      </c>
      <c r="E65" s="71">
        <v>17</v>
      </c>
      <c r="F65" s="71">
        <v>19</v>
      </c>
      <c r="G65" s="19" t="s">
        <v>1798</v>
      </c>
      <c r="H65" s="71" t="s">
        <v>1795</v>
      </c>
      <c r="I65" s="71">
        <v>2</v>
      </c>
      <c r="J65" s="71" t="s">
        <v>1484</v>
      </c>
      <c r="K65" s="71" t="s">
        <v>1483</v>
      </c>
      <c r="L65" s="71" t="s">
        <v>1523</v>
      </c>
      <c r="M65" s="71" t="s">
        <v>1522</v>
      </c>
      <c r="N65" s="71" t="s">
        <v>1463</v>
      </c>
      <c r="O65" s="71" t="s">
        <v>1462</v>
      </c>
      <c r="P65" s="71"/>
      <c r="Q65" s="71"/>
      <c r="R65" s="71" t="s">
        <v>1638</v>
      </c>
      <c r="S65" s="71" t="s">
        <v>1639</v>
      </c>
      <c r="T65" s="71" t="s">
        <v>1560</v>
      </c>
      <c r="U65" s="71" t="s">
        <v>1560</v>
      </c>
    </row>
    <row r="66" spans="1:21" x14ac:dyDescent="0.2">
      <c r="A66" s="137">
        <v>65</v>
      </c>
      <c r="B66" s="71">
        <v>2171907406</v>
      </c>
      <c r="C66" s="71">
        <v>406</v>
      </c>
      <c r="D66" s="71">
        <v>2</v>
      </c>
      <c r="E66" s="71">
        <v>17</v>
      </c>
      <c r="F66" s="71">
        <v>19</v>
      </c>
      <c r="G66" s="19" t="s">
        <v>1798</v>
      </c>
      <c r="H66" s="71" t="s">
        <v>1795</v>
      </c>
      <c r="I66" s="71">
        <v>2</v>
      </c>
      <c r="J66" s="71" t="s">
        <v>1484</v>
      </c>
      <c r="K66" s="71" t="s">
        <v>1483</v>
      </c>
      <c r="L66" s="71" t="s">
        <v>1523</v>
      </c>
      <c r="M66" s="71" t="s">
        <v>1522</v>
      </c>
      <c r="N66" s="71" t="s">
        <v>1463</v>
      </c>
      <c r="O66" s="71" t="s">
        <v>1462</v>
      </c>
      <c r="P66" s="71"/>
      <c r="Q66" s="71"/>
      <c r="R66" s="71" t="s">
        <v>283</v>
      </c>
      <c r="S66" s="71" t="s">
        <v>1640</v>
      </c>
      <c r="T66" s="71" t="s">
        <v>1560</v>
      </c>
      <c r="U66" s="71" t="s">
        <v>1560</v>
      </c>
    </row>
    <row r="67" spans="1:21" x14ac:dyDescent="0.2">
      <c r="A67" s="137">
        <v>66</v>
      </c>
      <c r="B67" s="71">
        <v>2171907407</v>
      </c>
      <c r="C67" s="71">
        <v>407</v>
      </c>
      <c r="D67" s="71">
        <v>2</v>
      </c>
      <c r="E67" s="71">
        <v>17</v>
      </c>
      <c r="F67" s="71">
        <v>19</v>
      </c>
      <c r="G67" s="19" t="s">
        <v>1798</v>
      </c>
      <c r="H67" s="71" t="s">
        <v>1795</v>
      </c>
      <c r="I67" s="71">
        <v>2</v>
      </c>
      <c r="J67" s="71" t="s">
        <v>1484</v>
      </c>
      <c r="K67" s="71" t="s">
        <v>1483</v>
      </c>
      <c r="L67" s="71" t="s">
        <v>1523</v>
      </c>
      <c r="M67" s="71" t="s">
        <v>1522</v>
      </c>
      <c r="N67" s="71" t="s">
        <v>1463</v>
      </c>
      <c r="O67" s="71" t="s">
        <v>1462</v>
      </c>
      <c r="P67" s="71"/>
      <c r="Q67" s="71"/>
      <c r="R67" s="71" t="s">
        <v>1641</v>
      </c>
      <c r="S67" s="71" t="s">
        <v>1642</v>
      </c>
      <c r="T67" s="71" t="s">
        <v>1641</v>
      </c>
      <c r="U67" s="71" t="s">
        <v>1642</v>
      </c>
    </row>
    <row r="68" spans="1:21" x14ac:dyDescent="0.2">
      <c r="A68" s="137">
        <v>67</v>
      </c>
      <c r="B68" s="71">
        <v>2171907408</v>
      </c>
      <c r="C68" s="71">
        <v>408</v>
      </c>
      <c r="D68" s="71">
        <v>2</v>
      </c>
      <c r="E68" s="71">
        <v>17</v>
      </c>
      <c r="F68" s="71">
        <v>19</v>
      </c>
      <c r="G68" s="19" t="s">
        <v>1798</v>
      </c>
      <c r="H68" s="71" t="s">
        <v>1795</v>
      </c>
      <c r="I68" s="71">
        <v>2</v>
      </c>
      <c r="J68" s="71" t="s">
        <v>1484</v>
      </c>
      <c r="K68" s="71" t="s">
        <v>1483</v>
      </c>
      <c r="L68" s="71" t="s">
        <v>1523</v>
      </c>
      <c r="M68" s="71" t="s">
        <v>1522</v>
      </c>
      <c r="N68" s="71" t="s">
        <v>1463</v>
      </c>
      <c r="O68" s="71" t="s">
        <v>1462</v>
      </c>
      <c r="P68" s="71"/>
      <c r="Q68" s="71"/>
      <c r="R68" s="71"/>
      <c r="S68" s="71"/>
      <c r="T68" s="71"/>
      <c r="U68" s="71"/>
    </row>
    <row r="69" spans="1:21" x14ac:dyDescent="0.2">
      <c r="A69" s="137">
        <v>68</v>
      </c>
      <c r="B69" s="71">
        <v>2181207503</v>
      </c>
      <c r="C69" s="71">
        <v>503</v>
      </c>
      <c r="D69" s="71">
        <v>2</v>
      </c>
      <c r="E69" s="71">
        <v>18</v>
      </c>
      <c r="F69" s="71">
        <v>12</v>
      </c>
      <c r="G69" s="71" t="s">
        <v>94</v>
      </c>
      <c r="H69" s="71" t="s">
        <v>1643</v>
      </c>
      <c r="I69" s="71">
        <v>6</v>
      </c>
      <c r="J69" s="71" t="s">
        <v>1453</v>
      </c>
      <c r="K69" s="71" t="s">
        <v>1452</v>
      </c>
      <c r="L69" s="71" t="s">
        <v>362</v>
      </c>
      <c r="M69" s="71" t="s">
        <v>1478</v>
      </c>
      <c r="N69" s="71" t="s">
        <v>359</v>
      </c>
      <c r="O69" s="71" t="s">
        <v>1531</v>
      </c>
      <c r="P69" s="71"/>
      <c r="Q69" s="71"/>
      <c r="R69" s="71"/>
      <c r="S69" s="71"/>
      <c r="T69" s="71"/>
      <c r="U69" s="71"/>
    </row>
    <row r="70" spans="1:21" x14ac:dyDescent="0.2">
      <c r="A70" s="137">
        <v>69</v>
      </c>
      <c r="B70" s="71">
        <v>2181207504</v>
      </c>
      <c r="C70" s="71">
        <v>504</v>
      </c>
      <c r="D70" s="71">
        <v>2</v>
      </c>
      <c r="E70" s="71">
        <v>18</v>
      </c>
      <c r="F70" s="71">
        <v>12</v>
      </c>
      <c r="G70" s="71" t="s">
        <v>94</v>
      </c>
      <c r="H70" s="71" t="s">
        <v>1643</v>
      </c>
      <c r="I70" s="71">
        <v>2</v>
      </c>
      <c r="J70" s="71" t="s">
        <v>1453</v>
      </c>
      <c r="K70" s="71" t="s">
        <v>1452</v>
      </c>
      <c r="L70" s="71" t="s">
        <v>362</v>
      </c>
      <c r="M70" s="71" t="s">
        <v>1478</v>
      </c>
      <c r="N70" s="71" t="s">
        <v>359</v>
      </c>
      <c r="O70" s="71" t="s">
        <v>1531</v>
      </c>
      <c r="P70" s="71"/>
      <c r="Q70" s="71"/>
      <c r="R70" s="71"/>
      <c r="S70" s="71"/>
      <c r="T70" s="71"/>
      <c r="U70" s="71"/>
    </row>
    <row r="71" spans="1:21" x14ac:dyDescent="0.2">
      <c r="A71" s="137">
        <v>70</v>
      </c>
      <c r="B71" s="71">
        <v>2181207505</v>
      </c>
      <c r="C71" s="71">
        <v>505</v>
      </c>
      <c r="D71" s="71">
        <v>2</v>
      </c>
      <c r="E71" s="71">
        <v>18</v>
      </c>
      <c r="F71" s="71">
        <v>12</v>
      </c>
      <c r="G71" s="71" t="s">
        <v>94</v>
      </c>
      <c r="H71" s="71" t="s">
        <v>1643</v>
      </c>
      <c r="I71" s="71">
        <v>4</v>
      </c>
      <c r="J71" s="71" t="s">
        <v>1453</v>
      </c>
      <c r="K71" s="71" t="s">
        <v>1452</v>
      </c>
      <c r="L71" s="71" t="s">
        <v>362</v>
      </c>
      <c r="M71" s="71" t="s">
        <v>1478</v>
      </c>
      <c r="N71" s="71" t="s">
        <v>359</v>
      </c>
      <c r="O71" s="71" t="s">
        <v>1531</v>
      </c>
      <c r="P71" s="71"/>
      <c r="Q71" s="71"/>
      <c r="R71" s="71" t="s">
        <v>1644</v>
      </c>
      <c r="S71" s="71" t="s">
        <v>1645</v>
      </c>
      <c r="T71" s="71" t="s">
        <v>1560</v>
      </c>
      <c r="U71" s="71" t="s">
        <v>1560</v>
      </c>
    </row>
    <row r="72" spans="1:21" x14ac:dyDescent="0.2">
      <c r="A72" s="137">
        <v>71</v>
      </c>
      <c r="B72" s="71">
        <v>2181207506</v>
      </c>
      <c r="C72" s="71">
        <v>506</v>
      </c>
      <c r="D72" s="71">
        <v>2</v>
      </c>
      <c r="E72" s="71">
        <v>18</v>
      </c>
      <c r="F72" s="71">
        <v>12</v>
      </c>
      <c r="G72" s="71" t="s">
        <v>94</v>
      </c>
      <c r="H72" s="71" t="s">
        <v>1643</v>
      </c>
      <c r="I72" s="71">
        <v>4</v>
      </c>
      <c r="J72" s="71" t="s">
        <v>1453</v>
      </c>
      <c r="K72" s="71" t="s">
        <v>1452</v>
      </c>
      <c r="L72" s="71" t="s">
        <v>362</v>
      </c>
      <c r="M72" s="71" t="s">
        <v>1478</v>
      </c>
      <c r="N72" s="71" t="s">
        <v>359</v>
      </c>
      <c r="O72" s="71" t="s">
        <v>1531</v>
      </c>
      <c r="P72" s="71"/>
      <c r="Q72" s="71"/>
      <c r="R72" s="71"/>
      <c r="S72" s="71"/>
      <c r="T72" s="71"/>
      <c r="U72" s="71"/>
    </row>
    <row r="73" spans="1:21" x14ac:dyDescent="0.2">
      <c r="A73" s="137">
        <v>72</v>
      </c>
      <c r="B73" s="71">
        <v>2181207507</v>
      </c>
      <c r="C73" s="71">
        <v>507</v>
      </c>
      <c r="D73" s="71">
        <v>2</v>
      </c>
      <c r="E73" s="71">
        <v>18</v>
      </c>
      <c r="F73" s="71">
        <v>12</v>
      </c>
      <c r="G73" s="71" t="s">
        <v>94</v>
      </c>
      <c r="H73" s="71" t="s">
        <v>1643</v>
      </c>
      <c r="I73" s="71">
        <v>3</v>
      </c>
      <c r="J73" s="71" t="s">
        <v>1453</v>
      </c>
      <c r="K73" s="71" t="s">
        <v>1452</v>
      </c>
      <c r="L73" s="71" t="s">
        <v>362</v>
      </c>
      <c r="M73" s="71" t="s">
        <v>1478</v>
      </c>
      <c r="N73" s="71" t="s">
        <v>359</v>
      </c>
      <c r="O73" s="71" t="s">
        <v>1531</v>
      </c>
      <c r="P73" s="71"/>
      <c r="Q73" s="71"/>
      <c r="R73" s="71"/>
      <c r="S73" s="71"/>
      <c r="T73" s="71"/>
      <c r="U73" s="71"/>
    </row>
    <row r="74" spans="1:21" x14ac:dyDescent="0.2">
      <c r="A74" s="137">
        <v>73</v>
      </c>
      <c r="B74" s="71">
        <v>2181207508</v>
      </c>
      <c r="C74" s="71">
        <v>508</v>
      </c>
      <c r="D74" s="71">
        <v>2</v>
      </c>
      <c r="E74" s="71">
        <v>18</v>
      </c>
      <c r="F74" s="71">
        <v>12</v>
      </c>
      <c r="G74" s="71" t="s">
        <v>94</v>
      </c>
      <c r="H74" s="71" t="s">
        <v>1643</v>
      </c>
      <c r="I74" s="71">
        <v>4</v>
      </c>
      <c r="J74" s="71" t="s">
        <v>1453</v>
      </c>
      <c r="K74" s="71" t="s">
        <v>1452</v>
      </c>
      <c r="L74" s="71" t="s">
        <v>362</v>
      </c>
      <c r="M74" s="71" t="s">
        <v>1478</v>
      </c>
      <c r="N74" s="71" t="s">
        <v>359</v>
      </c>
      <c r="O74" s="71" t="s">
        <v>1531</v>
      </c>
      <c r="P74" s="71"/>
      <c r="Q74" s="71"/>
      <c r="R74" s="71" t="s">
        <v>1646</v>
      </c>
      <c r="S74" s="71" t="s">
        <v>1647</v>
      </c>
      <c r="T74" s="71" t="s">
        <v>1646</v>
      </c>
      <c r="U74" s="71" t="s">
        <v>1647</v>
      </c>
    </row>
    <row r="75" spans="1:21" x14ac:dyDescent="0.2">
      <c r="A75" s="137">
        <v>74</v>
      </c>
      <c r="B75" s="71">
        <v>2181207509</v>
      </c>
      <c r="C75" s="71">
        <v>509</v>
      </c>
      <c r="D75" s="71">
        <v>2</v>
      </c>
      <c r="E75" s="71">
        <v>18</v>
      </c>
      <c r="F75" s="71">
        <v>12</v>
      </c>
      <c r="G75" s="71" t="s">
        <v>94</v>
      </c>
      <c r="H75" s="71" t="s">
        <v>1643</v>
      </c>
      <c r="I75" s="71">
        <v>2</v>
      </c>
      <c r="J75" s="71" t="s">
        <v>1453</v>
      </c>
      <c r="K75" s="71" t="s">
        <v>1452</v>
      </c>
      <c r="L75" s="71" t="s">
        <v>362</v>
      </c>
      <c r="M75" s="71" t="s">
        <v>1478</v>
      </c>
      <c r="N75" s="71" t="s">
        <v>359</v>
      </c>
      <c r="O75" s="71" t="s">
        <v>1531</v>
      </c>
      <c r="P75" s="71"/>
      <c r="Q75" s="71"/>
      <c r="R75" s="71" t="s">
        <v>1648</v>
      </c>
      <c r="S75" s="71" t="s">
        <v>1649</v>
      </c>
      <c r="T75" s="71" t="s">
        <v>1560</v>
      </c>
      <c r="U75" s="71" t="s">
        <v>1560</v>
      </c>
    </row>
    <row r="76" spans="1:21" x14ac:dyDescent="0.2">
      <c r="A76" s="137">
        <v>75</v>
      </c>
      <c r="B76" s="71">
        <v>2181207510</v>
      </c>
      <c r="C76" s="71">
        <v>510</v>
      </c>
      <c r="D76" s="71">
        <v>2</v>
      </c>
      <c r="E76" s="71">
        <v>18</v>
      </c>
      <c r="F76" s="71">
        <v>12</v>
      </c>
      <c r="G76" s="71" t="s">
        <v>94</v>
      </c>
      <c r="H76" s="71" t="s">
        <v>1643</v>
      </c>
      <c r="I76" s="71">
        <v>3</v>
      </c>
      <c r="J76" s="71" t="s">
        <v>1453</v>
      </c>
      <c r="K76" s="71" t="s">
        <v>1452</v>
      </c>
      <c r="L76" s="71" t="s">
        <v>362</v>
      </c>
      <c r="M76" s="71" t="s">
        <v>1478</v>
      </c>
      <c r="N76" s="71" t="s">
        <v>359</v>
      </c>
      <c r="O76" s="71" t="s">
        <v>1531</v>
      </c>
      <c r="P76" s="71"/>
      <c r="Q76" s="71"/>
      <c r="R76" s="71" t="s">
        <v>1650</v>
      </c>
      <c r="S76" s="71" t="s">
        <v>1651</v>
      </c>
      <c r="T76" s="71" t="s">
        <v>1650</v>
      </c>
      <c r="U76" s="71" t="s">
        <v>1651</v>
      </c>
    </row>
    <row r="77" spans="1:21" x14ac:dyDescent="0.2">
      <c r="A77" s="137">
        <v>76</v>
      </c>
      <c r="B77" s="71">
        <v>2181007800</v>
      </c>
      <c r="C77" s="71">
        <v>800</v>
      </c>
      <c r="D77" s="71">
        <v>2</v>
      </c>
      <c r="E77" s="71">
        <v>18</v>
      </c>
      <c r="F77" s="71">
        <v>10</v>
      </c>
      <c r="G77" s="71" t="s">
        <v>94</v>
      </c>
      <c r="H77" s="71" t="s">
        <v>1643</v>
      </c>
      <c r="I77" s="71">
        <v>2</v>
      </c>
      <c r="J77" s="71" t="s">
        <v>1453</v>
      </c>
      <c r="K77" s="71" t="s">
        <v>1452</v>
      </c>
      <c r="L77" s="71" t="s">
        <v>362</v>
      </c>
      <c r="M77" s="71" t="s">
        <v>1478</v>
      </c>
      <c r="N77" s="71" t="s">
        <v>359</v>
      </c>
      <c r="O77" s="71" t="s">
        <v>1531</v>
      </c>
      <c r="P77" s="71"/>
      <c r="Q77" s="71"/>
      <c r="R77" s="71"/>
      <c r="S77" s="71"/>
      <c r="T77" s="71"/>
      <c r="U77" s="71"/>
    </row>
    <row r="78" spans="1:21" x14ac:dyDescent="0.2">
      <c r="A78" s="137">
        <v>77</v>
      </c>
      <c r="B78" s="71">
        <v>2181007801</v>
      </c>
      <c r="C78" s="71">
        <v>801</v>
      </c>
      <c r="D78" s="71">
        <v>2</v>
      </c>
      <c r="E78" s="71">
        <v>18</v>
      </c>
      <c r="F78" s="71">
        <v>10</v>
      </c>
      <c r="G78" s="71" t="s">
        <v>94</v>
      </c>
      <c r="H78" s="71" t="s">
        <v>1643</v>
      </c>
      <c r="I78" s="71">
        <v>3</v>
      </c>
      <c r="J78" s="71" t="s">
        <v>1453</v>
      </c>
      <c r="K78" s="71" t="s">
        <v>1452</v>
      </c>
      <c r="L78" s="71" t="s">
        <v>362</v>
      </c>
      <c r="M78" s="71" t="s">
        <v>1478</v>
      </c>
      <c r="N78" s="71" t="s">
        <v>359</v>
      </c>
      <c r="O78" s="71" t="s">
        <v>1531</v>
      </c>
      <c r="P78" s="71"/>
      <c r="Q78" s="71"/>
      <c r="R78" s="71" t="s">
        <v>359</v>
      </c>
      <c r="S78" s="71" t="s">
        <v>1531</v>
      </c>
      <c r="T78" s="71" t="s">
        <v>1560</v>
      </c>
      <c r="U78" s="71" t="s">
        <v>1560</v>
      </c>
    </row>
    <row r="79" spans="1:21" x14ac:dyDescent="0.2">
      <c r="A79" s="137">
        <v>78</v>
      </c>
      <c r="B79" s="71">
        <v>2181007802</v>
      </c>
      <c r="C79" s="71">
        <v>802</v>
      </c>
      <c r="D79" s="71">
        <v>2</v>
      </c>
      <c r="E79" s="71">
        <v>18</v>
      </c>
      <c r="F79" s="71">
        <v>10</v>
      </c>
      <c r="G79" s="71" t="s">
        <v>94</v>
      </c>
      <c r="H79" s="71" t="s">
        <v>1643</v>
      </c>
      <c r="I79" s="71">
        <v>4</v>
      </c>
      <c r="J79" s="71" t="s">
        <v>1453</v>
      </c>
      <c r="K79" s="71" t="s">
        <v>1452</v>
      </c>
      <c r="L79" s="71" t="s">
        <v>362</v>
      </c>
      <c r="M79" s="71" t="s">
        <v>1478</v>
      </c>
      <c r="N79" s="71" t="s">
        <v>359</v>
      </c>
      <c r="O79" s="71" t="s">
        <v>1531</v>
      </c>
      <c r="P79" s="71"/>
      <c r="Q79" s="71"/>
      <c r="R79" s="71" t="s">
        <v>1652</v>
      </c>
      <c r="S79" s="71" t="s">
        <v>1653</v>
      </c>
      <c r="T79" s="71" t="s">
        <v>1652</v>
      </c>
      <c r="U79" s="71" t="s">
        <v>1653</v>
      </c>
    </row>
    <row r="80" spans="1:21" x14ac:dyDescent="0.2">
      <c r="A80" s="137">
        <v>79</v>
      </c>
      <c r="B80" s="71">
        <v>2181007808</v>
      </c>
      <c r="C80" s="71">
        <v>808</v>
      </c>
      <c r="D80" s="71">
        <v>2</v>
      </c>
      <c r="E80" s="71">
        <v>18</v>
      </c>
      <c r="F80" s="71">
        <v>10</v>
      </c>
      <c r="G80" s="71" t="s">
        <v>94</v>
      </c>
      <c r="H80" s="71" t="s">
        <v>1643</v>
      </c>
      <c r="I80" s="71">
        <v>3</v>
      </c>
      <c r="J80" s="71" t="s">
        <v>1453</v>
      </c>
      <c r="K80" s="71" t="s">
        <v>1452</v>
      </c>
      <c r="L80" s="71" t="s">
        <v>362</v>
      </c>
      <c r="M80" s="71" t="s">
        <v>1478</v>
      </c>
      <c r="N80" s="71" t="s">
        <v>359</v>
      </c>
      <c r="O80" s="71" t="s">
        <v>1531</v>
      </c>
      <c r="P80" s="71"/>
      <c r="Q80" s="71"/>
      <c r="R80" s="71"/>
      <c r="S80" s="71"/>
      <c r="T80" s="71"/>
      <c r="U80" s="71"/>
    </row>
    <row r="81" spans="1:22" x14ac:dyDescent="0.2">
      <c r="A81" s="137">
        <v>80</v>
      </c>
      <c r="B81" s="71">
        <v>2181007809</v>
      </c>
      <c r="C81" s="71">
        <v>809</v>
      </c>
      <c r="D81" s="71">
        <v>2</v>
      </c>
      <c r="E81" s="71">
        <v>18</v>
      </c>
      <c r="F81" s="71">
        <v>10</v>
      </c>
      <c r="G81" s="71" t="s">
        <v>94</v>
      </c>
      <c r="H81" s="71" t="s">
        <v>1643</v>
      </c>
      <c r="I81" s="71">
        <v>4</v>
      </c>
      <c r="J81" s="71" t="s">
        <v>1453</v>
      </c>
      <c r="K81" s="71" t="s">
        <v>1452</v>
      </c>
      <c r="L81" s="71" t="s">
        <v>362</v>
      </c>
      <c r="M81" s="71" t="s">
        <v>1478</v>
      </c>
      <c r="N81" s="71" t="s">
        <v>359</v>
      </c>
      <c r="O81" s="71" t="s">
        <v>1531</v>
      </c>
      <c r="P81" s="71"/>
      <c r="Q81" s="71"/>
      <c r="R81" s="71" t="s">
        <v>1654</v>
      </c>
      <c r="S81" s="71" t="s">
        <v>1655</v>
      </c>
      <c r="T81" s="71" t="s">
        <v>1654</v>
      </c>
      <c r="U81" s="71" t="s">
        <v>1655</v>
      </c>
    </row>
    <row r="82" spans="1:22" x14ac:dyDescent="0.2">
      <c r="A82" s="137">
        <v>81</v>
      </c>
      <c r="B82" s="71">
        <v>2181007819</v>
      </c>
      <c r="C82" s="71">
        <v>819</v>
      </c>
      <c r="D82" s="71">
        <v>2</v>
      </c>
      <c r="E82" s="71">
        <v>18</v>
      </c>
      <c r="F82" s="71">
        <v>10</v>
      </c>
      <c r="G82" s="71" t="s">
        <v>94</v>
      </c>
      <c r="H82" s="71" t="s">
        <v>1643</v>
      </c>
      <c r="I82" s="71">
        <v>2</v>
      </c>
      <c r="J82" s="71" t="s">
        <v>1453</v>
      </c>
      <c r="K82" s="71" t="s">
        <v>1452</v>
      </c>
      <c r="L82" s="71" t="s">
        <v>362</v>
      </c>
      <c r="M82" s="71" t="s">
        <v>1478</v>
      </c>
      <c r="N82" s="71" t="s">
        <v>359</v>
      </c>
      <c r="O82" s="71" t="s">
        <v>1531</v>
      </c>
      <c r="P82" s="71"/>
      <c r="Q82" s="71"/>
      <c r="R82" s="71" t="s">
        <v>1656</v>
      </c>
      <c r="S82" s="71" t="s">
        <v>1657</v>
      </c>
      <c r="T82" s="71" t="s">
        <v>1560</v>
      </c>
      <c r="U82" s="71" t="s">
        <v>1560</v>
      </c>
    </row>
    <row r="83" spans="1:22" x14ac:dyDescent="0.2">
      <c r="A83" s="137">
        <v>82</v>
      </c>
      <c r="B83" s="71">
        <v>2171207300</v>
      </c>
      <c r="C83" s="71">
        <v>300</v>
      </c>
      <c r="D83" s="71">
        <v>2</v>
      </c>
      <c r="E83" s="71">
        <v>17</v>
      </c>
      <c r="F83" s="71">
        <v>12</v>
      </c>
      <c r="G83" s="71" t="s">
        <v>130</v>
      </c>
      <c r="H83" s="71" t="s">
        <v>1658</v>
      </c>
      <c r="I83" s="71">
        <v>4</v>
      </c>
      <c r="J83" s="71" t="s">
        <v>306</v>
      </c>
      <c r="K83" s="71" t="s">
        <v>1458</v>
      </c>
      <c r="L83" s="71"/>
      <c r="M83" s="71"/>
      <c r="N83" s="71"/>
      <c r="O83" s="71"/>
      <c r="P83" s="71"/>
      <c r="Q83" s="71"/>
      <c r="R83" s="71"/>
      <c r="S83" s="71"/>
      <c r="T83" s="71"/>
      <c r="U83" s="71"/>
      <c r="V83" t="s">
        <v>97</v>
      </c>
    </row>
    <row r="84" spans="1:22" x14ac:dyDescent="0.2">
      <c r="A84" s="137">
        <v>83</v>
      </c>
      <c r="B84" s="71">
        <v>2171207301</v>
      </c>
      <c r="C84" s="71">
        <v>301</v>
      </c>
      <c r="D84" s="71">
        <v>2</v>
      </c>
      <c r="E84" s="71">
        <v>17</v>
      </c>
      <c r="F84" s="71">
        <v>12</v>
      </c>
      <c r="G84" s="71" t="s">
        <v>130</v>
      </c>
      <c r="H84" s="71" t="s">
        <v>1658</v>
      </c>
      <c r="I84" s="71">
        <v>4</v>
      </c>
      <c r="J84" s="71" t="s">
        <v>306</v>
      </c>
      <c r="K84" s="71" t="s">
        <v>1458</v>
      </c>
      <c r="L84" s="71"/>
      <c r="M84" s="71"/>
      <c r="N84" s="71"/>
      <c r="O84" s="71"/>
      <c r="P84" s="71"/>
      <c r="Q84" s="71"/>
      <c r="R84" s="71"/>
      <c r="S84" s="71"/>
      <c r="T84" s="71"/>
      <c r="U84" s="71"/>
    </row>
    <row r="85" spans="1:22" x14ac:dyDescent="0.2">
      <c r="A85" s="137">
        <v>84</v>
      </c>
      <c r="B85" s="71">
        <v>2171207302</v>
      </c>
      <c r="C85" s="71">
        <v>302</v>
      </c>
      <c r="D85" s="71">
        <v>2</v>
      </c>
      <c r="E85" s="71">
        <v>17</v>
      </c>
      <c r="F85" s="71">
        <v>12</v>
      </c>
      <c r="G85" s="71" t="s">
        <v>130</v>
      </c>
      <c r="H85" s="71" t="s">
        <v>1658</v>
      </c>
      <c r="I85" s="71">
        <v>2</v>
      </c>
      <c r="J85" s="71" t="s">
        <v>306</v>
      </c>
      <c r="K85" s="71" t="s">
        <v>1458</v>
      </c>
      <c r="L85" s="71"/>
      <c r="M85" s="71"/>
      <c r="N85" s="71"/>
      <c r="O85" s="71"/>
      <c r="P85" s="71"/>
      <c r="Q85" s="71"/>
      <c r="R85" s="71" t="s">
        <v>1659</v>
      </c>
      <c r="S85" s="71" t="s">
        <v>1660</v>
      </c>
      <c r="T85" s="71" t="s">
        <v>1659</v>
      </c>
      <c r="U85" s="71" t="s">
        <v>1660</v>
      </c>
    </row>
    <row r="86" spans="1:22" x14ac:dyDescent="0.2">
      <c r="A86" s="137">
        <v>85</v>
      </c>
      <c r="B86" s="71">
        <v>2171207303</v>
      </c>
      <c r="C86" s="71">
        <v>303</v>
      </c>
      <c r="D86" s="71">
        <v>2</v>
      </c>
      <c r="E86" s="71">
        <v>17</v>
      </c>
      <c r="F86" s="71">
        <v>12</v>
      </c>
      <c r="G86" s="71" t="s">
        <v>130</v>
      </c>
      <c r="H86" s="71" t="s">
        <v>1658</v>
      </c>
      <c r="I86" s="71">
        <v>3</v>
      </c>
      <c r="J86" s="71" t="s">
        <v>306</v>
      </c>
      <c r="K86" s="71" t="s">
        <v>1458</v>
      </c>
      <c r="L86" s="71"/>
      <c r="M86" s="71"/>
      <c r="N86" s="71"/>
      <c r="O86" s="71"/>
      <c r="P86" s="71"/>
      <c r="Q86" s="71"/>
      <c r="R86" s="71"/>
      <c r="S86" s="71"/>
      <c r="T86" s="71"/>
      <c r="U86" s="71"/>
    </row>
    <row r="87" spans="1:22" x14ac:dyDescent="0.2">
      <c r="A87" s="137">
        <v>86</v>
      </c>
      <c r="B87" s="71">
        <v>2171207304</v>
      </c>
      <c r="C87" s="71">
        <v>304</v>
      </c>
      <c r="D87" s="71">
        <v>2</v>
      </c>
      <c r="E87" s="71">
        <v>17</v>
      </c>
      <c r="F87" s="71">
        <v>12</v>
      </c>
      <c r="G87" s="71" t="s">
        <v>130</v>
      </c>
      <c r="H87" s="71" t="s">
        <v>1658</v>
      </c>
      <c r="I87" s="71">
        <v>2</v>
      </c>
      <c r="J87" s="71" t="s">
        <v>306</v>
      </c>
      <c r="K87" s="71" t="s">
        <v>1458</v>
      </c>
      <c r="L87" s="71"/>
      <c r="M87" s="71"/>
      <c r="N87" s="71"/>
      <c r="O87" s="71"/>
      <c r="P87" s="71"/>
      <c r="Q87" s="71"/>
      <c r="R87" s="71"/>
      <c r="S87" s="71"/>
      <c r="T87" s="71"/>
      <c r="U87" s="71"/>
    </row>
    <row r="88" spans="1:22" x14ac:dyDescent="0.2">
      <c r="A88" s="137">
        <v>87</v>
      </c>
      <c r="B88" s="71">
        <v>2171207305</v>
      </c>
      <c r="C88" s="71">
        <v>305</v>
      </c>
      <c r="D88" s="71">
        <v>2</v>
      </c>
      <c r="E88" s="71">
        <v>17</v>
      </c>
      <c r="F88" s="71">
        <v>12</v>
      </c>
      <c r="G88" s="71" t="s">
        <v>130</v>
      </c>
      <c r="H88" s="71" t="s">
        <v>1658</v>
      </c>
      <c r="I88" s="71">
        <v>3</v>
      </c>
      <c r="J88" s="71" t="s">
        <v>306</v>
      </c>
      <c r="K88" s="71" t="s">
        <v>1458</v>
      </c>
      <c r="L88" s="71"/>
      <c r="M88" s="71"/>
      <c r="N88" s="71"/>
      <c r="O88" s="71"/>
      <c r="P88" s="71"/>
      <c r="Q88" s="71"/>
      <c r="R88" s="71"/>
      <c r="S88" s="71"/>
      <c r="T88" s="71"/>
      <c r="U88" s="71"/>
    </row>
    <row r="89" spans="1:22" x14ac:dyDescent="0.2">
      <c r="A89" s="137">
        <v>88</v>
      </c>
      <c r="B89" s="71">
        <v>2171207306</v>
      </c>
      <c r="C89" s="71">
        <v>306</v>
      </c>
      <c r="D89" s="71">
        <v>2</v>
      </c>
      <c r="E89" s="71">
        <v>17</v>
      </c>
      <c r="F89" s="71">
        <v>12</v>
      </c>
      <c r="G89" s="71" t="s">
        <v>130</v>
      </c>
      <c r="H89" s="71" t="s">
        <v>1658</v>
      </c>
      <c r="I89" s="71">
        <v>2</v>
      </c>
      <c r="J89" s="71" t="s">
        <v>306</v>
      </c>
      <c r="K89" s="71" t="s">
        <v>1458</v>
      </c>
      <c r="L89" s="71"/>
      <c r="M89" s="71"/>
      <c r="N89" s="71"/>
      <c r="O89" s="71"/>
      <c r="P89" s="71"/>
      <c r="Q89" s="71"/>
      <c r="R89" s="71"/>
      <c r="S89" s="71"/>
      <c r="T89" s="71"/>
      <c r="U89" s="71"/>
    </row>
    <row r="90" spans="1:22" x14ac:dyDescent="0.2">
      <c r="A90" s="137">
        <v>89</v>
      </c>
      <c r="B90" s="71">
        <v>2171207307</v>
      </c>
      <c r="C90" s="71">
        <v>307</v>
      </c>
      <c r="D90" s="71">
        <v>2</v>
      </c>
      <c r="E90" s="71">
        <v>17</v>
      </c>
      <c r="F90" s="71">
        <v>12</v>
      </c>
      <c r="G90" s="71" t="s">
        <v>130</v>
      </c>
      <c r="H90" s="71" t="s">
        <v>1658</v>
      </c>
      <c r="I90" s="71">
        <v>2</v>
      </c>
      <c r="J90" s="71" t="s">
        <v>306</v>
      </c>
      <c r="K90" s="71" t="s">
        <v>1458</v>
      </c>
      <c r="L90" s="71"/>
      <c r="M90" s="71"/>
      <c r="N90" s="71"/>
      <c r="O90" s="71"/>
      <c r="P90" s="71"/>
      <c r="Q90" s="71"/>
      <c r="R90" s="71"/>
      <c r="S90" s="71"/>
      <c r="T90" s="71"/>
      <c r="U90" s="71"/>
    </row>
    <row r="91" spans="1:22" x14ac:dyDescent="0.2">
      <c r="A91" s="137">
        <v>90</v>
      </c>
      <c r="B91" s="71">
        <v>2171207308</v>
      </c>
      <c r="C91" s="71">
        <v>308</v>
      </c>
      <c r="D91" s="71">
        <v>2</v>
      </c>
      <c r="E91" s="71">
        <v>17</v>
      </c>
      <c r="F91" s="71">
        <v>12</v>
      </c>
      <c r="G91" s="71" t="s">
        <v>130</v>
      </c>
      <c r="H91" s="71" t="s">
        <v>1658</v>
      </c>
      <c r="I91" s="71">
        <v>2</v>
      </c>
      <c r="J91" s="71" t="s">
        <v>306</v>
      </c>
      <c r="K91" s="71" t="s">
        <v>1458</v>
      </c>
      <c r="L91" s="71"/>
      <c r="M91" s="71"/>
      <c r="N91" s="71"/>
      <c r="O91" s="71"/>
      <c r="P91" s="71"/>
      <c r="Q91" s="71"/>
      <c r="R91" s="71" t="s">
        <v>1560</v>
      </c>
      <c r="S91" s="71" t="s">
        <v>1560</v>
      </c>
      <c r="T91" s="71" t="s">
        <v>1661</v>
      </c>
      <c r="U91" s="71" t="s">
        <v>1662</v>
      </c>
    </row>
    <row r="92" spans="1:22" x14ac:dyDescent="0.2">
      <c r="A92" s="137">
        <v>91</v>
      </c>
      <c r="B92" s="71">
        <v>2171207309</v>
      </c>
      <c r="C92" s="71">
        <v>309</v>
      </c>
      <c r="D92" s="71">
        <v>2</v>
      </c>
      <c r="E92" s="71">
        <v>17</v>
      </c>
      <c r="F92" s="71">
        <v>12</v>
      </c>
      <c r="G92" s="71" t="s">
        <v>130</v>
      </c>
      <c r="H92" s="71" t="s">
        <v>1658</v>
      </c>
      <c r="I92" s="71">
        <v>4</v>
      </c>
      <c r="J92" s="71" t="s">
        <v>306</v>
      </c>
      <c r="K92" s="71" t="s">
        <v>1458</v>
      </c>
      <c r="L92" s="71"/>
      <c r="M92" s="71"/>
      <c r="N92" s="71"/>
      <c r="O92" s="71"/>
      <c r="P92" s="71"/>
      <c r="Q92" s="71"/>
      <c r="R92" s="71"/>
      <c r="S92" s="71"/>
      <c r="T92" s="71"/>
      <c r="U92" s="71"/>
    </row>
    <row r="93" spans="1:22" x14ac:dyDescent="0.2">
      <c r="A93" s="137">
        <v>92</v>
      </c>
      <c r="B93" s="71">
        <v>2171207310</v>
      </c>
      <c r="C93" s="71">
        <v>310</v>
      </c>
      <c r="D93" s="71">
        <v>2</v>
      </c>
      <c r="E93" s="71">
        <v>17</v>
      </c>
      <c r="F93" s="71">
        <v>12</v>
      </c>
      <c r="G93" s="71" t="s">
        <v>130</v>
      </c>
      <c r="H93" s="71" t="s">
        <v>1658</v>
      </c>
      <c r="I93" s="71">
        <v>2</v>
      </c>
      <c r="J93" s="71" t="s">
        <v>306</v>
      </c>
      <c r="K93" s="71" t="s">
        <v>1458</v>
      </c>
      <c r="L93" s="71"/>
      <c r="M93" s="71"/>
      <c r="N93" s="71"/>
      <c r="O93" s="71"/>
      <c r="P93" s="71"/>
      <c r="Q93" s="71"/>
      <c r="R93" s="71" t="s">
        <v>1663</v>
      </c>
      <c r="S93" s="71" t="s">
        <v>1664</v>
      </c>
      <c r="T93" s="71" t="s">
        <v>1663</v>
      </c>
      <c r="U93" s="71" t="s">
        <v>1664</v>
      </c>
    </row>
    <row r="94" spans="1:22" x14ac:dyDescent="0.2">
      <c r="A94" s="137">
        <v>93</v>
      </c>
      <c r="B94" s="71">
        <v>2171207311</v>
      </c>
      <c r="C94" s="71">
        <v>311</v>
      </c>
      <c r="D94" s="71">
        <v>2</v>
      </c>
      <c r="E94" s="71">
        <v>17</v>
      </c>
      <c r="F94" s="71">
        <v>12</v>
      </c>
      <c r="G94" s="71" t="s">
        <v>130</v>
      </c>
      <c r="H94" s="71" t="s">
        <v>1658</v>
      </c>
      <c r="I94" s="71">
        <v>2</v>
      </c>
      <c r="J94" s="71" t="s">
        <v>306</v>
      </c>
      <c r="K94" s="71" t="s">
        <v>1458</v>
      </c>
      <c r="L94" s="71"/>
      <c r="M94" s="71"/>
      <c r="N94" s="71"/>
      <c r="O94" s="71"/>
      <c r="P94" s="71"/>
      <c r="Q94" s="71"/>
      <c r="R94" s="71" t="s">
        <v>1665</v>
      </c>
      <c r="S94" s="71" t="s">
        <v>1666</v>
      </c>
      <c r="T94" s="71" t="s">
        <v>1560</v>
      </c>
      <c r="U94" s="71" t="s">
        <v>1560</v>
      </c>
    </row>
    <row r="95" spans="1:22" x14ac:dyDescent="0.2">
      <c r="A95" s="137">
        <v>94</v>
      </c>
      <c r="B95" s="71">
        <v>2171207312</v>
      </c>
      <c r="C95" s="71">
        <v>312</v>
      </c>
      <c r="D95" s="71">
        <v>2</v>
      </c>
      <c r="E95" s="71">
        <v>17</v>
      </c>
      <c r="F95" s="71">
        <v>12</v>
      </c>
      <c r="G95" s="71" t="s">
        <v>130</v>
      </c>
      <c r="H95" s="71" t="s">
        <v>1658</v>
      </c>
      <c r="I95" s="71">
        <v>3</v>
      </c>
      <c r="J95" s="71" t="s">
        <v>306</v>
      </c>
      <c r="K95" s="71" t="s">
        <v>1458</v>
      </c>
      <c r="L95" s="71"/>
      <c r="M95" s="71"/>
      <c r="N95" s="71"/>
      <c r="O95" s="71"/>
      <c r="P95" s="71"/>
      <c r="Q95" s="71"/>
      <c r="R95" s="71" t="s">
        <v>1560</v>
      </c>
      <c r="S95" s="71" t="s">
        <v>1560</v>
      </c>
      <c r="T95" s="71" t="s">
        <v>1560</v>
      </c>
      <c r="U95" s="71" t="s">
        <v>1560</v>
      </c>
    </row>
    <row r="96" spans="1:22" x14ac:dyDescent="0.2">
      <c r="A96" s="137">
        <v>95</v>
      </c>
      <c r="B96" s="71">
        <v>2171207313</v>
      </c>
      <c r="C96" s="71">
        <v>313</v>
      </c>
      <c r="D96" s="71">
        <v>2</v>
      </c>
      <c r="E96" s="71">
        <v>17</v>
      </c>
      <c r="F96" s="71">
        <v>12</v>
      </c>
      <c r="G96" s="71" t="s">
        <v>130</v>
      </c>
      <c r="H96" s="71" t="s">
        <v>1658</v>
      </c>
      <c r="I96" s="71">
        <v>4</v>
      </c>
      <c r="J96" s="71" t="s">
        <v>306</v>
      </c>
      <c r="K96" s="71" t="s">
        <v>1458</v>
      </c>
      <c r="L96" s="71"/>
      <c r="M96" s="71"/>
      <c r="N96" s="71"/>
      <c r="O96" s="71"/>
      <c r="P96" s="71"/>
      <c r="Q96" s="71"/>
      <c r="R96" s="71" t="s">
        <v>1667</v>
      </c>
      <c r="S96" s="71" t="s">
        <v>1668</v>
      </c>
      <c r="T96" s="71" t="s">
        <v>1560</v>
      </c>
      <c r="U96" s="71" t="s">
        <v>1560</v>
      </c>
    </row>
    <row r="97" spans="1:21" x14ac:dyDescent="0.2">
      <c r="A97" s="137">
        <v>96</v>
      </c>
      <c r="B97" s="71">
        <v>2171207314</v>
      </c>
      <c r="C97" s="71">
        <v>314</v>
      </c>
      <c r="D97" s="71">
        <v>2</v>
      </c>
      <c r="E97" s="71">
        <v>17</v>
      </c>
      <c r="F97" s="71">
        <v>12</v>
      </c>
      <c r="G97" s="71" t="s">
        <v>130</v>
      </c>
      <c r="H97" s="71" t="s">
        <v>1658</v>
      </c>
      <c r="I97" s="71">
        <v>2</v>
      </c>
      <c r="J97" s="71" t="s">
        <v>306</v>
      </c>
      <c r="K97" s="71" t="s">
        <v>1458</v>
      </c>
      <c r="L97" s="71"/>
      <c r="M97" s="71"/>
      <c r="N97" s="71"/>
      <c r="O97" s="71"/>
      <c r="P97" s="71"/>
      <c r="Q97" s="71"/>
      <c r="R97" s="71" t="s">
        <v>1560</v>
      </c>
      <c r="S97" s="71" t="s">
        <v>1560</v>
      </c>
      <c r="T97" s="71" t="s">
        <v>1669</v>
      </c>
      <c r="U97" s="71" t="s">
        <v>1670</v>
      </c>
    </row>
    <row r="98" spans="1:21" x14ac:dyDescent="0.2">
      <c r="A98" s="137">
        <v>97</v>
      </c>
      <c r="B98" s="71">
        <v>2171207315</v>
      </c>
      <c r="C98" s="71">
        <v>315</v>
      </c>
      <c r="D98" s="71">
        <v>2</v>
      </c>
      <c r="E98" s="71">
        <v>17</v>
      </c>
      <c r="F98" s="71">
        <v>12</v>
      </c>
      <c r="G98" s="71" t="s">
        <v>130</v>
      </c>
      <c r="H98" s="71" t="s">
        <v>1658</v>
      </c>
      <c r="I98" s="71">
        <v>2</v>
      </c>
      <c r="J98" s="71" t="s">
        <v>306</v>
      </c>
      <c r="K98" s="71" t="s">
        <v>1458</v>
      </c>
      <c r="L98" s="71"/>
      <c r="M98" s="71"/>
      <c r="N98" s="71"/>
      <c r="O98" s="71"/>
      <c r="P98" s="71"/>
      <c r="Q98" s="71"/>
      <c r="R98" s="71"/>
      <c r="S98" s="71"/>
      <c r="T98" s="71"/>
      <c r="U98" s="71"/>
    </row>
    <row r="99" spans="1:21" x14ac:dyDescent="0.2">
      <c r="A99" s="137">
        <v>98</v>
      </c>
      <c r="B99" s="71">
        <v>2171207316</v>
      </c>
      <c r="C99" s="71">
        <v>316</v>
      </c>
      <c r="D99" s="71">
        <v>2</v>
      </c>
      <c r="E99" s="71">
        <v>17</v>
      </c>
      <c r="F99" s="71">
        <v>12</v>
      </c>
      <c r="G99" s="71" t="s">
        <v>130</v>
      </c>
      <c r="H99" s="71" t="s">
        <v>1658</v>
      </c>
      <c r="I99" s="71">
        <v>2</v>
      </c>
      <c r="J99" s="71" t="s">
        <v>306</v>
      </c>
      <c r="K99" s="71" t="s">
        <v>1458</v>
      </c>
      <c r="L99" s="71"/>
      <c r="M99" s="71"/>
      <c r="N99" s="71"/>
      <c r="O99" s="71"/>
      <c r="P99" s="71"/>
      <c r="Q99" s="71"/>
      <c r="R99" s="71"/>
      <c r="S99" s="71"/>
      <c r="T99" s="71"/>
      <c r="U99" s="71"/>
    </row>
    <row r="100" spans="1:21" x14ac:dyDescent="0.2">
      <c r="A100" s="137">
        <v>99</v>
      </c>
      <c r="B100" s="71">
        <v>2181207500</v>
      </c>
      <c r="C100" s="71">
        <v>500</v>
      </c>
      <c r="D100" s="71">
        <v>2</v>
      </c>
      <c r="E100" s="71">
        <v>18</v>
      </c>
      <c r="F100" s="71">
        <v>12</v>
      </c>
      <c r="G100" s="71" t="s">
        <v>130</v>
      </c>
      <c r="H100" s="71" t="s">
        <v>1658</v>
      </c>
      <c r="I100" s="71">
        <v>2</v>
      </c>
      <c r="J100" s="71" t="s">
        <v>306</v>
      </c>
      <c r="K100" s="71" t="s">
        <v>1458</v>
      </c>
      <c r="L100" s="71"/>
      <c r="M100" s="71"/>
      <c r="N100" s="71"/>
      <c r="O100" s="71"/>
      <c r="P100" s="71"/>
      <c r="Q100" s="71"/>
      <c r="R100" s="71"/>
      <c r="S100" s="71"/>
      <c r="T100" s="71"/>
      <c r="U100" s="71"/>
    </row>
    <row r="101" spans="1:21" x14ac:dyDescent="0.2">
      <c r="A101" s="137">
        <v>100</v>
      </c>
      <c r="B101" s="71">
        <v>2181207501</v>
      </c>
      <c r="C101" s="71">
        <v>501</v>
      </c>
      <c r="D101" s="71">
        <v>2</v>
      </c>
      <c r="E101" s="71">
        <v>18</v>
      </c>
      <c r="F101" s="71">
        <v>12</v>
      </c>
      <c r="G101" s="71" t="s">
        <v>130</v>
      </c>
      <c r="H101" s="71" t="s">
        <v>1658</v>
      </c>
      <c r="I101" s="71">
        <v>3</v>
      </c>
      <c r="J101" s="71" t="s">
        <v>306</v>
      </c>
      <c r="K101" s="71" t="s">
        <v>1458</v>
      </c>
      <c r="L101" s="71"/>
      <c r="M101" s="71"/>
      <c r="N101" s="71"/>
      <c r="O101" s="71"/>
      <c r="P101" s="71"/>
      <c r="Q101" s="71"/>
      <c r="R101" s="71" t="s">
        <v>1671</v>
      </c>
      <c r="S101" s="71" t="s">
        <v>1672</v>
      </c>
      <c r="T101" s="71" t="s">
        <v>1671</v>
      </c>
      <c r="U101" s="71" t="s">
        <v>1672</v>
      </c>
    </row>
    <row r="102" spans="1:21" x14ac:dyDescent="0.2">
      <c r="A102" s="137">
        <v>101</v>
      </c>
      <c r="B102" s="71">
        <v>2181207502</v>
      </c>
      <c r="C102" s="71">
        <v>502</v>
      </c>
      <c r="D102" s="71">
        <v>2</v>
      </c>
      <c r="E102" s="71">
        <v>18</v>
      </c>
      <c r="F102" s="71">
        <v>12</v>
      </c>
      <c r="G102" s="71" t="s">
        <v>130</v>
      </c>
      <c r="H102" s="71" t="s">
        <v>1658</v>
      </c>
      <c r="I102" s="71">
        <v>2</v>
      </c>
      <c r="J102" s="71" t="s">
        <v>306</v>
      </c>
      <c r="K102" s="71" t="s">
        <v>1458</v>
      </c>
      <c r="L102" s="71"/>
      <c r="M102" s="71"/>
      <c r="N102" s="71"/>
      <c r="O102" s="71"/>
      <c r="P102" s="71"/>
      <c r="Q102" s="71"/>
      <c r="R102" s="71"/>
      <c r="S102" s="71"/>
      <c r="T102" s="71"/>
      <c r="U102" s="71"/>
    </row>
    <row r="103" spans="1:21" x14ac:dyDescent="0.2">
      <c r="A103" s="137">
        <v>102</v>
      </c>
      <c r="B103" s="71">
        <v>2171107605</v>
      </c>
      <c r="C103" s="71">
        <v>605</v>
      </c>
      <c r="D103" s="71">
        <v>2</v>
      </c>
      <c r="E103" s="71">
        <v>17</v>
      </c>
      <c r="F103" s="71">
        <v>11</v>
      </c>
      <c r="G103" s="71" t="s">
        <v>123</v>
      </c>
      <c r="H103" s="71" t="s">
        <v>1673</v>
      </c>
      <c r="I103" s="71">
        <v>3</v>
      </c>
      <c r="J103" s="71" t="s">
        <v>379</v>
      </c>
      <c r="K103" s="71" t="s">
        <v>1529</v>
      </c>
      <c r="L103" s="71" t="s">
        <v>1498</v>
      </c>
      <c r="M103" s="71" t="s">
        <v>1497</v>
      </c>
      <c r="N103" s="71" t="s">
        <v>1490</v>
      </c>
      <c r="O103" s="71" t="s">
        <v>1489</v>
      </c>
      <c r="P103" s="71"/>
      <c r="Q103" s="71"/>
      <c r="R103" s="71" t="s">
        <v>1674</v>
      </c>
      <c r="S103" s="71" t="s">
        <v>1675</v>
      </c>
      <c r="T103" s="71" t="s">
        <v>1674</v>
      </c>
      <c r="U103" s="71" t="s">
        <v>1675</v>
      </c>
    </row>
    <row r="104" spans="1:21" x14ac:dyDescent="0.2">
      <c r="A104" s="137">
        <v>103</v>
      </c>
      <c r="B104" s="71">
        <v>2171107606</v>
      </c>
      <c r="C104" s="71">
        <v>606</v>
      </c>
      <c r="D104" s="71">
        <v>2</v>
      </c>
      <c r="E104" s="71">
        <v>17</v>
      </c>
      <c r="F104" s="71">
        <v>11</v>
      </c>
      <c r="G104" s="71" t="s">
        <v>123</v>
      </c>
      <c r="H104" s="71" t="s">
        <v>1673</v>
      </c>
      <c r="I104" s="71">
        <v>3</v>
      </c>
      <c r="J104" s="71" t="s">
        <v>379</v>
      </c>
      <c r="K104" s="71" t="s">
        <v>1529</v>
      </c>
      <c r="L104" s="71" t="s">
        <v>1498</v>
      </c>
      <c r="M104" s="71" t="s">
        <v>1497</v>
      </c>
      <c r="N104" s="71" t="s">
        <v>1490</v>
      </c>
      <c r="O104" s="71" t="s">
        <v>1489</v>
      </c>
      <c r="P104" s="71"/>
      <c r="Q104" s="71"/>
      <c r="R104" s="71" t="s">
        <v>1676</v>
      </c>
      <c r="S104" s="71" t="s">
        <v>1677</v>
      </c>
      <c r="T104" s="71" t="s">
        <v>1560</v>
      </c>
      <c r="U104" s="71" t="s">
        <v>1560</v>
      </c>
    </row>
    <row r="105" spans="1:21" x14ac:dyDescent="0.2">
      <c r="A105" s="137">
        <v>104</v>
      </c>
      <c r="B105" s="71">
        <v>2171107607</v>
      </c>
      <c r="C105" s="71">
        <v>607</v>
      </c>
      <c r="D105" s="71">
        <v>2</v>
      </c>
      <c r="E105" s="71">
        <v>17</v>
      </c>
      <c r="F105" s="71">
        <v>11</v>
      </c>
      <c r="G105" s="71" t="s">
        <v>123</v>
      </c>
      <c r="H105" s="71" t="s">
        <v>1673</v>
      </c>
      <c r="I105" s="71">
        <v>2</v>
      </c>
      <c r="J105" s="71" t="s">
        <v>379</v>
      </c>
      <c r="K105" s="71" t="s">
        <v>1529</v>
      </c>
      <c r="L105" s="71" t="s">
        <v>1498</v>
      </c>
      <c r="M105" s="71" t="s">
        <v>1497</v>
      </c>
      <c r="N105" s="71" t="s">
        <v>1490</v>
      </c>
      <c r="O105" s="71" t="s">
        <v>1489</v>
      </c>
      <c r="P105" s="71"/>
      <c r="Q105" s="71"/>
      <c r="R105" s="71" t="s">
        <v>1678</v>
      </c>
      <c r="S105" s="71" t="s">
        <v>1679</v>
      </c>
      <c r="T105" s="71" t="s">
        <v>1560</v>
      </c>
      <c r="U105" s="71" t="s">
        <v>1560</v>
      </c>
    </row>
    <row r="106" spans="1:21" x14ac:dyDescent="0.2">
      <c r="A106" s="137">
        <v>105</v>
      </c>
      <c r="B106" s="71">
        <v>2171107608</v>
      </c>
      <c r="C106" s="71">
        <v>608</v>
      </c>
      <c r="D106" s="71">
        <v>2</v>
      </c>
      <c r="E106" s="71">
        <v>17</v>
      </c>
      <c r="F106" s="71">
        <v>11</v>
      </c>
      <c r="G106" s="71" t="s">
        <v>123</v>
      </c>
      <c r="H106" s="71" t="s">
        <v>1673</v>
      </c>
      <c r="I106" s="71">
        <v>4</v>
      </c>
      <c r="J106" s="71" t="s">
        <v>379</v>
      </c>
      <c r="K106" s="71" t="s">
        <v>1529</v>
      </c>
      <c r="L106" s="71" t="s">
        <v>1498</v>
      </c>
      <c r="M106" s="71" t="s">
        <v>1497</v>
      </c>
      <c r="N106" s="71" t="s">
        <v>1490</v>
      </c>
      <c r="O106" s="71" t="s">
        <v>1489</v>
      </c>
      <c r="P106" s="71"/>
      <c r="Q106" s="71"/>
      <c r="R106" s="71" t="s">
        <v>1680</v>
      </c>
      <c r="S106" s="71" t="s">
        <v>1681</v>
      </c>
      <c r="T106" s="71" t="s">
        <v>1560</v>
      </c>
      <c r="U106" s="71" t="s">
        <v>1560</v>
      </c>
    </row>
    <row r="107" spans="1:21" x14ac:dyDescent="0.2">
      <c r="A107" s="137">
        <v>106</v>
      </c>
      <c r="B107" s="71">
        <v>2171107609</v>
      </c>
      <c r="C107" s="71">
        <v>609</v>
      </c>
      <c r="D107" s="71">
        <v>2</v>
      </c>
      <c r="E107" s="71">
        <v>17</v>
      </c>
      <c r="F107" s="71">
        <v>11</v>
      </c>
      <c r="G107" s="71" t="s">
        <v>123</v>
      </c>
      <c r="H107" s="71" t="s">
        <v>1673</v>
      </c>
      <c r="I107" s="71">
        <v>4</v>
      </c>
      <c r="J107" s="71" t="s">
        <v>379</v>
      </c>
      <c r="K107" s="71" t="s">
        <v>1529</v>
      </c>
      <c r="L107" s="71" t="s">
        <v>1498</v>
      </c>
      <c r="M107" s="71" t="s">
        <v>1497</v>
      </c>
      <c r="N107" s="71" t="s">
        <v>1490</v>
      </c>
      <c r="O107" s="71" t="s">
        <v>1489</v>
      </c>
      <c r="P107" s="71"/>
      <c r="Q107" s="71"/>
      <c r="R107" s="71" t="s">
        <v>1682</v>
      </c>
      <c r="S107" s="71" t="s">
        <v>1683</v>
      </c>
      <c r="T107" s="71" t="s">
        <v>1560</v>
      </c>
      <c r="U107" s="71" t="s">
        <v>1560</v>
      </c>
    </row>
    <row r="108" spans="1:21" x14ac:dyDescent="0.2">
      <c r="A108" s="137">
        <v>107</v>
      </c>
      <c r="B108" s="71">
        <v>2171107610</v>
      </c>
      <c r="C108" s="71">
        <v>610</v>
      </c>
      <c r="D108" s="71">
        <v>2</v>
      </c>
      <c r="E108" s="71">
        <v>17</v>
      </c>
      <c r="F108" s="71">
        <v>11</v>
      </c>
      <c r="G108" s="71" t="s">
        <v>123</v>
      </c>
      <c r="H108" s="71" t="s">
        <v>1673</v>
      </c>
      <c r="I108" s="71">
        <v>2</v>
      </c>
      <c r="J108" s="71" t="s">
        <v>379</v>
      </c>
      <c r="K108" s="71" t="s">
        <v>1529</v>
      </c>
      <c r="L108" s="71" t="s">
        <v>1498</v>
      </c>
      <c r="M108" s="71" t="s">
        <v>1497</v>
      </c>
      <c r="N108" s="71" t="s">
        <v>1490</v>
      </c>
      <c r="O108" s="71" t="s">
        <v>1489</v>
      </c>
      <c r="P108" s="71"/>
      <c r="Q108" s="71"/>
      <c r="R108" s="71" t="s">
        <v>1684</v>
      </c>
      <c r="S108" s="71" t="s">
        <v>1685</v>
      </c>
      <c r="T108" s="71" t="s">
        <v>1560</v>
      </c>
      <c r="U108" s="71" t="s">
        <v>1560</v>
      </c>
    </row>
    <row r="109" spans="1:21" x14ac:dyDescent="0.2">
      <c r="A109" s="137">
        <v>108</v>
      </c>
      <c r="B109" s="71">
        <v>2171107611</v>
      </c>
      <c r="C109" s="71">
        <v>611</v>
      </c>
      <c r="D109" s="71">
        <v>2</v>
      </c>
      <c r="E109" s="71">
        <v>17</v>
      </c>
      <c r="F109" s="71">
        <v>11</v>
      </c>
      <c r="G109" s="71" t="s">
        <v>123</v>
      </c>
      <c r="H109" s="71" t="s">
        <v>1673</v>
      </c>
      <c r="I109" s="71">
        <v>2</v>
      </c>
      <c r="J109" s="71" t="s">
        <v>379</v>
      </c>
      <c r="K109" s="71" t="s">
        <v>1529</v>
      </c>
      <c r="L109" s="71" t="s">
        <v>1498</v>
      </c>
      <c r="M109" s="71" t="s">
        <v>1497</v>
      </c>
      <c r="N109" s="71" t="s">
        <v>1490</v>
      </c>
      <c r="O109" s="71" t="s">
        <v>1489</v>
      </c>
      <c r="P109" s="71"/>
      <c r="Q109" s="71"/>
      <c r="R109" s="71"/>
      <c r="S109" s="71"/>
      <c r="T109" s="71"/>
      <c r="U109" s="71"/>
    </row>
    <row r="110" spans="1:21" x14ac:dyDescent="0.2">
      <c r="A110" s="137">
        <v>109</v>
      </c>
      <c r="B110" s="71">
        <v>2171107614</v>
      </c>
      <c r="C110" s="71">
        <v>614</v>
      </c>
      <c r="D110" s="71">
        <v>2</v>
      </c>
      <c r="E110" s="71">
        <v>17</v>
      </c>
      <c r="F110" s="71">
        <v>11</v>
      </c>
      <c r="G110" s="71" t="s">
        <v>123</v>
      </c>
      <c r="H110" s="71" t="s">
        <v>1673</v>
      </c>
      <c r="I110" s="71">
        <v>4</v>
      </c>
      <c r="J110" s="71" t="s">
        <v>379</v>
      </c>
      <c r="K110" s="71" t="s">
        <v>1529</v>
      </c>
      <c r="L110" s="71" t="s">
        <v>1498</v>
      </c>
      <c r="M110" s="71" t="s">
        <v>1497</v>
      </c>
      <c r="N110" s="71" t="s">
        <v>1490</v>
      </c>
      <c r="O110" s="71" t="s">
        <v>1489</v>
      </c>
      <c r="P110" s="71"/>
      <c r="Q110" s="71"/>
      <c r="R110" s="71"/>
      <c r="S110" s="71"/>
      <c r="T110" s="71"/>
      <c r="U110" s="71"/>
    </row>
    <row r="111" spans="1:21" x14ac:dyDescent="0.2">
      <c r="A111" s="137">
        <v>110</v>
      </c>
      <c r="B111" s="71">
        <v>2171107615</v>
      </c>
      <c r="C111" s="71">
        <v>615</v>
      </c>
      <c r="D111" s="71">
        <v>2</v>
      </c>
      <c r="E111" s="71">
        <v>17</v>
      </c>
      <c r="F111" s="71">
        <v>11</v>
      </c>
      <c r="G111" s="71" t="s">
        <v>123</v>
      </c>
      <c r="H111" s="71" t="s">
        <v>1673</v>
      </c>
      <c r="I111" s="71">
        <v>3</v>
      </c>
      <c r="J111" s="71" t="s">
        <v>379</v>
      </c>
      <c r="K111" s="71" t="s">
        <v>1529</v>
      </c>
      <c r="L111" s="71" t="s">
        <v>1498</v>
      </c>
      <c r="M111" s="71" t="s">
        <v>1497</v>
      </c>
      <c r="N111" s="71" t="s">
        <v>1490</v>
      </c>
      <c r="O111" s="71" t="s">
        <v>1489</v>
      </c>
      <c r="P111" s="71"/>
      <c r="Q111" s="71"/>
      <c r="R111" s="71" t="s">
        <v>1560</v>
      </c>
      <c r="S111" s="71" t="s">
        <v>1560</v>
      </c>
      <c r="T111" s="71" t="s">
        <v>1686</v>
      </c>
      <c r="U111" s="71" t="s">
        <v>1687</v>
      </c>
    </row>
    <row r="112" spans="1:21" x14ac:dyDescent="0.2">
      <c r="A112" s="137">
        <v>111</v>
      </c>
      <c r="B112" s="71">
        <v>2171107616</v>
      </c>
      <c r="C112" s="71">
        <v>616</v>
      </c>
      <c r="D112" s="71">
        <v>2</v>
      </c>
      <c r="E112" s="71">
        <v>17</v>
      </c>
      <c r="F112" s="71">
        <v>11</v>
      </c>
      <c r="G112" s="71" t="s">
        <v>123</v>
      </c>
      <c r="H112" s="71" t="s">
        <v>1673</v>
      </c>
      <c r="I112" s="71">
        <v>3</v>
      </c>
      <c r="J112" s="71" t="s">
        <v>379</v>
      </c>
      <c r="K112" s="71" t="s">
        <v>1529</v>
      </c>
      <c r="L112" s="71" t="s">
        <v>1498</v>
      </c>
      <c r="M112" s="71" t="s">
        <v>1497</v>
      </c>
      <c r="N112" s="71" t="s">
        <v>1490</v>
      </c>
      <c r="O112" s="71" t="s">
        <v>1489</v>
      </c>
      <c r="P112" s="71"/>
      <c r="Q112" s="71"/>
      <c r="R112" s="71" t="s">
        <v>1560</v>
      </c>
      <c r="S112" s="71" t="s">
        <v>1560</v>
      </c>
      <c r="T112" s="71" t="s">
        <v>1560</v>
      </c>
      <c r="U112" s="71" t="s">
        <v>1560</v>
      </c>
    </row>
    <row r="113" spans="1:21" x14ac:dyDescent="0.2">
      <c r="A113" s="137">
        <v>112</v>
      </c>
      <c r="B113" s="71">
        <v>2171107624</v>
      </c>
      <c r="C113" s="71">
        <v>624</v>
      </c>
      <c r="D113" s="71">
        <v>2</v>
      </c>
      <c r="E113" s="71">
        <v>17</v>
      </c>
      <c r="F113" s="71">
        <v>11</v>
      </c>
      <c r="G113" s="71" t="s">
        <v>123</v>
      </c>
      <c r="H113" s="71" t="s">
        <v>1673</v>
      </c>
      <c r="I113" s="71">
        <v>2</v>
      </c>
      <c r="J113" s="71" t="s">
        <v>379</v>
      </c>
      <c r="K113" s="71" t="s">
        <v>1529</v>
      </c>
      <c r="L113" s="71" t="s">
        <v>1498</v>
      </c>
      <c r="M113" s="71" t="s">
        <v>1497</v>
      </c>
      <c r="N113" s="71" t="s">
        <v>1490</v>
      </c>
      <c r="O113" s="71" t="s">
        <v>1489</v>
      </c>
      <c r="P113" s="71"/>
      <c r="Q113" s="71"/>
      <c r="R113" s="71" t="s">
        <v>1688</v>
      </c>
      <c r="S113" s="71" t="s">
        <v>1689</v>
      </c>
      <c r="T113" s="71" t="s">
        <v>1688</v>
      </c>
      <c r="U113" s="71" t="s">
        <v>1689</v>
      </c>
    </row>
    <row r="114" spans="1:21" x14ac:dyDescent="0.2">
      <c r="A114" s="137">
        <v>113</v>
      </c>
      <c r="B114" s="71">
        <v>2171107625</v>
      </c>
      <c r="C114" s="71">
        <v>625</v>
      </c>
      <c r="D114" s="71">
        <v>2</v>
      </c>
      <c r="E114" s="71">
        <v>17</v>
      </c>
      <c r="F114" s="71">
        <v>11</v>
      </c>
      <c r="G114" s="71" t="s">
        <v>123</v>
      </c>
      <c r="H114" s="71" t="s">
        <v>1673</v>
      </c>
      <c r="I114" s="71">
        <v>2</v>
      </c>
      <c r="J114" s="71" t="s">
        <v>379</v>
      </c>
      <c r="K114" s="71" t="s">
        <v>1529</v>
      </c>
      <c r="L114" s="71" t="s">
        <v>1498</v>
      </c>
      <c r="M114" s="71" t="s">
        <v>1497</v>
      </c>
      <c r="N114" s="71" t="s">
        <v>1490</v>
      </c>
      <c r="O114" s="71" t="s">
        <v>1489</v>
      </c>
      <c r="P114" s="71"/>
      <c r="Q114" s="71"/>
      <c r="R114" s="71" t="s">
        <v>1690</v>
      </c>
      <c r="S114" s="71" t="s">
        <v>1691</v>
      </c>
      <c r="T114" s="71" t="s">
        <v>1560</v>
      </c>
      <c r="U114" s="71" t="s">
        <v>1560</v>
      </c>
    </row>
    <row r="115" spans="1:21" x14ac:dyDescent="0.2">
      <c r="A115" s="137">
        <v>114</v>
      </c>
      <c r="B115" s="71">
        <v>2171107630</v>
      </c>
      <c r="C115" s="71">
        <v>630</v>
      </c>
      <c r="D115" s="71">
        <v>2</v>
      </c>
      <c r="E115" s="71">
        <v>17</v>
      </c>
      <c r="F115" s="71">
        <v>11</v>
      </c>
      <c r="G115" s="71" t="s">
        <v>123</v>
      </c>
      <c r="H115" s="71" t="s">
        <v>1673</v>
      </c>
      <c r="I115" s="71">
        <v>2</v>
      </c>
      <c r="J115" s="71" t="s">
        <v>379</v>
      </c>
      <c r="K115" s="71" t="s">
        <v>1529</v>
      </c>
      <c r="L115" s="71" t="s">
        <v>1498</v>
      </c>
      <c r="M115" s="71" t="s">
        <v>1497</v>
      </c>
      <c r="N115" s="71" t="s">
        <v>1490</v>
      </c>
      <c r="O115" s="71" t="s">
        <v>1489</v>
      </c>
      <c r="P115" s="71"/>
      <c r="Q115" s="71"/>
      <c r="R115" s="71"/>
      <c r="S115" s="71"/>
      <c r="T115" s="71"/>
      <c r="U115" s="71"/>
    </row>
    <row r="116" spans="1:21" x14ac:dyDescent="0.2">
      <c r="A116" s="137">
        <v>115</v>
      </c>
      <c r="B116" s="71">
        <v>2171107631</v>
      </c>
      <c r="C116" s="71">
        <v>631</v>
      </c>
      <c r="D116" s="71">
        <v>2</v>
      </c>
      <c r="E116" s="71">
        <v>17</v>
      </c>
      <c r="F116" s="71">
        <v>11</v>
      </c>
      <c r="G116" s="71" t="s">
        <v>123</v>
      </c>
      <c r="H116" s="71" t="s">
        <v>1673</v>
      </c>
      <c r="I116" s="71">
        <v>3</v>
      </c>
      <c r="J116" s="71" t="s">
        <v>379</v>
      </c>
      <c r="K116" s="71" t="s">
        <v>1529</v>
      </c>
      <c r="L116" s="71" t="s">
        <v>1498</v>
      </c>
      <c r="M116" s="71" t="s">
        <v>1497</v>
      </c>
      <c r="N116" s="71" t="s">
        <v>1490</v>
      </c>
      <c r="O116" s="71" t="s">
        <v>1489</v>
      </c>
      <c r="P116" s="71"/>
      <c r="Q116" s="71"/>
      <c r="R116" s="71"/>
      <c r="S116" s="71"/>
      <c r="T116" s="71"/>
      <c r="U116" s="71"/>
    </row>
    <row r="117" spans="1:21" x14ac:dyDescent="0.2">
      <c r="A117" s="137">
        <v>116</v>
      </c>
      <c r="B117" s="71">
        <v>2171107600</v>
      </c>
      <c r="C117" s="71">
        <v>600</v>
      </c>
      <c r="D117" s="71">
        <v>2</v>
      </c>
      <c r="E117" s="71">
        <v>17</v>
      </c>
      <c r="F117" s="71">
        <v>11</v>
      </c>
      <c r="G117" s="71" t="s">
        <v>127</v>
      </c>
      <c r="H117" s="71" t="s">
        <v>1692</v>
      </c>
      <c r="I117" s="71">
        <v>2</v>
      </c>
      <c r="J117" s="71" t="s">
        <v>1455</v>
      </c>
      <c r="K117" s="71" t="s">
        <v>1454</v>
      </c>
      <c r="L117" s="71" t="s">
        <v>1473</v>
      </c>
      <c r="M117" s="71" t="s">
        <v>1472</v>
      </c>
      <c r="N117" s="71"/>
      <c r="O117" s="71"/>
      <c r="P117" s="71"/>
      <c r="Q117" s="71"/>
      <c r="R117" s="71"/>
      <c r="S117" s="71"/>
      <c r="T117" s="71"/>
      <c r="U117" s="71"/>
    </row>
    <row r="118" spans="1:21" x14ac:dyDescent="0.2">
      <c r="A118" s="137">
        <v>117</v>
      </c>
      <c r="B118" s="71">
        <v>2171107601</v>
      </c>
      <c r="C118" s="71">
        <v>601</v>
      </c>
      <c r="D118" s="71">
        <v>2</v>
      </c>
      <c r="E118" s="71">
        <v>17</v>
      </c>
      <c r="F118" s="71">
        <v>11</v>
      </c>
      <c r="G118" s="71" t="s">
        <v>127</v>
      </c>
      <c r="H118" s="71" t="s">
        <v>1692</v>
      </c>
      <c r="I118" s="71">
        <v>2</v>
      </c>
      <c r="J118" s="71" t="s">
        <v>1455</v>
      </c>
      <c r="K118" s="71" t="s">
        <v>1454</v>
      </c>
      <c r="L118" s="71" t="s">
        <v>1473</v>
      </c>
      <c r="M118" s="71" t="s">
        <v>1472</v>
      </c>
      <c r="N118" s="71"/>
      <c r="O118" s="71"/>
      <c r="P118" s="71"/>
      <c r="Q118" s="71"/>
      <c r="R118" s="71"/>
      <c r="S118" s="71"/>
      <c r="T118" s="71"/>
      <c r="U118" s="71"/>
    </row>
    <row r="119" spans="1:21" x14ac:dyDescent="0.2">
      <c r="A119" s="137">
        <v>118</v>
      </c>
      <c r="B119" s="71">
        <v>2171107602</v>
      </c>
      <c r="C119" s="71">
        <v>602</v>
      </c>
      <c r="D119" s="71">
        <v>2</v>
      </c>
      <c r="E119" s="71">
        <v>17</v>
      </c>
      <c r="F119" s="71">
        <v>11</v>
      </c>
      <c r="G119" s="71" t="s">
        <v>127</v>
      </c>
      <c r="H119" s="71" t="s">
        <v>1692</v>
      </c>
      <c r="I119" s="71">
        <v>3</v>
      </c>
      <c r="J119" s="71" t="s">
        <v>1455</v>
      </c>
      <c r="K119" s="71" t="s">
        <v>1454</v>
      </c>
      <c r="L119" s="71" t="s">
        <v>1473</v>
      </c>
      <c r="M119" s="71" t="s">
        <v>1472</v>
      </c>
      <c r="N119" s="71"/>
      <c r="O119" s="71"/>
      <c r="P119" s="71"/>
      <c r="Q119" s="71"/>
      <c r="R119" s="71"/>
      <c r="S119" s="71"/>
      <c r="T119" s="71"/>
      <c r="U119" s="71"/>
    </row>
    <row r="120" spans="1:21" x14ac:dyDescent="0.2">
      <c r="A120" s="137">
        <v>119</v>
      </c>
      <c r="B120" s="71">
        <v>2171107603</v>
      </c>
      <c r="C120" s="71">
        <v>603</v>
      </c>
      <c r="D120" s="71">
        <v>2</v>
      </c>
      <c r="E120" s="71">
        <v>17</v>
      </c>
      <c r="F120" s="71">
        <v>11</v>
      </c>
      <c r="G120" s="71" t="s">
        <v>127</v>
      </c>
      <c r="H120" s="71" t="s">
        <v>1692</v>
      </c>
      <c r="I120" s="71">
        <v>2</v>
      </c>
      <c r="J120" s="71" t="s">
        <v>1455</v>
      </c>
      <c r="K120" s="71" t="s">
        <v>1454</v>
      </c>
      <c r="L120" s="71" t="s">
        <v>1473</v>
      </c>
      <c r="M120" s="71" t="s">
        <v>1472</v>
      </c>
      <c r="N120" s="71"/>
      <c r="O120" s="71"/>
      <c r="P120" s="71"/>
      <c r="Q120" s="71"/>
      <c r="R120" s="71" t="s">
        <v>1693</v>
      </c>
      <c r="S120" s="71" t="s">
        <v>1694</v>
      </c>
      <c r="T120" s="71" t="s">
        <v>1693</v>
      </c>
      <c r="U120" s="71" t="s">
        <v>1694</v>
      </c>
    </row>
    <row r="121" spans="1:21" x14ac:dyDescent="0.2">
      <c r="A121" s="137">
        <v>120</v>
      </c>
      <c r="B121" s="71">
        <v>2171107604</v>
      </c>
      <c r="C121" s="71">
        <v>604</v>
      </c>
      <c r="D121" s="71">
        <v>2</v>
      </c>
      <c r="E121" s="71">
        <v>17</v>
      </c>
      <c r="F121" s="71">
        <v>11</v>
      </c>
      <c r="G121" s="71" t="s">
        <v>127</v>
      </c>
      <c r="H121" s="71" t="s">
        <v>1692</v>
      </c>
      <c r="I121" s="71">
        <v>2</v>
      </c>
      <c r="J121" s="71" t="s">
        <v>1455</v>
      </c>
      <c r="K121" s="71" t="s">
        <v>1454</v>
      </c>
      <c r="L121" s="71" t="s">
        <v>1473</v>
      </c>
      <c r="M121" s="71" t="s">
        <v>1472</v>
      </c>
      <c r="N121" s="71"/>
      <c r="O121" s="71"/>
      <c r="P121" s="71"/>
      <c r="Q121" s="71"/>
      <c r="R121" s="71" t="s">
        <v>1473</v>
      </c>
      <c r="S121" s="71" t="s">
        <v>1472</v>
      </c>
      <c r="T121" s="71" t="s">
        <v>1473</v>
      </c>
      <c r="U121" s="71" t="s">
        <v>1472</v>
      </c>
    </row>
    <row r="122" spans="1:21" x14ac:dyDescent="0.2">
      <c r="A122" s="137">
        <v>121</v>
      </c>
      <c r="B122" s="71">
        <v>2171107612</v>
      </c>
      <c r="C122" s="71">
        <v>612</v>
      </c>
      <c r="D122" s="71">
        <v>2</v>
      </c>
      <c r="E122" s="71">
        <v>17</v>
      </c>
      <c r="F122" s="71">
        <v>11</v>
      </c>
      <c r="G122" s="71" t="s">
        <v>127</v>
      </c>
      <c r="H122" s="71" t="s">
        <v>1692</v>
      </c>
      <c r="I122" s="71">
        <v>2</v>
      </c>
      <c r="J122" s="71" t="s">
        <v>1455</v>
      </c>
      <c r="K122" s="71" t="s">
        <v>1454</v>
      </c>
      <c r="L122" s="71" t="s">
        <v>1473</v>
      </c>
      <c r="M122" s="71" t="s">
        <v>1472</v>
      </c>
      <c r="N122" s="71"/>
      <c r="O122" s="71"/>
      <c r="P122" s="71"/>
      <c r="Q122" s="71"/>
      <c r="R122" s="71" t="s">
        <v>1695</v>
      </c>
      <c r="S122" s="71" t="s">
        <v>1696</v>
      </c>
      <c r="T122" s="71" t="s">
        <v>1560</v>
      </c>
      <c r="U122" s="71" t="s">
        <v>1560</v>
      </c>
    </row>
    <row r="123" spans="1:21" x14ac:dyDescent="0.2">
      <c r="A123" s="137">
        <v>122</v>
      </c>
      <c r="B123" s="71">
        <v>2171107613</v>
      </c>
      <c r="C123" s="71">
        <v>613</v>
      </c>
      <c r="D123" s="71">
        <v>2</v>
      </c>
      <c r="E123" s="71">
        <v>17</v>
      </c>
      <c r="F123" s="71">
        <v>11</v>
      </c>
      <c r="G123" s="71" t="s">
        <v>127</v>
      </c>
      <c r="H123" s="71" t="s">
        <v>1692</v>
      </c>
      <c r="I123" s="71">
        <v>2</v>
      </c>
      <c r="J123" s="71" t="s">
        <v>1455</v>
      </c>
      <c r="K123" s="71" t="s">
        <v>1454</v>
      </c>
      <c r="L123" s="71" t="s">
        <v>1473</v>
      </c>
      <c r="M123" s="71" t="s">
        <v>1472</v>
      </c>
      <c r="N123" s="71"/>
      <c r="O123" s="71"/>
      <c r="P123" s="71"/>
      <c r="Q123" s="71"/>
      <c r="R123" s="71"/>
      <c r="S123" s="71"/>
      <c r="T123" s="71"/>
      <c r="U123" s="71"/>
    </row>
    <row r="124" spans="1:21" x14ac:dyDescent="0.2">
      <c r="A124" s="137">
        <v>123</v>
      </c>
      <c r="B124" s="71">
        <v>2171107617</v>
      </c>
      <c r="C124" s="71">
        <v>617</v>
      </c>
      <c r="D124" s="71">
        <v>2</v>
      </c>
      <c r="E124" s="71">
        <v>17</v>
      </c>
      <c r="F124" s="71">
        <v>11</v>
      </c>
      <c r="G124" s="71" t="s">
        <v>60</v>
      </c>
      <c r="H124" s="71" t="s">
        <v>1697</v>
      </c>
      <c r="I124" s="71">
        <v>3</v>
      </c>
      <c r="J124" s="71" t="s">
        <v>411</v>
      </c>
      <c r="K124" s="71" t="s">
        <v>1471</v>
      </c>
      <c r="L124" s="71" t="s">
        <v>1482</v>
      </c>
      <c r="M124" s="71" t="s">
        <v>1481</v>
      </c>
      <c r="N124" s="71" t="s">
        <v>1524</v>
      </c>
      <c r="O124" s="71" t="s">
        <v>1481</v>
      </c>
      <c r="P124" s="71"/>
      <c r="Q124" s="71"/>
      <c r="R124" s="71"/>
      <c r="S124" s="71"/>
      <c r="T124" s="71"/>
      <c r="U124" s="71"/>
    </row>
    <row r="125" spans="1:21" x14ac:dyDescent="0.2">
      <c r="A125" s="137">
        <v>124</v>
      </c>
      <c r="B125" s="71">
        <v>2171107626</v>
      </c>
      <c r="C125" s="71">
        <v>626</v>
      </c>
      <c r="D125" s="71">
        <v>2</v>
      </c>
      <c r="E125" s="71">
        <v>17</v>
      </c>
      <c r="F125" s="71">
        <v>11</v>
      </c>
      <c r="G125" s="71" t="s">
        <v>60</v>
      </c>
      <c r="H125" s="71" t="s">
        <v>1697</v>
      </c>
      <c r="I125" s="71">
        <v>2</v>
      </c>
      <c r="J125" s="71" t="s">
        <v>411</v>
      </c>
      <c r="K125" s="71" t="s">
        <v>1471</v>
      </c>
      <c r="L125" s="71" t="s">
        <v>1482</v>
      </c>
      <c r="M125" s="71" t="s">
        <v>1481</v>
      </c>
      <c r="N125" s="71" t="s">
        <v>1524</v>
      </c>
      <c r="O125" s="71" t="s">
        <v>1481</v>
      </c>
      <c r="P125" s="71"/>
      <c r="Q125" s="71"/>
      <c r="R125" s="71"/>
      <c r="S125" s="71"/>
      <c r="T125" s="71"/>
      <c r="U125" s="71"/>
    </row>
    <row r="126" spans="1:21" x14ac:dyDescent="0.2">
      <c r="A126" s="137">
        <v>125</v>
      </c>
      <c r="B126" s="71">
        <v>2171107627</v>
      </c>
      <c r="C126" s="71">
        <v>627</v>
      </c>
      <c r="D126" s="71">
        <v>2</v>
      </c>
      <c r="E126" s="71">
        <v>17</v>
      </c>
      <c r="F126" s="71">
        <v>11</v>
      </c>
      <c r="G126" s="71" t="s">
        <v>60</v>
      </c>
      <c r="H126" s="71" t="s">
        <v>1697</v>
      </c>
      <c r="I126" s="71">
        <v>2</v>
      </c>
      <c r="J126" s="71" t="s">
        <v>411</v>
      </c>
      <c r="K126" s="71" t="s">
        <v>1471</v>
      </c>
      <c r="L126" s="71" t="s">
        <v>1482</v>
      </c>
      <c r="M126" s="71" t="s">
        <v>1481</v>
      </c>
      <c r="N126" s="71" t="s">
        <v>1524</v>
      </c>
      <c r="O126" s="71" t="s">
        <v>1481</v>
      </c>
      <c r="P126" s="71"/>
      <c r="Q126" s="71"/>
      <c r="R126" s="71" t="s">
        <v>1698</v>
      </c>
      <c r="S126" s="71" t="s">
        <v>1699</v>
      </c>
      <c r="T126" s="71" t="s">
        <v>1698</v>
      </c>
      <c r="U126" s="71" t="s">
        <v>1699</v>
      </c>
    </row>
    <row r="127" spans="1:21" x14ac:dyDescent="0.2">
      <c r="A127" s="137">
        <v>126</v>
      </c>
      <c r="B127" s="71">
        <v>2171107628</v>
      </c>
      <c r="C127" s="71">
        <v>628</v>
      </c>
      <c r="D127" s="71">
        <v>2</v>
      </c>
      <c r="E127" s="71">
        <v>17</v>
      </c>
      <c r="F127" s="71">
        <v>11</v>
      </c>
      <c r="G127" s="71" t="s">
        <v>60</v>
      </c>
      <c r="H127" s="71" t="s">
        <v>1697</v>
      </c>
      <c r="I127" s="71">
        <v>2</v>
      </c>
      <c r="J127" s="71" t="s">
        <v>411</v>
      </c>
      <c r="K127" s="71" t="s">
        <v>1471</v>
      </c>
      <c r="L127" s="71" t="s">
        <v>1482</v>
      </c>
      <c r="M127" s="71" t="s">
        <v>1481</v>
      </c>
      <c r="N127" s="71" t="s">
        <v>1524</v>
      </c>
      <c r="O127" s="71" t="s">
        <v>1481</v>
      </c>
      <c r="P127" s="71"/>
      <c r="Q127" s="71"/>
      <c r="R127" s="71"/>
      <c r="S127" s="71"/>
      <c r="T127" s="71"/>
      <c r="U127" s="71"/>
    </row>
    <row r="128" spans="1:21" x14ac:dyDescent="0.2">
      <c r="A128" s="137">
        <v>127</v>
      </c>
      <c r="B128" s="71">
        <v>2171107629</v>
      </c>
      <c r="C128" s="71">
        <v>629</v>
      </c>
      <c r="D128" s="71">
        <v>2</v>
      </c>
      <c r="E128" s="71">
        <v>17</v>
      </c>
      <c r="F128" s="71">
        <v>11</v>
      </c>
      <c r="G128" s="71" t="s">
        <v>60</v>
      </c>
      <c r="H128" s="71" t="s">
        <v>1697</v>
      </c>
      <c r="I128" s="71">
        <v>2</v>
      </c>
      <c r="J128" s="71" t="s">
        <v>411</v>
      </c>
      <c r="K128" s="71" t="s">
        <v>1471</v>
      </c>
      <c r="L128" s="71" t="s">
        <v>1482</v>
      </c>
      <c r="M128" s="71" t="s">
        <v>1481</v>
      </c>
      <c r="N128" s="71" t="s">
        <v>1524</v>
      </c>
      <c r="O128" s="71" t="s">
        <v>1481</v>
      </c>
      <c r="P128" s="71"/>
      <c r="Q128" s="71"/>
      <c r="R128" s="71" t="s">
        <v>1700</v>
      </c>
      <c r="S128" s="71" t="s">
        <v>1701</v>
      </c>
      <c r="T128" s="71" t="s">
        <v>1560</v>
      </c>
      <c r="U128" s="71" t="s">
        <v>1560</v>
      </c>
    </row>
    <row r="129" spans="1:21" x14ac:dyDescent="0.2">
      <c r="A129" s="137">
        <v>128</v>
      </c>
      <c r="B129" s="71">
        <v>2171107632</v>
      </c>
      <c r="C129" s="71">
        <v>632</v>
      </c>
      <c r="D129" s="71">
        <v>2</v>
      </c>
      <c r="E129" s="71">
        <v>17</v>
      </c>
      <c r="F129" s="71">
        <v>11</v>
      </c>
      <c r="G129" s="71" t="s">
        <v>60</v>
      </c>
      <c r="H129" s="71" t="s">
        <v>1697</v>
      </c>
      <c r="I129" s="71">
        <v>2</v>
      </c>
      <c r="J129" s="71" t="s">
        <v>411</v>
      </c>
      <c r="K129" s="71" t="s">
        <v>1471</v>
      </c>
      <c r="L129" s="71" t="s">
        <v>1482</v>
      </c>
      <c r="M129" s="71" t="s">
        <v>1481</v>
      </c>
      <c r="N129" s="71" t="s">
        <v>1524</v>
      </c>
      <c r="O129" s="71" t="s">
        <v>1481</v>
      </c>
      <c r="P129" s="71"/>
      <c r="Q129" s="71"/>
      <c r="R129" s="71"/>
      <c r="S129" s="71"/>
      <c r="T129" s="71"/>
      <c r="U129" s="71"/>
    </row>
    <row r="130" spans="1:21" x14ac:dyDescent="0.2">
      <c r="A130" s="137">
        <v>129</v>
      </c>
      <c r="B130" s="71">
        <v>2171107641</v>
      </c>
      <c r="C130" s="71">
        <v>641</v>
      </c>
      <c r="D130" s="71">
        <v>2</v>
      </c>
      <c r="E130" s="71">
        <v>17</v>
      </c>
      <c r="F130" s="71">
        <v>11</v>
      </c>
      <c r="G130" s="71" t="s">
        <v>60</v>
      </c>
      <c r="H130" s="71" t="s">
        <v>1697</v>
      </c>
      <c r="I130" s="71">
        <v>2</v>
      </c>
      <c r="J130" s="71" t="s">
        <v>411</v>
      </c>
      <c r="K130" s="71" t="s">
        <v>1471</v>
      </c>
      <c r="L130" s="71" t="s">
        <v>1482</v>
      </c>
      <c r="M130" s="71" t="s">
        <v>1481</v>
      </c>
      <c r="N130" s="71" t="s">
        <v>1524</v>
      </c>
      <c r="O130" s="71" t="s">
        <v>1481</v>
      </c>
      <c r="P130" s="71"/>
      <c r="Q130" s="71"/>
      <c r="R130" s="71"/>
      <c r="S130" s="71"/>
      <c r="T130" s="71"/>
      <c r="U130" s="71"/>
    </row>
    <row r="131" spans="1:21" x14ac:dyDescent="0.2">
      <c r="A131" s="137">
        <v>130</v>
      </c>
      <c r="B131" s="71">
        <v>2171107642</v>
      </c>
      <c r="C131" s="71">
        <v>642</v>
      </c>
      <c r="D131" s="71">
        <v>2</v>
      </c>
      <c r="E131" s="71">
        <v>17</v>
      </c>
      <c r="F131" s="71">
        <v>11</v>
      </c>
      <c r="G131" s="71" t="s">
        <v>60</v>
      </c>
      <c r="H131" s="71" t="s">
        <v>1697</v>
      </c>
      <c r="I131" s="71">
        <v>2</v>
      </c>
      <c r="J131" s="71" t="s">
        <v>411</v>
      </c>
      <c r="K131" s="71" t="s">
        <v>1471</v>
      </c>
      <c r="L131" s="71" t="s">
        <v>1482</v>
      </c>
      <c r="M131" s="71" t="s">
        <v>1481</v>
      </c>
      <c r="N131" s="71" t="s">
        <v>1524</v>
      </c>
      <c r="O131" s="71" t="s">
        <v>1481</v>
      </c>
      <c r="P131" s="71"/>
      <c r="Q131" s="71"/>
      <c r="R131" s="71" t="s">
        <v>1702</v>
      </c>
      <c r="S131" s="71" t="s">
        <v>1703</v>
      </c>
      <c r="T131" s="71" t="s">
        <v>1560</v>
      </c>
      <c r="U131" s="71" t="s">
        <v>1560</v>
      </c>
    </row>
    <row r="132" spans="1:21" x14ac:dyDescent="0.2">
      <c r="A132" s="137">
        <v>131</v>
      </c>
      <c r="B132" s="71">
        <v>2171107643</v>
      </c>
      <c r="C132" s="71">
        <v>643</v>
      </c>
      <c r="D132" s="71">
        <v>2</v>
      </c>
      <c r="E132" s="71">
        <v>17</v>
      </c>
      <c r="F132" s="71">
        <v>11</v>
      </c>
      <c r="G132" s="71" t="s">
        <v>60</v>
      </c>
      <c r="H132" s="71" t="s">
        <v>1697</v>
      </c>
      <c r="I132" s="71">
        <v>2</v>
      </c>
      <c r="J132" s="71" t="s">
        <v>411</v>
      </c>
      <c r="K132" s="71" t="s">
        <v>1471</v>
      </c>
      <c r="L132" s="71" t="s">
        <v>1482</v>
      </c>
      <c r="M132" s="71" t="s">
        <v>1481</v>
      </c>
      <c r="N132" s="71" t="s">
        <v>1524</v>
      </c>
      <c r="O132" s="71" t="s">
        <v>1481</v>
      </c>
      <c r="P132" s="71"/>
      <c r="Q132" s="71"/>
      <c r="R132" s="71"/>
      <c r="S132" s="71"/>
      <c r="T132" s="71"/>
      <c r="U132" s="71"/>
    </row>
    <row r="133" spans="1:21" x14ac:dyDescent="0.2">
      <c r="A133" s="137">
        <v>132</v>
      </c>
      <c r="B133" s="71">
        <v>2171107644</v>
      </c>
      <c r="C133" s="71">
        <v>644</v>
      </c>
      <c r="D133" s="71">
        <v>2</v>
      </c>
      <c r="E133" s="71">
        <v>17</v>
      </c>
      <c r="F133" s="71">
        <v>11</v>
      </c>
      <c r="G133" s="71" t="s">
        <v>60</v>
      </c>
      <c r="H133" s="71" t="s">
        <v>1697</v>
      </c>
      <c r="I133" s="71">
        <v>2</v>
      </c>
      <c r="J133" s="71" t="s">
        <v>411</v>
      </c>
      <c r="K133" s="71" t="s">
        <v>1471</v>
      </c>
      <c r="L133" s="71" t="s">
        <v>1482</v>
      </c>
      <c r="M133" s="71" t="s">
        <v>1481</v>
      </c>
      <c r="N133" s="71" t="s">
        <v>1524</v>
      </c>
      <c r="O133" s="71" t="s">
        <v>1481</v>
      </c>
      <c r="P133" s="71"/>
      <c r="Q133" s="71"/>
      <c r="R133" s="71" t="s">
        <v>1704</v>
      </c>
      <c r="S133" s="71" t="s">
        <v>1705</v>
      </c>
      <c r="T133" s="71" t="s">
        <v>1704</v>
      </c>
      <c r="U133" s="71" t="s">
        <v>1705</v>
      </c>
    </row>
    <row r="134" spans="1:21" x14ac:dyDescent="0.2">
      <c r="A134" s="137">
        <v>133</v>
      </c>
      <c r="B134" s="71">
        <v>2171107645</v>
      </c>
      <c r="C134" s="71">
        <v>645</v>
      </c>
      <c r="D134" s="71">
        <v>2</v>
      </c>
      <c r="E134" s="71">
        <v>17</v>
      </c>
      <c r="F134" s="71">
        <v>11</v>
      </c>
      <c r="G134" s="71" t="s">
        <v>60</v>
      </c>
      <c r="H134" s="71" t="s">
        <v>1697</v>
      </c>
      <c r="I134" s="71">
        <v>2</v>
      </c>
      <c r="J134" s="71" t="s">
        <v>411</v>
      </c>
      <c r="K134" s="71" t="s">
        <v>1471</v>
      </c>
      <c r="L134" s="71" t="s">
        <v>1482</v>
      </c>
      <c r="M134" s="71" t="s">
        <v>1481</v>
      </c>
      <c r="N134" s="71" t="s">
        <v>1524</v>
      </c>
      <c r="O134" s="71" t="s">
        <v>1481</v>
      </c>
      <c r="P134" s="71"/>
      <c r="Q134" s="71"/>
      <c r="R134" s="71"/>
      <c r="S134" s="71"/>
      <c r="T134" s="71"/>
      <c r="U134" s="71"/>
    </row>
    <row r="135" spans="1:21" x14ac:dyDescent="0.2">
      <c r="A135" s="137">
        <v>134</v>
      </c>
      <c r="B135" s="71">
        <v>2171107646</v>
      </c>
      <c r="C135" s="71">
        <v>646</v>
      </c>
      <c r="D135" s="71">
        <v>2</v>
      </c>
      <c r="E135" s="71">
        <v>17</v>
      </c>
      <c r="F135" s="71">
        <v>11</v>
      </c>
      <c r="G135" s="71" t="s">
        <v>60</v>
      </c>
      <c r="H135" s="71" t="s">
        <v>1697</v>
      </c>
      <c r="I135" s="71">
        <v>2</v>
      </c>
      <c r="J135" s="71" t="s">
        <v>411</v>
      </c>
      <c r="K135" s="71" t="s">
        <v>1471</v>
      </c>
      <c r="L135" s="71" t="s">
        <v>1482</v>
      </c>
      <c r="M135" s="71" t="s">
        <v>1481</v>
      </c>
      <c r="N135" s="71" t="s">
        <v>1524</v>
      </c>
      <c r="O135" s="71" t="s">
        <v>1481</v>
      </c>
      <c r="P135" s="71"/>
      <c r="Q135" s="71"/>
      <c r="R135" s="71"/>
      <c r="S135" s="71"/>
      <c r="T135" s="71"/>
      <c r="U135" s="71"/>
    </row>
    <row r="136" spans="1:21" x14ac:dyDescent="0.2">
      <c r="A136" s="137">
        <v>135</v>
      </c>
      <c r="B136" s="71">
        <v>2171107647</v>
      </c>
      <c r="C136" s="71">
        <v>647</v>
      </c>
      <c r="D136" s="71">
        <v>2</v>
      </c>
      <c r="E136" s="71">
        <v>17</v>
      </c>
      <c r="F136" s="71">
        <v>11</v>
      </c>
      <c r="G136" s="71" t="s">
        <v>60</v>
      </c>
      <c r="H136" s="71" t="s">
        <v>1697</v>
      </c>
      <c r="I136" s="71">
        <v>2</v>
      </c>
      <c r="J136" s="71" t="s">
        <v>411</v>
      </c>
      <c r="K136" s="71" t="s">
        <v>1471</v>
      </c>
      <c r="L136" s="71" t="s">
        <v>1482</v>
      </c>
      <c r="M136" s="71" t="s">
        <v>1481</v>
      </c>
      <c r="N136" s="71" t="s">
        <v>1524</v>
      </c>
      <c r="O136" s="71" t="s">
        <v>1481</v>
      </c>
      <c r="P136" s="71"/>
      <c r="Q136" s="71"/>
      <c r="R136" s="71"/>
      <c r="S136" s="71"/>
      <c r="T136" s="71"/>
      <c r="U136" s="71"/>
    </row>
    <row r="137" spans="1:21" x14ac:dyDescent="0.2">
      <c r="A137" s="137">
        <v>136</v>
      </c>
      <c r="B137" s="71">
        <v>2171107648</v>
      </c>
      <c r="C137" s="71">
        <v>648</v>
      </c>
      <c r="D137" s="71">
        <v>2</v>
      </c>
      <c r="E137" s="71">
        <v>17</v>
      </c>
      <c r="F137" s="71">
        <v>11</v>
      </c>
      <c r="G137" s="71" t="s">
        <v>60</v>
      </c>
      <c r="H137" s="71" t="s">
        <v>1697</v>
      </c>
      <c r="I137" s="71">
        <v>3</v>
      </c>
      <c r="J137" s="71" t="s">
        <v>411</v>
      </c>
      <c r="K137" s="71" t="s">
        <v>1471</v>
      </c>
      <c r="L137" s="71" t="s">
        <v>1482</v>
      </c>
      <c r="M137" s="71" t="s">
        <v>1481</v>
      </c>
      <c r="N137" s="71" t="s">
        <v>1524</v>
      </c>
      <c r="O137" s="71" t="s">
        <v>1481</v>
      </c>
      <c r="P137" s="71"/>
      <c r="Q137" s="71"/>
      <c r="R137" s="71" t="s">
        <v>1706</v>
      </c>
      <c r="S137" s="71" t="s">
        <v>1707</v>
      </c>
      <c r="T137" s="71" t="s">
        <v>1560</v>
      </c>
      <c r="U137" s="71" t="s">
        <v>1560</v>
      </c>
    </row>
    <row r="138" spans="1:21" x14ac:dyDescent="0.2">
      <c r="A138" s="137">
        <v>137</v>
      </c>
      <c r="B138" s="71">
        <v>2171107649</v>
      </c>
      <c r="C138" s="71">
        <v>649</v>
      </c>
      <c r="D138" s="71">
        <v>2</v>
      </c>
      <c r="E138" s="71">
        <v>17</v>
      </c>
      <c r="F138" s="71">
        <v>11</v>
      </c>
      <c r="G138" s="71" t="s">
        <v>60</v>
      </c>
      <c r="H138" s="71" t="s">
        <v>1697</v>
      </c>
      <c r="I138" s="71">
        <v>2</v>
      </c>
      <c r="J138" s="71" t="s">
        <v>411</v>
      </c>
      <c r="K138" s="71" t="s">
        <v>1471</v>
      </c>
      <c r="L138" s="71" t="s">
        <v>1482</v>
      </c>
      <c r="M138" s="71" t="s">
        <v>1481</v>
      </c>
      <c r="N138" s="71" t="s">
        <v>1524</v>
      </c>
      <c r="O138" s="71" t="s">
        <v>1481</v>
      </c>
      <c r="P138" s="71"/>
      <c r="Q138" s="71"/>
      <c r="R138" s="71" t="s">
        <v>1482</v>
      </c>
      <c r="S138" s="71" t="s">
        <v>1481</v>
      </c>
      <c r="T138" s="71" t="s">
        <v>1482</v>
      </c>
      <c r="U138" s="71" t="s">
        <v>1481</v>
      </c>
    </row>
    <row r="139" spans="1:21" x14ac:dyDescent="0.2">
      <c r="A139" s="137">
        <v>138</v>
      </c>
      <c r="B139" s="71">
        <v>2151107703</v>
      </c>
      <c r="C139" s="71">
        <v>703</v>
      </c>
      <c r="D139" s="71">
        <v>2</v>
      </c>
      <c r="E139" s="71">
        <v>15</v>
      </c>
      <c r="F139" s="71">
        <v>11</v>
      </c>
      <c r="G139" s="71" t="s">
        <v>60</v>
      </c>
      <c r="H139" s="71" t="s">
        <v>1697</v>
      </c>
      <c r="I139" s="71">
        <v>2</v>
      </c>
      <c r="J139" s="71" t="s">
        <v>411</v>
      </c>
      <c r="K139" s="71" t="s">
        <v>1471</v>
      </c>
      <c r="L139" s="71" t="s">
        <v>1482</v>
      </c>
      <c r="M139" s="71" t="s">
        <v>1481</v>
      </c>
      <c r="N139" s="71" t="s">
        <v>1524</v>
      </c>
      <c r="O139" s="71" t="s">
        <v>1481</v>
      </c>
      <c r="P139" s="71"/>
      <c r="Q139" s="71"/>
      <c r="R139" s="71" t="s">
        <v>1708</v>
      </c>
      <c r="S139" s="71" t="s">
        <v>1709</v>
      </c>
      <c r="T139" s="71" t="s">
        <v>1708</v>
      </c>
      <c r="U139" s="71" t="s">
        <v>1709</v>
      </c>
    </row>
    <row r="140" spans="1:21" x14ac:dyDescent="0.2">
      <c r="A140" s="137">
        <v>139</v>
      </c>
      <c r="B140" s="71">
        <v>2154907704</v>
      </c>
      <c r="C140" s="71">
        <v>704</v>
      </c>
      <c r="D140" s="71">
        <v>2</v>
      </c>
      <c r="E140" s="71">
        <v>15</v>
      </c>
      <c r="F140" s="71">
        <v>49</v>
      </c>
      <c r="G140" s="71" t="s">
        <v>60</v>
      </c>
      <c r="H140" s="71" t="s">
        <v>1697</v>
      </c>
      <c r="I140" s="71">
        <v>2</v>
      </c>
      <c r="J140" s="71" t="s">
        <v>411</v>
      </c>
      <c r="K140" s="71" t="s">
        <v>1471</v>
      </c>
      <c r="L140" s="71" t="s">
        <v>1482</v>
      </c>
      <c r="M140" s="71" t="s">
        <v>1481</v>
      </c>
      <c r="N140" s="71" t="s">
        <v>1524</v>
      </c>
      <c r="O140" s="71" t="s">
        <v>1481</v>
      </c>
      <c r="P140" s="71"/>
      <c r="Q140" s="71"/>
      <c r="R140" s="71" t="s">
        <v>1528</v>
      </c>
      <c r="S140" s="71" t="s">
        <v>1527</v>
      </c>
      <c r="T140" s="71" t="s">
        <v>1528</v>
      </c>
      <c r="U140" s="71" t="s">
        <v>1527</v>
      </c>
    </row>
    <row r="141" spans="1:21" x14ac:dyDescent="0.2">
      <c r="A141" s="137">
        <v>140</v>
      </c>
      <c r="B141" s="71">
        <v>2154907705</v>
      </c>
      <c r="C141" s="71">
        <v>705</v>
      </c>
      <c r="D141" s="71">
        <v>2</v>
      </c>
      <c r="E141" s="71">
        <v>15</v>
      </c>
      <c r="F141" s="71">
        <v>49</v>
      </c>
      <c r="G141" s="71" t="s">
        <v>60</v>
      </c>
      <c r="H141" s="71" t="s">
        <v>1697</v>
      </c>
      <c r="I141" s="71">
        <v>3</v>
      </c>
      <c r="J141" s="71" t="s">
        <v>411</v>
      </c>
      <c r="K141" s="71" t="s">
        <v>1471</v>
      </c>
      <c r="L141" s="71" t="s">
        <v>1482</v>
      </c>
      <c r="M141" s="71" t="s">
        <v>1481</v>
      </c>
      <c r="N141" s="71" t="s">
        <v>1524</v>
      </c>
      <c r="O141" s="71" t="s">
        <v>1481</v>
      </c>
      <c r="P141" s="71"/>
      <c r="Q141" s="71"/>
      <c r="R141" s="71" t="s">
        <v>1710</v>
      </c>
      <c r="S141" s="71" t="s">
        <v>1711</v>
      </c>
      <c r="T141" s="71" t="s">
        <v>1710</v>
      </c>
      <c r="U141" s="71" t="s">
        <v>1711</v>
      </c>
    </row>
    <row r="142" spans="1:21" x14ac:dyDescent="0.2">
      <c r="A142" s="137">
        <v>141</v>
      </c>
      <c r="B142" s="71">
        <v>2151907002</v>
      </c>
      <c r="C142" s="71">
        <v>2</v>
      </c>
      <c r="D142" s="71">
        <v>2</v>
      </c>
      <c r="E142" s="71">
        <v>15</v>
      </c>
      <c r="F142" s="71">
        <v>19</v>
      </c>
      <c r="G142" s="71" t="s">
        <v>184</v>
      </c>
      <c r="H142" s="71" t="s">
        <v>1765</v>
      </c>
      <c r="I142" s="71">
        <v>2</v>
      </c>
      <c r="J142" s="71" t="s">
        <v>405</v>
      </c>
      <c r="K142" s="71" t="s">
        <v>1506</v>
      </c>
      <c r="L142" s="71" t="s">
        <v>95</v>
      </c>
      <c r="M142" s="71" t="s">
        <v>1505</v>
      </c>
      <c r="N142" s="71" t="s">
        <v>1466</v>
      </c>
      <c r="O142" s="71" t="s">
        <v>1465</v>
      </c>
      <c r="P142" s="71" t="s">
        <v>1518</v>
      </c>
      <c r="Q142" s="71" t="s">
        <v>1517</v>
      </c>
      <c r="R142" s="71"/>
      <c r="S142" s="71"/>
      <c r="T142" s="71"/>
      <c r="U142" s="71"/>
    </row>
    <row r="143" spans="1:21" x14ac:dyDescent="0.2">
      <c r="A143" s="137">
        <v>142</v>
      </c>
      <c r="B143" s="71">
        <v>2171107618</v>
      </c>
      <c r="C143" s="71">
        <v>618</v>
      </c>
      <c r="D143" s="71">
        <v>2</v>
      </c>
      <c r="E143" s="71">
        <v>17</v>
      </c>
      <c r="F143" s="71">
        <v>11</v>
      </c>
      <c r="G143" s="71" t="s">
        <v>184</v>
      </c>
      <c r="H143" s="71" t="s">
        <v>1765</v>
      </c>
      <c r="I143" s="71">
        <v>2</v>
      </c>
      <c r="J143" s="71" t="s">
        <v>405</v>
      </c>
      <c r="K143" s="71" t="s">
        <v>1506</v>
      </c>
      <c r="L143" s="71" t="s">
        <v>95</v>
      </c>
      <c r="M143" s="71" t="s">
        <v>1505</v>
      </c>
      <c r="N143" s="71" t="s">
        <v>1466</v>
      </c>
      <c r="O143" s="71" t="s">
        <v>1465</v>
      </c>
      <c r="P143" s="71" t="s">
        <v>1518</v>
      </c>
      <c r="Q143" s="71" t="s">
        <v>1517</v>
      </c>
      <c r="R143" s="71" t="s">
        <v>1560</v>
      </c>
      <c r="S143" s="71" t="s">
        <v>1560</v>
      </c>
      <c r="T143" s="71" t="s">
        <v>1560</v>
      </c>
      <c r="U143" s="71" t="s">
        <v>1560</v>
      </c>
    </row>
    <row r="144" spans="1:21" x14ac:dyDescent="0.2">
      <c r="A144" s="137">
        <v>143</v>
      </c>
      <c r="B144" s="71">
        <v>2171907619</v>
      </c>
      <c r="C144" s="71">
        <v>619</v>
      </c>
      <c r="D144" s="71">
        <v>2</v>
      </c>
      <c r="E144" s="71">
        <v>17</v>
      </c>
      <c r="F144" s="71">
        <v>19</v>
      </c>
      <c r="G144" s="71" t="s">
        <v>184</v>
      </c>
      <c r="H144" s="71" t="s">
        <v>1765</v>
      </c>
      <c r="I144" s="71">
        <v>2</v>
      </c>
      <c r="J144" s="71" t="s">
        <v>405</v>
      </c>
      <c r="K144" s="71" t="s">
        <v>1506</v>
      </c>
      <c r="L144" s="71" t="s">
        <v>95</v>
      </c>
      <c r="M144" s="71" t="s">
        <v>1505</v>
      </c>
      <c r="N144" s="71" t="s">
        <v>1466</v>
      </c>
      <c r="O144" s="71" t="s">
        <v>1465</v>
      </c>
      <c r="P144" s="71" t="s">
        <v>1518</v>
      </c>
      <c r="Q144" s="71" t="s">
        <v>1517</v>
      </c>
      <c r="R144" s="71" t="s">
        <v>1518</v>
      </c>
      <c r="S144" s="71" t="s">
        <v>1517</v>
      </c>
      <c r="T144" s="71" t="s">
        <v>1560</v>
      </c>
      <c r="U144" s="71" t="s">
        <v>1560</v>
      </c>
    </row>
    <row r="145" spans="1:21" x14ac:dyDescent="0.2">
      <c r="A145" s="137">
        <v>144</v>
      </c>
      <c r="B145" s="71">
        <v>2171907620</v>
      </c>
      <c r="C145" s="71">
        <v>620</v>
      </c>
      <c r="D145" s="71">
        <v>2</v>
      </c>
      <c r="E145" s="71">
        <v>17</v>
      </c>
      <c r="F145" s="71">
        <v>19</v>
      </c>
      <c r="G145" s="71" t="s">
        <v>184</v>
      </c>
      <c r="H145" s="71" t="s">
        <v>1765</v>
      </c>
      <c r="I145" s="71">
        <v>2</v>
      </c>
      <c r="J145" s="71" t="s">
        <v>405</v>
      </c>
      <c r="K145" s="71" t="s">
        <v>1506</v>
      </c>
      <c r="L145" s="71" t="s">
        <v>95</v>
      </c>
      <c r="M145" s="71" t="s">
        <v>1505</v>
      </c>
      <c r="N145" s="71" t="s">
        <v>1466</v>
      </c>
      <c r="O145" s="71" t="s">
        <v>1465</v>
      </c>
      <c r="P145" s="71" t="s">
        <v>1518</v>
      </c>
      <c r="Q145" s="71" t="s">
        <v>1517</v>
      </c>
      <c r="R145" s="71" t="s">
        <v>1712</v>
      </c>
      <c r="S145" s="71" t="s">
        <v>1713</v>
      </c>
      <c r="T145" s="71" t="s">
        <v>1560</v>
      </c>
      <c r="U145" s="71" t="s">
        <v>1560</v>
      </c>
    </row>
    <row r="146" spans="1:21" x14ac:dyDescent="0.2">
      <c r="A146" s="137">
        <v>145</v>
      </c>
      <c r="B146" s="71">
        <v>2171907621</v>
      </c>
      <c r="C146" s="71">
        <v>621</v>
      </c>
      <c r="D146" s="71">
        <v>2</v>
      </c>
      <c r="E146" s="71">
        <v>17</v>
      </c>
      <c r="F146" s="71">
        <v>19</v>
      </c>
      <c r="G146" s="71" t="s">
        <v>184</v>
      </c>
      <c r="H146" s="71" t="s">
        <v>1765</v>
      </c>
      <c r="I146" s="71">
        <v>2</v>
      </c>
      <c r="J146" s="71" t="s">
        <v>405</v>
      </c>
      <c r="K146" s="71" t="s">
        <v>1506</v>
      </c>
      <c r="L146" s="71" t="s">
        <v>95</v>
      </c>
      <c r="M146" s="71" t="s">
        <v>1505</v>
      </c>
      <c r="N146" s="71" t="s">
        <v>1466</v>
      </c>
      <c r="O146" s="71" t="s">
        <v>1465</v>
      </c>
      <c r="P146" s="71" t="s">
        <v>1518</v>
      </c>
      <c r="Q146" s="71" t="s">
        <v>1517</v>
      </c>
      <c r="R146" s="71" t="s">
        <v>1714</v>
      </c>
      <c r="S146" s="71" t="s">
        <v>1715</v>
      </c>
      <c r="T146" s="71" t="s">
        <v>1560</v>
      </c>
      <c r="U146" s="71" t="s">
        <v>1560</v>
      </c>
    </row>
    <row r="147" spans="1:21" x14ac:dyDescent="0.2">
      <c r="A147" s="137">
        <v>146</v>
      </c>
      <c r="B147" s="71">
        <v>2171107622</v>
      </c>
      <c r="C147" s="71">
        <v>622</v>
      </c>
      <c r="D147" s="71">
        <v>2</v>
      </c>
      <c r="E147" s="71">
        <v>17</v>
      </c>
      <c r="F147" s="71">
        <v>11</v>
      </c>
      <c r="G147" s="71" t="s">
        <v>184</v>
      </c>
      <c r="H147" s="71" t="s">
        <v>1765</v>
      </c>
      <c r="I147" s="71">
        <v>3</v>
      </c>
      <c r="J147" s="71" t="s">
        <v>405</v>
      </c>
      <c r="K147" s="71" t="s">
        <v>1506</v>
      </c>
      <c r="L147" s="71" t="s">
        <v>95</v>
      </c>
      <c r="M147" s="71" t="s">
        <v>1505</v>
      </c>
      <c r="N147" s="71" t="s">
        <v>1466</v>
      </c>
      <c r="O147" s="71" t="s">
        <v>1465</v>
      </c>
      <c r="P147" s="71" t="s">
        <v>1518</v>
      </c>
      <c r="Q147" s="71" t="s">
        <v>1517</v>
      </c>
      <c r="R147" s="71" t="s">
        <v>1716</v>
      </c>
      <c r="S147" s="71" t="s">
        <v>1717</v>
      </c>
      <c r="T147" s="71" t="s">
        <v>1560</v>
      </c>
      <c r="U147" s="71" t="s">
        <v>1560</v>
      </c>
    </row>
    <row r="148" spans="1:21" x14ac:dyDescent="0.2">
      <c r="A148" s="137">
        <v>147</v>
      </c>
      <c r="B148" s="71">
        <v>2171107623</v>
      </c>
      <c r="C148" s="71">
        <v>623</v>
      </c>
      <c r="D148" s="71">
        <v>2</v>
      </c>
      <c r="E148" s="71">
        <v>17</v>
      </c>
      <c r="F148" s="71">
        <v>11</v>
      </c>
      <c r="G148" s="71" t="s">
        <v>184</v>
      </c>
      <c r="H148" s="71" t="s">
        <v>1765</v>
      </c>
      <c r="I148" s="71">
        <v>2</v>
      </c>
      <c r="J148" s="71" t="s">
        <v>405</v>
      </c>
      <c r="K148" s="71" t="s">
        <v>1506</v>
      </c>
      <c r="L148" s="71" t="s">
        <v>95</v>
      </c>
      <c r="M148" s="71" t="s">
        <v>1505</v>
      </c>
      <c r="N148" s="71" t="s">
        <v>1466</v>
      </c>
      <c r="O148" s="71" t="s">
        <v>1465</v>
      </c>
      <c r="P148" s="71" t="s">
        <v>1518</v>
      </c>
      <c r="Q148" s="71" t="s">
        <v>1517</v>
      </c>
      <c r="R148" s="71"/>
      <c r="S148" s="71"/>
      <c r="T148" s="71"/>
      <c r="U148" s="71"/>
    </row>
    <row r="149" spans="1:21" x14ac:dyDescent="0.2">
      <c r="A149" s="137">
        <v>148</v>
      </c>
      <c r="B149" s="71">
        <v>2171107633</v>
      </c>
      <c r="C149" s="71">
        <v>633</v>
      </c>
      <c r="D149" s="71">
        <v>2</v>
      </c>
      <c r="E149" s="71">
        <v>17</v>
      </c>
      <c r="F149" s="71">
        <v>11</v>
      </c>
      <c r="G149" s="71" t="s">
        <v>184</v>
      </c>
      <c r="H149" s="71" t="s">
        <v>1765</v>
      </c>
      <c r="I149" s="71">
        <v>2</v>
      </c>
      <c r="J149" s="71" t="s">
        <v>405</v>
      </c>
      <c r="K149" s="71" t="s">
        <v>1506</v>
      </c>
      <c r="L149" s="71" t="s">
        <v>95</v>
      </c>
      <c r="M149" s="71" t="s">
        <v>1505</v>
      </c>
      <c r="N149" s="71" t="s">
        <v>1466</v>
      </c>
      <c r="O149" s="71" t="s">
        <v>1465</v>
      </c>
      <c r="P149" s="71" t="s">
        <v>1518</v>
      </c>
      <c r="Q149" s="71" t="s">
        <v>1517</v>
      </c>
      <c r="R149" s="71" t="s">
        <v>1718</v>
      </c>
      <c r="S149" s="71" t="s">
        <v>1719</v>
      </c>
      <c r="T149" s="71" t="s">
        <v>1718</v>
      </c>
      <c r="U149" s="71" t="s">
        <v>1719</v>
      </c>
    </row>
    <row r="150" spans="1:21" x14ac:dyDescent="0.2">
      <c r="A150" s="137">
        <v>149</v>
      </c>
      <c r="B150" s="71">
        <v>2171107634</v>
      </c>
      <c r="C150" s="71">
        <v>634</v>
      </c>
      <c r="D150" s="71">
        <v>2</v>
      </c>
      <c r="E150" s="71">
        <v>17</v>
      </c>
      <c r="F150" s="71">
        <v>11</v>
      </c>
      <c r="G150" s="71" t="s">
        <v>184</v>
      </c>
      <c r="H150" s="71" t="s">
        <v>1765</v>
      </c>
      <c r="I150" s="71">
        <v>2</v>
      </c>
      <c r="J150" s="71" t="s">
        <v>405</v>
      </c>
      <c r="K150" s="71" t="s">
        <v>1506</v>
      </c>
      <c r="L150" s="71" t="s">
        <v>95</v>
      </c>
      <c r="M150" s="71" t="s">
        <v>1505</v>
      </c>
      <c r="N150" s="71" t="s">
        <v>1466</v>
      </c>
      <c r="O150" s="71" t="s">
        <v>1465</v>
      </c>
      <c r="P150" s="71" t="s">
        <v>1518</v>
      </c>
      <c r="Q150" s="71" t="s">
        <v>1517</v>
      </c>
      <c r="R150" s="71" t="s">
        <v>1560</v>
      </c>
      <c r="S150" s="71" t="s">
        <v>1560</v>
      </c>
      <c r="T150" s="71" t="s">
        <v>1720</v>
      </c>
      <c r="U150" s="71" t="s">
        <v>1721</v>
      </c>
    </row>
    <row r="151" spans="1:21" x14ac:dyDescent="0.2">
      <c r="A151" s="137">
        <v>150</v>
      </c>
      <c r="B151" s="71">
        <v>2171907635</v>
      </c>
      <c r="C151" s="71">
        <v>635</v>
      </c>
      <c r="D151" s="71">
        <v>2</v>
      </c>
      <c r="E151" s="71">
        <v>17</v>
      </c>
      <c r="F151" s="71">
        <v>19</v>
      </c>
      <c r="G151" s="71" t="s">
        <v>184</v>
      </c>
      <c r="H151" s="71" t="s">
        <v>1765</v>
      </c>
      <c r="I151" s="71">
        <v>2</v>
      </c>
      <c r="J151" s="71" t="s">
        <v>405</v>
      </c>
      <c r="K151" s="71" t="s">
        <v>1506</v>
      </c>
      <c r="L151" s="71" t="s">
        <v>95</v>
      </c>
      <c r="M151" s="71" t="s">
        <v>1505</v>
      </c>
      <c r="N151" s="71" t="s">
        <v>1466</v>
      </c>
      <c r="O151" s="71" t="s">
        <v>1465</v>
      </c>
      <c r="P151" s="71" t="s">
        <v>1518</v>
      </c>
      <c r="Q151" s="71" t="s">
        <v>1517</v>
      </c>
      <c r="R151" s="71" t="s">
        <v>1722</v>
      </c>
      <c r="S151" s="71" t="s">
        <v>1723</v>
      </c>
      <c r="T151" s="71" t="s">
        <v>1560</v>
      </c>
      <c r="U151" s="71" t="s">
        <v>1560</v>
      </c>
    </row>
    <row r="152" spans="1:21" x14ac:dyDescent="0.2">
      <c r="A152" s="137">
        <v>151</v>
      </c>
      <c r="B152" s="71">
        <v>2171907636</v>
      </c>
      <c r="C152" s="71">
        <v>636</v>
      </c>
      <c r="D152" s="71">
        <v>2</v>
      </c>
      <c r="E152" s="71">
        <v>17</v>
      </c>
      <c r="F152" s="71">
        <v>19</v>
      </c>
      <c r="G152" s="71" t="s">
        <v>184</v>
      </c>
      <c r="H152" s="71" t="s">
        <v>1765</v>
      </c>
      <c r="I152" s="71">
        <v>2</v>
      </c>
      <c r="J152" s="71" t="s">
        <v>405</v>
      </c>
      <c r="K152" s="71" t="s">
        <v>1506</v>
      </c>
      <c r="L152" s="71" t="s">
        <v>95</v>
      </c>
      <c r="M152" s="71" t="s">
        <v>1505</v>
      </c>
      <c r="N152" s="71" t="s">
        <v>1466</v>
      </c>
      <c r="O152" s="71" t="s">
        <v>1465</v>
      </c>
      <c r="P152" s="71" t="s">
        <v>1518</v>
      </c>
      <c r="Q152" s="71" t="s">
        <v>1517</v>
      </c>
      <c r="R152" s="71" t="s">
        <v>1724</v>
      </c>
      <c r="S152" s="71" t="s">
        <v>1725</v>
      </c>
      <c r="T152" s="71" t="s">
        <v>1560</v>
      </c>
      <c r="U152" s="71" t="s">
        <v>1560</v>
      </c>
    </row>
    <row r="153" spans="1:21" x14ac:dyDescent="0.2">
      <c r="A153" s="137">
        <v>152</v>
      </c>
      <c r="B153" s="71">
        <v>2171907637</v>
      </c>
      <c r="C153" s="71">
        <v>637</v>
      </c>
      <c r="D153" s="71">
        <v>2</v>
      </c>
      <c r="E153" s="71">
        <v>17</v>
      </c>
      <c r="F153" s="71">
        <v>19</v>
      </c>
      <c r="G153" s="71" t="s">
        <v>184</v>
      </c>
      <c r="H153" s="71" t="s">
        <v>1765</v>
      </c>
      <c r="I153" s="71">
        <v>2</v>
      </c>
      <c r="J153" s="71" t="s">
        <v>405</v>
      </c>
      <c r="K153" s="71" t="s">
        <v>1506</v>
      </c>
      <c r="L153" s="71" t="s">
        <v>95</v>
      </c>
      <c r="M153" s="71" t="s">
        <v>1505</v>
      </c>
      <c r="N153" s="71" t="s">
        <v>1466</v>
      </c>
      <c r="O153" s="71" t="s">
        <v>1465</v>
      </c>
      <c r="P153" s="71" t="s">
        <v>1518</v>
      </c>
      <c r="Q153" s="71" t="s">
        <v>1517</v>
      </c>
      <c r="R153" s="71" t="s">
        <v>1726</v>
      </c>
      <c r="S153" s="71" t="s">
        <v>1727</v>
      </c>
      <c r="T153" s="71" t="s">
        <v>1560</v>
      </c>
      <c r="U153" s="71" t="s">
        <v>1560</v>
      </c>
    </row>
    <row r="154" spans="1:21" x14ac:dyDescent="0.2">
      <c r="A154" s="137">
        <v>153</v>
      </c>
      <c r="B154" s="71">
        <v>2171107638</v>
      </c>
      <c r="C154" s="71">
        <v>638</v>
      </c>
      <c r="D154" s="71">
        <v>2</v>
      </c>
      <c r="E154" s="71">
        <v>17</v>
      </c>
      <c r="F154" s="71">
        <v>11</v>
      </c>
      <c r="G154" s="71" t="s">
        <v>184</v>
      </c>
      <c r="H154" s="71" t="s">
        <v>1765</v>
      </c>
      <c r="I154" s="71">
        <v>2</v>
      </c>
      <c r="J154" s="71" t="s">
        <v>405</v>
      </c>
      <c r="K154" s="71" t="s">
        <v>1506</v>
      </c>
      <c r="L154" s="71" t="s">
        <v>95</v>
      </c>
      <c r="M154" s="71" t="s">
        <v>1505</v>
      </c>
      <c r="N154" s="71" t="s">
        <v>1466</v>
      </c>
      <c r="O154" s="71" t="s">
        <v>1465</v>
      </c>
      <c r="P154" s="71" t="s">
        <v>1518</v>
      </c>
      <c r="Q154" s="71" t="s">
        <v>1517</v>
      </c>
      <c r="R154" s="71"/>
      <c r="S154" s="71"/>
      <c r="T154" s="71"/>
      <c r="U154" s="71"/>
    </row>
    <row r="155" spans="1:21" x14ac:dyDescent="0.2">
      <c r="A155" s="137">
        <v>154</v>
      </c>
      <c r="B155" s="71">
        <v>2171107639</v>
      </c>
      <c r="C155" s="71">
        <v>639</v>
      </c>
      <c r="D155" s="71">
        <v>2</v>
      </c>
      <c r="E155" s="71">
        <v>17</v>
      </c>
      <c r="F155" s="71">
        <v>11</v>
      </c>
      <c r="G155" s="71" t="s">
        <v>184</v>
      </c>
      <c r="H155" s="71" t="s">
        <v>1765</v>
      </c>
      <c r="I155" s="71">
        <v>2</v>
      </c>
      <c r="J155" s="71" t="s">
        <v>405</v>
      </c>
      <c r="K155" s="71" t="s">
        <v>1506</v>
      </c>
      <c r="L155" s="71" t="s">
        <v>95</v>
      </c>
      <c r="M155" s="71" t="s">
        <v>1505</v>
      </c>
      <c r="N155" s="71" t="s">
        <v>1466</v>
      </c>
      <c r="O155" s="71" t="s">
        <v>1465</v>
      </c>
      <c r="P155" s="71" t="s">
        <v>1518</v>
      </c>
      <c r="Q155" s="71" t="s">
        <v>1517</v>
      </c>
      <c r="R155" s="71"/>
      <c r="S155" s="71"/>
      <c r="T155" s="71"/>
      <c r="U155" s="71"/>
    </row>
    <row r="156" spans="1:21" x14ac:dyDescent="0.2">
      <c r="A156" s="137">
        <v>155</v>
      </c>
      <c r="B156" s="71">
        <v>2171107640</v>
      </c>
      <c r="C156" s="71">
        <v>640</v>
      </c>
      <c r="D156" s="71">
        <v>2</v>
      </c>
      <c r="E156" s="71">
        <v>17</v>
      </c>
      <c r="F156" s="71">
        <v>11</v>
      </c>
      <c r="G156" s="71" t="s">
        <v>184</v>
      </c>
      <c r="H156" s="71" t="s">
        <v>1765</v>
      </c>
      <c r="I156" s="71">
        <v>2</v>
      </c>
      <c r="J156" s="71" t="s">
        <v>405</v>
      </c>
      <c r="K156" s="71" t="s">
        <v>1506</v>
      </c>
      <c r="L156" s="71" t="s">
        <v>95</v>
      </c>
      <c r="M156" s="71" t="s">
        <v>1505</v>
      </c>
      <c r="N156" s="71" t="s">
        <v>1466</v>
      </c>
      <c r="O156" s="71" t="s">
        <v>1465</v>
      </c>
      <c r="P156" s="71" t="s">
        <v>1518</v>
      </c>
      <c r="Q156" s="71" t="s">
        <v>1517</v>
      </c>
      <c r="R156" s="71" t="s">
        <v>1728</v>
      </c>
      <c r="S156" s="71" t="s">
        <v>1729</v>
      </c>
      <c r="T156" s="71" t="s">
        <v>1560</v>
      </c>
      <c r="U156" s="71" t="s">
        <v>1560</v>
      </c>
    </row>
    <row r="157" spans="1:21" x14ac:dyDescent="0.2">
      <c r="A157" s="137">
        <v>156</v>
      </c>
      <c r="B157" s="71">
        <v>2171107650</v>
      </c>
      <c r="C157" s="71">
        <v>650</v>
      </c>
      <c r="D157" s="71">
        <v>2</v>
      </c>
      <c r="E157" s="71">
        <v>17</v>
      </c>
      <c r="F157" s="71">
        <v>11</v>
      </c>
      <c r="G157" s="71" t="s">
        <v>184</v>
      </c>
      <c r="H157" s="71" t="s">
        <v>1765</v>
      </c>
      <c r="I157" s="71">
        <v>3</v>
      </c>
      <c r="J157" s="71" t="s">
        <v>405</v>
      </c>
      <c r="K157" s="71" t="s">
        <v>1506</v>
      </c>
      <c r="L157" s="71" t="s">
        <v>95</v>
      </c>
      <c r="M157" s="71" t="s">
        <v>1505</v>
      </c>
      <c r="N157" s="71" t="s">
        <v>1466</v>
      </c>
      <c r="O157" s="71" t="s">
        <v>1465</v>
      </c>
      <c r="P157" s="71" t="s">
        <v>1518</v>
      </c>
      <c r="Q157" s="71" t="s">
        <v>1517</v>
      </c>
      <c r="R157" s="71"/>
      <c r="S157" s="71"/>
      <c r="T157" s="71"/>
      <c r="U157" s="71"/>
    </row>
    <row r="158" spans="1:21" x14ac:dyDescent="0.2">
      <c r="A158" s="137">
        <v>157</v>
      </c>
      <c r="B158" s="71">
        <v>2171107651</v>
      </c>
      <c r="C158" s="71">
        <v>651</v>
      </c>
      <c r="D158" s="71">
        <v>2</v>
      </c>
      <c r="E158" s="71">
        <v>17</v>
      </c>
      <c r="F158" s="71">
        <v>11</v>
      </c>
      <c r="G158" s="71" t="s">
        <v>184</v>
      </c>
      <c r="H158" s="71" t="s">
        <v>1765</v>
      </c>
      <c r="I158" s="71">
        <v>3</v>
      </c>
      <c r="J158" s="71" t="s">
        <v>405</v>
      </c>
      <c r="K158" s="71" t="s">
        <v>1506</v>
      </c>
      <c r="L158" s="71" t="s">
        <v>95</v>
      </c>
      <c r="M158" s="71" t="s">
        <v>1505</v>
      </c>
      <c r="N158" s="71" t="s">
        <v>1466</v>
      </c>
      <c r="O158" s="71" t="s">
        <v>1465</v>
      </c>
      <c r="P158" s="71" t="s">
        <v>1518</v>
      </c>
      <c r="Q158" s="71" t="s">
        <v>1517</v>
      </c>
      <c r="R158" s="71"/>
      <c r="S158" s="71"/>
      <c r="T158" s="71"/>
      <c r="U158" s="71"/>
    </row>
    <row r="159" spans="1:21" x14ac:dyDescent="0.2">
      <c r="A159" s="137">
        <v>158</v>
      </c>
      <c r="B159" s="71">
        <v>2181207200</v>
      </c>
      <c r="C159" s="71">
        <v>200</v>
      </c>
      <c r="D159" s="71">
        <v>2</v>
      </c>
      <c r="E159" s="71">
        <v>18</v>
      </c>
      <c r="F159" s="71">
        <v>12</v>
      </c>
      <c r="G159" s="71" t="s">
        <v>28</v>
      </c>
      <c r="H159" s="71" t="s">
        <v>1730</v>
      </c>
      <c r="I159" s="71">
        <v>2</v>
      </c>
      <c r="J159" s="71" t="s">
        <v>1493</v>
      </c>
      <c r="K159" s="71" t="s">
        <v>1492</v>
      </c>
      <c r="L159" s="71" t="s">
        <v>1495</v>
      </c>
      <c r="M159" s="71" t="s">
        <v>1494</v>
      </c>
      <c r="N159" s="71"/>
      <c r="O159" s="71"/>
      <c r="P159" s="71"/>
      <c r="Q159" s="71"/>
      <c r="R159" s="71" t="s">
        <v>1731</v>
      </c>
      <c r="S159" s="71" t="s">
        <v>1732</v>
      </c>
      <c r="T159" s="71" t="s">
        <v>1560</v>
      </c>
      <c r="U159" s="71" t="s">
        <v>1560</v>
      </c>
    </row>
    <row r="160" spans="1:21" x14ac:dyDescent="0.2">
      <c r="A160" s="137">
        <v>159</v>
      </c>
      <c r="B160" s="71">
        <v>2181207201</v>
      </c>
      <c r="C160" s="71">
        <v>201</v>
      </c>
      <c r="D160" s="71">
        <v>2</v>
      </c>
      <c r="E160" s="71">
        <v>18</v>
      </c>
      <c r="F160" s="71">
        <v>12</v>
      </c>
      <c r="G160" s="71" t="s">
        <v>28</v>
      </c>
      <c r="H160" s="71" t="s">
        <v>1730</v>
      </c>
      <c r="I160" s="71">
        <v>2</v>
      </c>
      <c r="J160" s="71" t="s">
        <v>1493</v>
      </c>
      <c r="K160" s="71" t="s">
        <v>1492</v>
      </c>
      <c r="L160" s="71" t="s">
        <v>1495</v>
      </c>
      <c r="M160" s="71" t="s">
        <v>1494</v>
      </c>
      <c r="N160" s="71"/>
      <c r="O160" s="71"/>
      <c r="P160" s="71"/>
      <c r="Q160" s="71"/>
      <c r="R160" s="71"/>
      <c r="S160" s="71"/>
      <c r="T160" s="71"/>
      <c r="U160" s="71"/>
    </row>
    <row r="161" spans="1:21" x14ac:dyDescent="0.2">
      <c r="A161" s="137">
        <v>160</v>
      </c>
      <c r="B161" s="71">
        <v>2181207202</v>
      </c>
      <c r="C161" s="71">
        <v>202</v>
      </c>
      <c r="D161" s="71">
        <v>2</v>
      </c>
      <c r="E161" s="71">
        <v>18</v>
      </c>
      <c r="F161" s="71">
        <v>12</v>
      </c>
      <c r="G161" s="71" t="s">
        <v>28</v>
      </c>
      <c r="H161" s="71" t="s">
        <v>1730</v>
      </c>
      <c r="I161" s="71">
        <v>2</v>
      </c>
      <c r="J161" s="71" t="s">
        <v>1493</v>
      </c>
      <c r="K161" s="71" t="s">
        <v>1492</v>
      </c>
      <c r="L161" s="71" t="s">
        <v>1495</v>
      </c>
      <c r="M161" s="71" t="s">
        <v>1494</v>
      </c>
      <c r="N161" s="71"/>
      <c r="O161" s="71"/>
      <c r="P161" s="71"/>
      <c r="Q161" s="71"/>
      <c r="R161" s="71"/>
      <c r="S161" s="71"/>
      <c r="T161" s="71"/>
      <c r="U161" s="71"/>
    </row>
    <row r="162" spans="1:21" x14ac:dyDescent="0.2">
      <c r="A162" s="137">
        <v>161</v>
      </c>
      <c r="B162" s="71">
        <v>2181207203</v>
      </c>
      <c r="C162" s="71">
        <v>203</v>
      </c>
      <c r="D162" s="71">
        <v>2</v>
      </c>
      <c r="E162" s="71">
        <v>18</v>
      </c>
      <c r="F162" s="71">
        <v>12</v>
      </c>
      <c r="G162" s="71" t="s">
        <v>28</v>
      </c>
      <c r="H162" s="71" t="s">
        <v>1730</v>
      </c>
      <c r="I162" s="71">
        <v>4</v>
      </c>
      <c r="J162" s="71" t="s">
        <v>1493</v>
      </c>
      <c r="K162" s="71" t="s">
        <v>1492</v>
      </c>
      <c r="L162" s="71" t="s">
        <v>1495</v>
      </c>
      <c r="M162" s="71" t="s">
        <v>1494</v>
      </c>
      <c r="N162" s="71"/>
      <c r="O162" s="71"/>
      <c r="P162" s="71"/>
      <c r="Q162" s="71"/>
      <c r="R162" s="71" t="s">
        <v>1733</v>
      </c>
      <c r="S162" s="71" t="s">
        <v>1734</v>
      </c>
      <c r="T162" s="71" t="s">
        <v>1560</v>
      </c>
      <c r="U162" s="71" t="s">
        <v>1560</v>
      </c>
    </row>
    <row r="163" spans="1:21" x14ac:dyDescent="0.2">
      <c r="A163" s="137">
        <v>162</v>
      </c>
      <c r="B163" s="71">
        <v>2181207204</v>
      </c>
      <c r="C163" s="71">
        <v>204</v>
      </c>
      <c r="D163" s="71">
        <v>2</v>
      </c>
      <c r="E163" s="71">
        <v>18</v>
      </c>
      <c r="F163" s="71">
        <v>12</v>
      </c>
      <c r="G163" s="71" t="s">
        <v>28</v>
      </c>
      <c r="H163" s="71" t="s">
        <v>1730</v>
      </c>
      <c r="I163" s="71">
        <v>2</v>
      </c>
      <c r="J163" s="71" t="s">
        <v>1493</v>
      </c>
      <c r="K163" s="71" t="s">
        <v>1492</v>
      </c>
      <c r="L163" s="71" t="s">
        <v>1495</v>
      </c>
      <c r="M163" s="71" t="s">
        <v>1494</v>
      </c>
      <c r="N163" s="71"/>
      <c r="O163" s="71"/>
      <c r="P163" s="71"/>
      <c r="Q163" s="71"/>
      <c r="R163" s="71" t="s">
        <v>1735</v>
      </c>
      <c r="S163" s="71" t="s">
        <v>1736</v>
      </c>
      <c r="T163" s="71" t="s">
        <v>1735</v>
      </c>
      <c r="U163" s="71" t="s">
        <v>1736</v>
      </c>
    </row>
    <row r="164" spans="1:21" x14ac:dyDescent="0.2">
      <c r="A164" s="137">
        <v>163</v>
      </c>
      <c r="B164" s="71">
        <v>2181207205</v>
      </c>
      <c r="C164" s="71">
        <v>205</v>
      </c>
      <c r="D164" s="71">
        <v>2</v>
      </c>
      <c r="E164" s="71">
        <v>18</v>
      </c>
      <c r="F164" s="71">
        <v>12</v>
      </c>
      <c r="G164" s="71" t="s">
        <v>28</v>
      </c>
      <c r="H164" s="71" t="s">
        <v>1730</v>
      </c>
      <c r="I164" s="71">
        <v>3</v>
      </c>
      <c r="J164" s="71" t="s">
        <v>1493</v>
      </c>
      <c r="K164" s="71" t="s">
        <v>1492</v>
      </c>
      <c r="L164" s="71" t="s">
        <v>1495</v>
      </c>
      <c r="M164" s="71" t="s">
        <v>1494</v>
      </c>
      <c r="N164" s="71"/>
      <c r="O164" s="71"/>
      <c r="P164" s="71"/>
      <c r="Q164" s="71"/>
      <c r="R164" s="71" t="s">
        <v>1560</v>
      </c>
      <c r="S164" s="71" t="s">
        <v>1560</v>
      </c>
      <c r="T164" s="71" t="s">
        <v>1560</v>
      </c>
      <c r="U164" s="71" t="s">
        <v>1560</v>
      </c>
    </row>
    <row r="165" spans="1:21" x14ac:dyDescent="0.2">
      <c r="A165" s="137">
        <v>164</v>
      </c>
      <c r="B165" s="71">
        <v>2181207206</v>
      </c>
      <c r="C165" s="71">
        <v>206</v>
      </c>
      <c r="D165" s="71">
        <v>2</v>
      </c>
      <c r="E165" s="71">
        <v>18</v>
      </c>
      <c r="F165" s="71">
        <v>12</v>
      </c>
      <c r="G165" s="71" t="s">
        <v>28</v>
      </c>
      <c r="H165" s="71" t="s">
        <v>1730</v>
      </c>
      <c r="I165" s="71">
        <v>4</v>
      </c>
      <c r="J165" s="71" t="s">
        <v>1493</v>
      </c>
      <c r="K165" s="71" t="s">
        <v>1492</v>
      </c>
      <c r="L165" s="71" t="s">
        <v>1495</v>
      </c>
      <c r="M165" s="71" t="s">
        <v>1494</v>
      </c>
      <c r="N165" s="71"/>
      <c r="O165" s="71"/>
      <c r="P165" s="71"/>
      <c r="Q165" s="71"/>
      <c r="R165" s="71" t="s">
        <v>1737</v>
      </c>
      <c r="S165" s="71" t="s">
        <v>1738</v>
      </c>
      <c r="T165" s="71" t="s">
        <v>1560</v>
      </c>
      <c r="U165" s="71" t="s">
        <v>1560</v>
      </c>
    </row>
    <row r="166" spans="1:21" x14ac:dyDescent="0.2">
      <c r="A166" s="137">
        <v>165</v>
      </c>
      <c r="B166" s="71">
        <v>2181207207</v>
      </c>
      <c r="C166" s="71">
        <v>207</v>
      </c>
      <c r="D166" s="71">
        <v>2</v>
      </c>
      <c r="E166" s="71">
        <v>18</v>
      </c>
      <c r="F166" s="71">
        <v>12</v>
      </c>
      <c r="G166" s="71" t="s">
        <v>28</v>
      </c>
      <c r="H166" s="71" t="s">
        <v>1730</v>
      </c>
      <c r="I166" s="71">
        <v>2</v>
      </c>
      <c r="J166" s="71" t="s">
        <v>1493</v>
      </c>
      <c r="K166" s="71" t="s">
        <v>1492</v>
      </c>
      <c r="L166" s="71" t="s">
        <v>1495</v>
      </c>
      <c r="M166" s="71" t="s">
        <v>1494</v>
      </c>
      <c r="N166" s="71"/>
      <c r="O166" s="71"/>
      <c r="P166" s="71"/>
      <c r="Q166" s="71"/>
      <c r="R166" s="71"/>
      <c r="S166" s="71"/>
      <c r="T166" s="71"/>
      <c r="U166" s="71"/>
    </row>
    <row r="167" spans="1:21" x14ac:dyDescent="0.2">
      <c r="A167" s="137">
        <v>166</v>
      </c>
      <c r="B167" s="71">
        <v>2181207208</v>
      </c>
      <c r="C167" s="71">
        <v>208</v>
      </c>
      <c r="D167" s="71">
        <v>2</v>
      </c>
      <c r="E167" s="71">
        <v>18</v>
      </c>
      <c r="F167" s="71">
        <v>12</v>
      </c>
      <c r="G167" s="71" t="s">
        <v>28</v>
      </c>
      <c r="H167" s="71" t="s">
        <v>1730</v>
      </c>
      <c r="I167" s="71">
        <v>3</v>
      </c>
      <c r="J167" s="71" t="s">
        <v>1493</v>
      </c>
      <c r="K167" s="71" t="s">
        <v>1492</v>
      </c>
      <c r="L167" s="71" t="s">
        <v>1495</v>
      </c>
      <c r="M167" s="71" t="s">
        <v>1494</v>
      </c>
      <c r="N167" s="71"/>
      <c r="O167" s="71"/>
      <c r="P167" s="71"/>
      <c r="Q167" s="71"/>
      <c r="R167" s="71" t="s">
        <v>1560</v>
      </c>
      <c r="S167" s="71" t="s">
        <v>1560</v>
      </c>
      <c r="T167" s="71" t="s">
        <v>1560</v>
      </c>
      <c r="U167" s="71" t="s">
        <v>1560</v>
      </c>
    </row>
    <row r="168" spans="1:21" x14ac:dyDescent="0.2">
      <c r="A168" s="137">
        <v>167</v>
      </c>
      <c r="B168" s="71">
        <v>2181207209</v>
      </c>
      <c r="C168" s="71">
        <v>209</v>
      </c>
      <c r="D168" s="71">
        <v>2</v>
      </c>
      <c r="E168" s="71">
        <v>18</v>
      </c>
      <c r="F168" s="71">
        <v>12</v>
      </c>
      <c r="G168" s="71" t="s">
        <v>28</v>
      </c>
      <c r="H168" s="71" t="s">
        <v>1730</v>
      </c>
      <c r="I168" s="71">
        <v>3</v>
      </c>
      <c r="J168" s="71" t="s">
        <v>1493</v>
      </c>
      <c r="K168" s="71" t="s">
        <v>1492</v>
      </c>
      <c r="L168" s="71" t="s">
        <v>1495</v>
      </c>
      <c r="M168" s="71" t="s">
        <v>1494</v>
      </c>
      <c r="N168" s="71"/>
      <c r="O168" s="71"/>
      <c r="P168" s="71"/>
      <c r="Q168" s="71"/>
      <c r="R168" s="71" t="s">
        <v>1739</v>
      </c>
      <c r="S168" s="71" t="s">
        <v>1740</v>
      </c>
      <c r="T168" s="71" t="s">
        <v>1560</v>
      </c>
      <c r="U168" s="71" t="s">
        <v>1560</v>
      </c>
    </row>
    <row r="169" spans="1:21" x14ac:dyDescent="0.2">
      <c r="A169" s="137">
        <v>168</v>
      </c>
      <c r="B169" s="71">
        <v>2181207210</v>
      </c>
      <c r="C169" s="71">
        <v>210</v>
      </c>
      <c r="D169" s="71">
        <v>2</v>
      </c>
      <c r="E169" s="71">
        <v>18</v>
      </c>
      <c r="F169" s="71">
        <v>12</v>
      </c>
      <c r="G169" s="71" t="s">
        <v>28</v>
      </c>
      <c r="H169" s="71" t="s">
        <v>1730</v>
      </c>
      <c r="I169" s="71">
        <v>2</v>
      </c>
      <c r="J169" s="71" t="s">
        <v>1493</v>
      </c>
      <c r="K169" s="71" t="s">
        <v>1492</v>
      </c>
      <c r="L169" s="71" t="s">
        <v>1495</v>
      </c>
      <c r="M169" s="71" t="s">
        <v>1494</v>
      </c>
      <c r="N169" s="71"/>
      <c r="O169" s="71"/>
      <c r="P169" s="71"/>
      <c r="Q169" s="71"/>
      <c r="R169" s="71"/>
      <c r="S169" s="71"/>
      <c r="T169" s="71"/>
      <c r="U169" s="71"/>
    </row>
    <row r="170" spans="1:21" x14ac:dyDescent="0.2">
      <c r="A170" s="137">
        <v>169</v>
      </c>
      <c r="B170" s="71">
        <v>2181207211</v>
      </c>
      <c r="C170" s="71">
        <v>211</v>
      </c>
      <c r="D170" s="71">
        <v>2</v>
      </c>
      <c r="E170" s="71">
        <v>18</v>
      </c>
      <c r="F170" s="71">
        <v>12</v>
      </c>
      <c r="G170" s="71" t="s">
        <v>28</v>
      </c>
      <c r="H170" s="71" t="s">
        <v>1730</v>
      </c>
      <c r="I170" s="71">
        <v>3</v>
      </c>
      <c r="J170" s="71" t="s">
        <v>1493</v>
      </c>
      <c r="K170" s="71" t="s">
        <v>1492</v>
      </c>
      <c r="L170" s="71" t="s">
        <v>1495</v>
      </c>
      <c r="M170" s="71" t="s">
        <v>1494</v>
      </c>
      <c r="N170" s="71"/>
      <c r="O170" s="71"/>
      <c r="P170" s="71"/>
      <c r="Q170" s="71"/>
      <c r="R170" s="71"/>
      <c r="S170" s="71"/>
      <c r="T170" s="71"/>
      <c r="U170" s="71"/>
    </row>
    <row r="171" spans="1:21" x14ac:dyDescent="0.2">
      <c r="A171" s="137">
        <v>170</v>
      </c>
      <c r="B171" s="71">
        <v>2181207212</v>
      </c>
      <c r="C171" s="71">
        <v>212</v>
      </c>
      <c r="D171" s="71">
        <v>2</v>
      </c>
      <c r="E171" s="71">
        <v>18</v>
      </c>
      <c r="F171" s="71">
        <v>12</v>
      </c>
      <c r="G171" s="71" t="s">
        <v>28</v>
      </c>
      <c r="H171" s="71" t="s">
        <v>1730</v>
      </c>
      <c r="I171" s="71">
        <v>2</v>
      </c>
      <c r="J171" s="71" t="s">
        <v>1493</v>
      </c>
      <c r="K171" s="71" t="s">
        <v>1492</v>
      </c>
      <c r="L171" s="71" t="s">
        <v>1495</v>
      </c>
      <c r="M171" s="71" t="s">
        <v>1494</v>
      </c>
      <c r="N171" s="71"/>
      <c r="O171" s="71"/>
      <c r="P171" s="71"/>
      <c r="Q171" s="71"/>
      <c r="R171" s="71" t="s">
        <v>1741</v>
      </c>
      <c r="S171" s="71" t="s">
        <v>1742</v>
      </c>
      <c r="T171" s="71" t="s">
        <v>1741</v>
      </c>
      <c r="U171" s="71" t="s">
        <v>1742</v>
      </c>
    </row>
    <row r="172" spans="1:21" x14ac:dyDescent="0.2">
      <c r="A172" s="137">
        <v>171</v>
      </c>
      <c r="B172" s="71">
        <v>2154907914</v>
      </c>
      <c r="C172" s="71">
        <v>914</v>
      </c>
      <c r="D172" s="71">
        <v>2</v>
      </c>
      <c r="E172" s="71">
        <v>15</v>
      </c>
      <c r="F172" s="71">
        <v>49</v>
      </c>
      <c r="G172" s="71" t="s">
        <v>121</v>
      </c>
      <c r="H172" s="71" t="s">
        <v>1743</v>
      </c>
      <c r="I172" s="71">
        <v>2</v>
      </c>
      <c r="J172" s="71" t="s">
        <v>1488</v>
      </c>
      <c r="K172" s="71" t="s">
        <v>1487</v>
      </c>
      <c r="L172" s="71"/>
      <c r="M172" s="71"/>
      <c r="N172" s="71"/>
      <c r="O172" s="71"/>
      <c r="P172" s="71"/>
      <c r="Q172" s="71"/>
      <c r="R172" s="71"/>
      <c r="S172" s="71"/>
      <c r="T172" s="71"/>
      <c r="U172" s="71"/>
    </row>
    <row r="173" spans="1:21" x14ac:dyDescent="0.2">
      <c r="A173" s="137">
        <v>172</v>
      </c>
      <c r="B173" s="71">
        <v>2154907909</v>
      </c>
      <c r="C173" s="71">
        <v>909</v>
      </c>
      <c r="D173" s="71">
        <v>2</v>
      </c>
      <c r="E173" s="71">
        <v>15</v>
      </c>
      <c r="F173" s="71">
        <v>49</v>
      </c>
      <c r="G173" s="71" t="s">
        <v>137</v>
      </c>
      <c r="H173" s="71" t="s">
        <v>1744</v>
      </c>
      <c r="I173" s="71">
        <v>2</v>
      </c>
      <c r="J173" s="71" t="s">
        <v>92</v>
      </c>
      <c r="K173" s="71" t="s">
        <v>1470</v>
      </c>
      <c r="L173" s="71"/>
      <c r="M173" s="71"/>
      <c r="N173" s="71"/>
      <c r="O173" s="71"/>
      <c r="P173" s="71"/>
      <c r="Q173" s="71"/>
      <c r="R173" s="71"/>
      <c r="S173" s="71"/>
      <c r="T173" s="71"/>
      <c r="U173" s="71"/>
    </row>
    <row r="174" spans="1:21" x14ac:dyDescent="0.2">
      <c r="A174" s="137">
        <v>173</v>
      </c>
      <c r="B174" s="71">
        <v>2154907913</v>
      </c>
      <c r="C174" s="71">
        <v>913</v>
      </c>
      <c r="D174" s="71">
        <v>2</v>
      </c>
      <c r="E174" s="71">
        <v>15</v>
      </c>
      <c r="F174" s="71">
        <v>49</v>
      </c>
      <c r="G174" s="71" t="s">
        <v>139</v>
      </c>
      <c r="H174" s="71" t="s">
        <v>1745</v>
      </c>
      <c r="I174" s="71">
        <v>2</v>
      </c>
      <c r="J174" s="71" t="s">
        <v>1513</v>
      </c>
      <c r="K174" s="71" t="s">
        <v>1767</v>
      </c>
      <c r="L174" s="71"/>
      <c r="M174" s="71"/>
      <c r="N174" s="71"/>
      <c r="O174" s="71"/>
      <c r="P174" s="71"/>
      <c r="Q174" s="71"/>
      <c r="R174" s="71" t="s">
        <v>1560</v>
      </c>
      <c r="S174" s="71" t="s">
        <v>1560</v>
      </c>
      <c r="T174" s="71" t="s">
        <v>1560</v>
      </c>
      <c r="U174" s="71" t="s">
        <v>1560</v>
      </c>
    </row>
    <row r="175" spans="1:21" x14ac:dyDescent="0.2">
      <c r="A175" s="137">
        <v>174</v>
      </c>
      <c r="B175" s="71">
        <v>2151207700</v>
      </c>
      <c r="C175" s="71">
        <v>700</v>
      </c>
      <c r="D175" s="71">
        <v>2</v>
      </c>
      <c r="E175" s="71">
        <v>15</v>
      </c>
      <c r="F175" s="71">
        <v>12</v>
      </c>
      <c r="G175" s="71" t="s">
        <v>141</v>
      </c>
      <c r="H175" s="71" t="s">
        <v>1746</v>
      </c>
      <c r="I175" s="71">
        <v>2</v>
      </c>
      <c r="J175" s="71" t="s">
        <v>241</v>
      </c>
      <c r="K175" s="71" t="s">
        <v>1530</v>
      </c>
      <c r="L175" s="71"/>
      <c r="M175" s="71"/>
      <c r="N175" s="71"/>
      <c r="O175" s="71"/>
      <c r="P175" s="71"/>
      <c r="Q175" s="71"/>
      <c r="R175" s="71"/>
      <c r="S175" s="71"/>
      <c r="T175" s="71"/>
      <c r="U175" s="71"/>
    </row>
    <row r="176" spans="1:21" x14ac:dyDescent="0.2">
      <c r="A176" s="137">
        <v>175</v>
      </c>
      <c r="B176" s="71">
        <v>2154907701</v>
      </c>
      <c r="C176" s="71">
        <v>701</v>
      </c>
      <c r="D176" s="71">
        <v>2</v>
      </c>
      <c r="E176" s="71">
        <v>15</v>
      </c>
      <c r="F176" s="71">
        <v>49</v>
      </c>
      <c r="G176" s="71" t="s">
        <v>141</v>
      </c>
      <c r="H176" s="71" t="s">
        <v>1746</v>
      </c>
      <c r="I176" s="71">
        <v>2</v>
      </c>
      <c r="J176" s="71" t="s">
        <v>241</v>
      </c>
      <c r="K176" s="71" t="s">
        <v>1530</v>
      </c>
      <c r="L176" s="71"/>
      <c r="M176" s="71"/>
      <c r="N176" s="71"/>
      <c r="O176" s="71"/>
      <c r="P176" s="71"/>
      <c r="Q176" s="71"/>
      <c r="R176" s="71"/>
      <c r="S176" s="71"/>
      <c r="T176" s="71"/>
      <c r="U176" s="71"/>
    </row>
    <row r="177" spans="1:21" x14ac:dyDescent="0.2">
      <c r="A177" s="137">
        <v>176</v>
      </c>
      <c r="B177" s="71">
        <v>2154907702</v>
      </c>
      <c r="C177" s="71">
        <v>702</v>
      </c>
      <c r="D177" s="71">
        <v>2</v>
      </c>
      <c r="E177" s="71">
        <v>15</v>
      </c>
      <c r="F177" s="71">
        <v>49</v>
      </c>
      <c r="G177" s="71" t="s">
        <v>141</v>
      </c>
      <c r="H177" s="71" t="s">
        <v>1746</v>
      </c>
      <c r="I177" s="71">
        <v>3</v>
      </c>
      <c r="J177" s="71" t="s">
        <v>241</v>
      </c>
      <c r="K177" s="71" t="s">
        <v>1530</v>
      </c>
      <c r="L177" s="71"/>
      <c r="M177" s="71"/>
      <c r="N177" s="71"/>
      <c r="O177" s="71"/>
      <c r="P177" s="71"/>
      <c r="Q177" s="71"/>
      <c r="R177" s="71"/>
      <c r="S177" s="71"/>
      <c r="T177" s="71"/>
      <c r="U177" s="71"/>
    </row>
    <row r="178" spans="1:21" x14ac:dyDescent="0.2">
      <c r="A178" s="137">
        <v>177</v>
      </c>
      <c r="B178" s="71">
        <v>2154907915</v>
      </c>
      <c r="C178" s="71">
        <v>915</v>
      </c>
      <c r="D178" s="71">
        <v>2</v>
      </c>
      <c r="E178" s="71">
        <v>15</v>
      </c>
      <c r="F178" s="71">
        <v>49</v>
      </c>
      <c r="G178" s="71" t="s">
        <v>141</v>
      </c>
      <c r="H178" s="71" t="s">
        <v>1746</v>
      </c>
      <c r="I178" s="71">
        <v>3</v>
      </c>
      <c r="J178" s="71" t="s">
        <v>241</v>
      </c>
      <c r="K178" s="71" t="s">
        <v>1530</v>
      </c>
      <c r="L178" s="71"/>
      <c r="M178" s="71"/>
      <c r="N178" s="71"/>
      <c r="O178" s="71"/>
      <c r="P178" s="71"/>
      <c r="Q178" s="71"/>
      <c r="R178" s="71"/>
      <c r="S178" s="71"/>
      <c r="T178" s="71"/>
      <c r="U178" s="71"/>
    </row>
    <row r="179" spans="1:21" x14ac:dyDescent="0.2">
      <c r="A179" s="137">
        <v>178</v>
      </c>
      <c r="B179" s="71">
        <v>2154907916</v>
      </c>
      <c r="C179" s="71">
        <v>916</v>
      </c>
      <c r="D179" s="71">
        <v>2</v>
      </c>
      <c r="E179" s="71">
        <v>15</v>
      </c>
      <c r="F179" s="71">
        <v>49</v>
      </c>
      <c r="G179" s="71" t="s">
        <v>141</v>
      </c>
      <c r="H179" s="71" t="s">
        <v>1746</v>
      </c>
      <c r="I179" s="71">
        <v>2</v>
      </c>
      <c r="J179" s="71" t="s">
        <v>241</v>
      </c>
      <c r="K179" s="71" t="s">
        <v>1530</v>
      </c>
      <c r="L179" s="71"/>
      <c r="M179" s="71"/>
      <c r="N179" s="71"/>
      <c r="O179" s="71"/>
      <c r="P179" s="71"/>
      <c r="Q179" s="71"/>
      <c r="R179" s="71"/>
      <c r="S179" s="71"/>
      <c r="T179" s="71"/>
      <c r="U179" s="71"/>
    </row>
    <row r="180" spans="1:21" x14ac:dyDescent="0.2">
      <c r="A180" s="137">
        <v>179</v>
      </c>
      <c r="B180" s="71">
        <v>2154907901</v>
      </c>
      <c r="C180" s="71">
        <v>901</v>
      </c>
      <c r="D180" s="71">
        <v>2</v>
      </c>
      <c r="E180" s="71">
        <v>15</v>
      </c>
      <c r="F180" s="71">
        <v>49</v>
      </c>
      <c r="G180" s="71" t="s">
        <v>40</v>
      </c>
      <c r="H180" s="71" t="s">
        <v>1747</v>
      </c>
      <c r="I180" s="71">
        <v>2</v>
      </c>
      <c r="J180" s="71" t="s">
        <v>348</v>
      </c>
      <c r="K180" s="71" t="s">
        <v>1496</v>
      </c>
      <c r="L180" s="71" t="s">
        <v>347</v>
      </c>
      <c r="M180" s="71" t="s">
        <v>1507</v>
      </c>
      <c r="N180" s="71"/>
      <c r="O180" s="71"/>
      <c r="P180" s="71"/>
      <c r="Q180" s="71"/>
      <c r="R180" s="71"/>
      <c r="S180" s="71"/>
      <c r="T180" s="71"/>
      <c r="U180" s="71"/>
    </row>
    <row r="181" spans="1:21" x14ac:dyDescent="0.2">
      <c r="A181" s="137">
        <v>180</v>
      </c>
      <c r="B181" s="71">
        <v>2154907902</v>
      </c>
      <c r="C181" s="71">
        <v>902</v>
      </c>
      <c r="D181" s="71">
        <v>2</v>
      </c>
      <c r="E181" s="71">
        <v>15</v>
      </c>
      <c r="F181" s="71">
        <v>49</v>
      </c>
      <c r="G181" s="71" t="s">
        <v>40</v>
      </c>
      <c r="H181" s="71" t="s">
        <v>1747</v>
      </c>
      <c r="I181" s="71">
        <v>2</v>
      </c>
      <c r="J181" s="71" t="s">
        <v>348</v>
      </c>
      <c r="K181" s="71" t="s">
        <v>1496</v>
      </c>
      <c r="L181" s="71" t="s">
        <v>347</v>
      </c>
      <c r="M181" s="71" t="s">
        <v>1507</v>
      </c>
      <c r="N181" s="71"/>
      <c r="O181" s="71"/>
      <c r="P181" s="71"/>
      <c r="Q181" s="71"/>
      <c r="R181" s="71"/>
      <c r="S181" s="71"/>
      <c r="T181" s="71"/>
      <c r="U181" s="71"/>
    </row>
    <row r="182" spans="1:21" x14ac:dyDescent="0.2">
      <c r="A182" s="137">
        <v>181</v>
      </c>
      <c r="B182" s="71">
        <v>2154907903</v>
      </c>
      <c r="C182" s="71">
        <v>903</v>
      </c>
      <c r="D182" s="71">
        <v>2</v>
      </c>
      <c r="E182" s="71">
        <v>15</v>
      </c>
      <c r="F182" s="71">
        <v>49</v>
      </c>
      <c r="G182" s="71" t="s">
        <v>40</v>
      </c>
      <c r="H182" s="71" t="s">
        <v>1747</v>
      </c>
      <c r="I182" s="71">
        <v>3</v>
      </c>
      <c r="J182" s="71" t="s">
        <v>348</v>
      </c>
      <c r="K182" s="71" t="s">
        <v>1496</v>
      </c>
      <c r="L182" s="71" t="s">
        <v>347</v>
      </c>
      <c r="M182" s="71" t="s">
        <v>1507</v>
      </c>
      <c r="N182" s="71"/>
      <c r="O182" s="71"/>
      <c r="P182" s="71"/>
      <c r="Q182" s="71"/>
      <c r="R182" s="71" t="s">
        <v>1748</v>
      </c>
      <c r="S182" s="71" t="s">
        <v>1749</v>
      </c>
      <c r="T182" s="71" t="s">
        <v>1560</v>
      </c>
      <c r="U182" s="71" t="s">
        <v>1560</v>
      </c>
    </row>
    <row r="183" spans="1:21" x14ac:dyDescent="0.2">
      <c r="A183" s="137">
        <v>182</v>
      </c>
      <c r="B183" s="71">
        <v>2154907904</v>
      </c>
      <c r="C183" s="71">
        <v>904</v>
      </c>
      <c r="D183" s="71">
        <v>2</v>
      </c>
      <c r="E183" s="71">
        <v>15</v>
      </c>
      <c r="F183" s="71">
        <v>49</v>
      </c>
      <c r="G183" s="71" t="s">
        <v>40</v>
      </c>
      <c r="H183" s="71" t="s">
        <v>1747</v>
      </c>
      <c r="I183" s="71">
        <v>2</v>
      </c>
      <c r="J183" s="71" t="s">
        <v>348</v>
      </c>
      <c r="K183" s="71" t="s">
        <v>1496</v>
      </c>
      <c r="L183" s="71" t="s">
        <v>347</v>
      </c>
      <c r="M183" s="71" t="s">
        <v>1507</v>
      </c>
      <c r="N183" s="71"/>
      <c r="O183" s="71"/>
      <c r="P183" s="71"/>
      <c r="Q183" s="71"/>
      <c r="R183" s="71" t="s">
        <v>1750</v>
      </c>
      <c r="S183" s="71" t="s">
        <v>1751</v>
      </c>
      <c r="T183" s="71" t="s">
        <v>1750</v>
      </c>
      <c r="U183" s="71" t="s">
        <v>1751</v>
      </c>
    </row>
    <row r="184" spans="1:21" x14ac:dyDescent="0.2">
      <c r="A184" s="137">
        <v>183</v>
      </c>
      <c r="B184" s="71">
        <v>2154907905</v>
      </c>
      <c r="C184" s="71">
        <v>905</v>
      </c>
      <c r="D184" s="71">
        <v>2</v>
      </c>
      <c r="E184" s="71">
        <v>15</v>
      </c>
      <c r="F184" s="71">
        <v>49</v>
      </c>
      <c r="G184" s="71" t="s">
        <v>40</v>
      </c>
      <c r="H184" s="71" t="s">
        <v>1747</v>
      </c>
      <c r="I184" s="71">
        <v>2</v>
      </c>
      <c r="J184" s="71" t="s">
        <v>348</v>
      </c>
      <c r="K184" s="71" t="s">
        <v>1496</v>
      </c>
      <c r="L184" s="71" t="s">
        <v>347</v>
      </c>
      <c r="M184" s="71" t="s">
        <v>1507</v>
      </c>
      <c r="N184" s="71"/>
      <c r="O184" s="71"/>
      <c r="P184" s="71"/>
      <c r="Q184" s="71"/>
      <c r="R184" s="71"/>
      <c r="S184" s="71"/>
      <c r="T184" s="71"/>
      <c r="U184" s="71"/>
    </row>
    <row r="185" spans="1:21" x14ac:dyDescent="0.2">
      <c r="A185" s="137">
        <v>184</v>
      </c>
      <c r="B185" s="71">
        <v>2154907907</v>
      </c>
      <c r="C185" s="71">
        <v>907</v>
      </c>
      <c r="D185" s="71">
        <v>2</v>
      </c>
      <c r="E185" s="71">
        <v>15</v>
      </c>
      <c r="F185" s="71">
        <v>49</v>
      </c>
      <c r="G185" s="71" t="s">
        <v>40</v>
      </c>
      <c r="H185" s="71" t="s">
        <v>1747</v>
      </c>
      <c r="I185" s="71">
        <v>2</v>
      </c>
      <c r="J185" s="71" t="s">
        <v>348</v>
      </c>
      <c r="K185" s="71" t="s">
        <v>1496</v>
      </c>
      <c r="L185" s="71" t="s">
        <v>347</v>
      </c>
      <c r="M185" s="71" t="s">
        <v>1507</v>
      </c>
      <c r="N185" s="71"/>
      <c r="O185" s="71"/>
      <c r="P185" s="71"/>
      <c r="Q185" s="71"/>
      <c r="R185" s="71" t="s">
        <v>1752</v>
      </c>
      <c r="S185" s="71" t="s">
        <v>1753</v>
      </c>
      <c r="T185" s="71" t="s">
        <v>1560</v>
      </c>
      <c r="U185" s="71" t="s">
        <v>1560</v>
      </c>
    </row>
    <row r="186" spans="1:21" x14ac:dyDescent="0.2">
      <c r="A186" s="137">
        <v>185</v>
      </c>
      <c r="B186" s="71">
        <v>2154907908</v>
      </c>
      <c r="C186" s="71">
        <v>908</v>
      </c>
      <c r="D186" s="71">
        <v>2</v>
      </c>
      <c r="E186" s="71">
        <v>15</v>
      </c>
      <c r="F186" s="71">
        <v>49</v>
      </c>
      <c r="G186" s="71" t="s">
        <v>192</v>
      </c>
      <c r="H186" s="71" t="s">
        <v>1754</v>
      </c>
      <c r="I186" s="71">
        <v>2</v>
      </c>
      <c r="J186" s="71" t="s">
        <v>1504</v>
      </c>
      <c r="K186" s="71" t="s">
        <v>1503</v>
      </c>
      <c r="L186" s="71"/>
      <c r="M186" s="71"/>
      <c r="N186" s="71"/>
      <c r="O186" s="71"/>
      <c r="P186" s="71"/>
      <c r="Q186" s="71"/>
      <c r="R186" s="71" t="s">
        <v>1504</v>
      </c>
      <c r="S186" s="71" t="s">
        <v>1503</v>
      </c>
      <c r="T186" s="71" t="s">
        <v>1504</v>
      </c>
      <c r="U186" s="71" t="s">
        <v>1503</v>
      </c>
    </row>
    <row r="187" spans="1:21" x14ac:dyDescent="0.2">
      <c r="A187" s="137">
        <v>186</v>
      </c>
      <c r="B187" s="71">
        <v>2184907003</v>
      </c>
      <c r="C187" s="71">
        <v>3</v>
      </c>
      <c r="D187" s="71">
        <v>2</v>
      </c>
      <c r="E187" s="71">
        <v>18</v>
      </c>
      <c r="F187" s="71">
        <v>49</v>
      </c>
      <c r="G187" s="71" t="s">
        <v>134</v>
      </c>
      <c r="H187" s="71" t="s">
        <v>1755</v>
      </c>
      <c r="I187" s="71">
        <v>2</v>
      </c>
      <c r="J187" s="71" t="s">
        <v>1521</v>
      </c>
      <c r="K187" s="71" t="s">
        <v>1520</v>
      </c>
      <c r="L187" s="71" t="s">
        <v>1526</v>
      </c>
      <c r="M187" s="71" t="s">
        <v>1525</v>
      </c>
      <c r="N187" s="71" t="s">
        <v>1467</v>
      </c>
      <c r="O187" s="71">
        <v>0</v>
      </c>
      <c r="P187" s="71"/>
      <c r="Q187" s="71"/>
      <c r="R187" s="71"/>
      <c r="S187" s="71"/>
      <c r="T187" s="71"/>
      <c r="U187" s="71"/>
    </row>
    <row r="188" spans="1:21" x14ac:dyDescent="0.2">
      <c r="A188" s="137">
        <v>187</v>
      </c>
      <c r="B188" s="71">
        <v>2181207100</v>
      </c>
      <c r="C188" s="71">
        <v>100</v>
      </c>
      <c r="D188" s="71">
        <v>2</v>
      </c>
      <c r="E188" s="71">
        <v>18</v>
      </c>
      <c r="F188" s="71">
        <v>12</v>
      </c>
      <c r="G188" s="71" t="s">
        <v>134</v>
      </c>
      <c r="H188" s="71" t="s">
        <v>1755</v>
      </c>
      <c r="I188" s="71">
        <v>2</v>
      </c>
      <c r="J188" s="71" t="s">
        <v>1521</v>
      </c>
      <c r="K188" s="71" t="s">
        <v>1520</v>
      </c>
      <c r="L188" s="71" t="s">
        <v>1526</v>
      </c>
      <c r="M188" s="71" t="s">
        <v>1525</v>
      </c>
      <c r="N188" s="71" t="s">
        <v>1467</v>
      </c>
      <c r="O188" s="71">
        <v>0</v>
      </c>
      <c r="P188" s="71"/>
      <c r="Q188" s="71"/>
      <c r="R188" s="71"/>
      <c r="S188" s="71"/>
      <c r="T188" s="71"/>
      <c r="U188" s="71"/>
    </row>
    <row r="189" spans="1:21" x14ac:dyDescent="0.2">
      <c r="A189" s="137">
        <v>188</v>
      </c>
      <c r="B189" s="71">
        <v>2181207101</v>
      </c>
      <c r="C189" s="71">
        <v>101</v>
      </c>
      <c r="D189" s="71">
        <v>2</v>
      </c>
      <c r="E189" s="71">
        <v>18</v>
      </c>
      <c r="F189" s="71">
        <v>12</v>
      </c>
      <c r="G189" s="71" t="s">
        <v>134</v>
      </c>
      <c r="H189" s="71" t="s">
        <v>1755</v>
      </c>
      <c r="I189" s="71">
        <v>2</v>
      </c>
      <c r="J189" s="71" t="s">
        <v>1521</v>
      </c>
      <c r="K189" s="71" t="s">
        <v>1520</v>
      </c>
      <c r="L189" s="71" t="s">
        <v>1526</v>
      </c>
      <c r="M189" s="71" t="s">
        <v>1525</v>
      </c>
      <c r="N189" s="71" t="s">
        <v>1467</v>
      </c>
      <c r="O189" s="71">
        <v>0</v>
      </c>
      <c r="P189" s="71"/>
      <c r="Q189" s="71"/>
      <c r="R189" s="71" t="s">
        <v>1756</v>
      </c>
      <c r="S189" s="71" t="s">
        <v>1757</v>
      </c>
      <c r="T189" s="71" t="s">
        <v>1560</v>
      </c>
      <c r="U189" s="71" t="s">
        <v>1560</v>
      </c>
    </row>
    <row r="190" spans="1:21" x14ac:dyDescent="0.2">
      <c r="A190" s="137">
        <v>189</v>
      </c>
      <c r="B190" s="71">
        <v>2181207102</v>
      </c>
      <c r="C190" s="71">
        <v>102</v>
      </c>
      <c r="D190" s="71">
        <v>2</v>
      </c>
      <c r="E190" s="71">
        <v>18</v>
      </c>
      <c r="F190" s="71">
        <v>12</v>
      </c>
      <c r="G190" s="71" t="s">
        <v>134</v>
      </c>
      <c r="H190" s="71" t="s">
        <v>1755</v>
      </c>
      <c r="I190" s="71">
        <v>2</v>
      </c>
      <c r="J190" s="71" t="s">
        <v>1521</v>
      </c>
      <c r="K190" s="71" t="s">
        <v>1520</v>
      </c>
      <c r="L190" s="71" t="s">
        <v>1526</v>
      </c>
      <c r="M190" s="71" t="s">
        <v>1525</v>
      </c>
      <c r="N190" s="71" t="s">
        <v>1467</v>
      </c>
      <c r="O190" s="71">
        <v>0</v>
      </c>
      <c r="P190" s="71"/>
      <c r="Q190" s="71"/>
      <c r="R190" s="71" t="s">
        <v>1758</v>
      </c>
      <c r="S190" s="71" t="s">
        <v>1759</v>
      </c>
      <c r="T190" s="71" t="s">
        <v>1758</v>
      </c>
      <c r="U190" s="71" t="s">
        <v>1759</v>
      </c>
    </row>
    <row r="191" spans="1:21" x14ac:dyDescent="0.2">
      <c r="A191" s="137">
        <v>190</v>
      </c>
      <c r="B191" s="71">
        <v>2181207103</v>
      </c>
      <c r="C191" s="71">
        <v>103</v>
      </c>
      <c r="D191" s="71">
        <v>2</v>
      </c>
      <c r="E191" s="71">
        <v>18</v>
      </c>
      <c r="F191" s="71">
        <v>12</v>
      </c>
      <c r="G191" s="71" t="s">
        <v>134</v>
      </c>
      <c r="H191" s="71" t="s">
        <v>1755</v>
      </c>
      <c r="I191" s="71">
        <v>2</v>
      </c>
      <c r="J191" s="71" t="s">
        <v>1521</v>
      </c>
      <c r="K191" s="71" t="s">
        <v>1520</v>
      </c>
      <c r="L191" s="71" t="s">
        <v>1526</v>
      </c>
      <c r="M191" s="71" t="s">
        <v>1525</v>
      </c>
      <c r="N191" s="71" t="s">
        <v>1467</v>
      </c>
      <c r="O191" s="71">
        <v>0</v>
      </c>
      <c r="P191" s="71"/>
      <c r="Q191" s="71"/>
      <c r="R191" s="71"/>
      <c r="S191" s="71"/>
      <c r="T191" s="71"/>
      <c r="U191" s="71"/>
    </row>
    <row r="192" spans="1:21" x14ac:dyDescent="0.2">
      <c r="A192" s="137">
        <v>191</v>
      </c>
      <c r="B192" s="71">
        <v>2181207104</v>
      </c>
      <c r="C192" s="71">
        <v>104</v>
      </c>
      <c r="D192" s="71">
        <v>2</v>
      </c>
      <c r="E192" s="71">
        <v>18</v>
      </c>
      <c r="F192" s="71">
        <v>12</v>
      </c>
      <c r="G192" s="71" t="s">
        <v>134</v>
      </c>
      <c r="H192" s="71" t="s">
        <v>1755</v>
      </c>
      <c r="I192" s="71">
        <v>3</v>
      </c>
      <c r="J192" s="71" t="s">
        <v>1521</v>
      </c>
      <c r="K192" s="71" t="s">
        <v>1520</v>
      </c>
      <c r="L192" s="71" t="s">
        <v>1526</v>
      </c>
      <c r="M192" s="71" t="s">
        <v>1525</v>
      </c>
      <c r="N192" s="71" t="s">
        <v>1467</v>
      </c>
      <c r="O192" s="71">
        <v>0</v>
      </c>
      <c r="P192" s="71"/>
      <c r="Q192" s="71"/>
      <c r="R192" s="71" t="s">
        <v>1560</v>
      </c>
      <c r="S192" s="71" t="s">
        <v>1560</v>
      </c>
      <c r="T192" s="71" t="s">
        <v>1760</v>
      </c>
      <c r="U192" s="71" t="s">
        <v>1761</v>
      </c>
    </row>
    <row r="193" spans="1:21" x14ac:dyDescent="0.2">
      <c r="A193" s="137">
        <v>192</v>
      </c>
      <c r="B193" s="71">
        <v>2181207105</v>
      </c>
      <c r="C193" s="71">
        <v>105</v>
      </c>
      <c r="D193" s="71">
        <v>2</v>
      </c>
      <c r="E193" s="71">
        <v>18</v>
      </c>
      <c r="F193" s="71">
        <v>12</v>
      </c>
      <c r="G193" s="71" t="s">
        <v>134</v>
      </c>
      <c r="H193" s="71" t="s">
        <v>1755</v>
      </c>
      <c r="I193" s="71">
        <v>2</v>
      </c>
      <c r="J193" s="71" t="s">
        <v>1521</v>
      </c>
      <c r="K193" s="71" t="s">
        <v>1520</v>
      </c>
      <c r="L193" s="71" t="s">
        <v>1526</v>
      </c>
      <c r="M193" s="71" t="s">
        <v>1525</v>
      </c>
      <c r="N193" s="71" t="s">
        <v>1467</v>
      </c>
      <c r="O193" s="71">
        <v>0</v>
      </c>
      <c r="P193" s="71"/>
      <c r="Q193" s="71"/>
      <c r="R193" s="71" t="s">
        <v>1762</v>
      </c>
      <c r="S193" s="71" t="s">
        <v>1763</v>
      </c>
      <c r="T193" s="71" t="s">
        <v>1560</v>
      </c>
      <c r="U193" s="71" t="s">
        <v>1560</v>
      </c>
    </row>
    <row r="194" spans="1:21" x14ac:dyDescent="0.2">
      <c r="A194" s="137">
        <v>193</v>
      </c>
      <c r="B194" s="71">
        <v>2181207106</v>
      </c>
      <c r="C194" s="71">
        <v>106</v>
      </c>
      <c r="D194" s="71">
        <v>2</v>
      </c>
      <c r="E194" s="71">
        <v>18</v>
      </c>
      <c r="F194" s="71">
        <v>12</v>
      </c>
      <c r="G194" s="71" t="s">
        <v>134</v>
      </c>
      <c r="H194" s="71" t="s">
        <v>1755</v>
      </c>
      <c r="I194" s="71">
        <v>2</v>
      </c>
      <c r="J194" s="71" t="s">
        <v>1521</v>
      </c>
      <c r="K194" s="71" t="s">
        <v>1520</v>
      </c>
      <c r="L194" s="71" t="s">
        <v>1526</v>
      </c>
      <c r="M194" s="71" t="s">
        <v>1525</v>
      </c>
      <c r="N194" s="71" t="s">
        <v>1467</v>
      </c>
      <c r="O194" s="71">
        <v>0</v>
      </c>
      <c r="P194" s="71"/>
      <c r="Q194" s="71"/>
      <c r="R194" s="71" t="s">
        <v>1526</v>
      </c>
      <c r="S194" s="71" t="s">
        <v>1525</v>
      </c>
      <c r="T194" s="71" t="s">
        <v>1560</v>
      </c>
      <c r="U194" s="71" t="s">
        <v>1560</v>
      </c>
    </row>
    <row r="196" spans="1:21" x14ac:dyDescent="0.2">
      <c r="G196">
        <f t="shared" ref="G196:Q196" si="0">193 - COUNTBLANK(G2:G194)</f>
        <v>193</v>
      </c>
      <c r="H196">
        <f t="shared" si="0"/>
        <v>193</v>
      </c>
      <c r="I196">
        <f t="shared" si="0"/>
        <v>193</v>
      </c>
      <c r="J196">
        <f t="shared" si="0"/>
        <v>193</v>
      </c>
      <c r="K196">
        <f t="shared" si="0"/>
        <v>193</v>
      </c>
      <c r="L196">
        <f t="shared" si="0"/>
        <v>159</v>
      </c>
      <c r="M196">
        <f t="shared" si="0"/>
        <v>159</v>
      </c>
      <c r="N196">
        <f t="shared" si="0"/>
        <v>121</v>
      </c>
      <c r="O196">
        <f t="shared" si="0"/>
        <v>130</v>
      </c>
      <c r="P196">
        <f t="shared" si="0"/>
        <v>33</v>
      </c>
      <c r="Q196">
        <f t="shared" si="0"/>
        <v>33</v>
      </c>
      <c r="R196">
        <f t="shared" ref="R196:U196" si="1">193 - COUNTBLANK(R2:R194)</f>
        <v>90</v>
      </c>
      <c r="S196">
        <f t="shared" si="1"/>
        <v>90</v>
      </c>
      <c r="T196">
        <f t="shared" si="1"/>
        <v>53</v>
      </c>
      <c r="U196">
        <f t="shared" si="1"/>
        <v>53</v>
      </c>
    </row>
    <row r="198" spans="1:21" x14ac:dyDescent="0.2">
      <c r="G198">
        <f t="shared" ref="G198:Q198" si="2">COUNTIF(G2:G194, "*")</f>
        <v>193</v>
      </c>
      <c r="H198">
        <f t="shared" si="2"/>
        <v>193</v>
      </c>
      <c r="I198">
        <f t="shared" si="2"/>
        <v>0</v>
      </c>
      <c r="J198">
        <f t="shared" si="2"/>
        <v>193</v>
      </c>
      <c r="K198">
        <f t="shared" si="2"/>
        <v>193</v>
      </c>
      <c r="L198">
        <f t="shared" si="2"/>
        <v>159</v>
      </c>
      <c r="M198">
        <f t="shared" si="2"/>
        <v>159</v>
      </c>
      <c r="N198">
        <f t="shared" si="2"/>
        <v>121</v>
      </c>
      <c r="O198">
        <f t="shared" si="2"/>
        <v>122</v>
      </c>
      <c r="P198">
        <f t="shared" si="2"/>
        <v>33</v>
      </c>
      <c r="Q198">
        <f t="shared" si="2"/>
        <v>33</v>
      </c>
      <c r="R198">
        <f>COUNTIF(R2:R194, "*")</f>
        <v>110</v>
      </c>
      <c r="S198">
        <f t="shared" ref="S198:U198" si="3">COUNTIF(S2:S194, "*")</f>
        <v>109</v>
      </c>
      <c r="T198">
        <f t="shared" si="3"/>
        <v>110</v>
      </c>
      <c r="U198">
        <f t="shared" si="3"/>
        <v>110</v>
      </c>
    </row>
    <row r="200" spans="1:21" x14ac:dyDescent="0.2">
      <c r="G200">
        <f t="shared" ref="G200:Q200" si="4">COUNTA(G2:G194)</f>
        <v>193</v>
      </c>
      <c r="H200">
        <f t="shared" si="4"/>
        <v>193</v>
      </c>
      <c r="I200">
        <f t="shared" si="4"/>
        <v>193</v>
      </c>
      <c r="J200">
        <f t="shared" si="4"/>
        <v>193</v>
      </c>
      <c r="K200">
        <f t="shared" si="4"/>
        <v>193</v>
      </c>
      <c r="L200">
        <f t="shared" si="4"/>
        <v>159</v>
      </c>
      <c r="M200">
        <f t="shared" si="4"/>
        <v>159</v>
      </c>
      <c r="N200">
        <f t="shared" si="4"/>
        <v>121</v>
      </c>
      <c r="O200">
        <f t="shared" si="4"/>
        <v>130</v>
      </c>
      <c r="P200">
        <f t="shared" si="4"/>
        <v>33</v>
      </c>
      <c r="Q200">
        <f t="shared" si="4"/>
        <v>33</v>
      </c>
      <c r="R200">
        <f>COUNTA(R2:R194)</f>
        <v>110</v>
      </c>
    </row>
  </sheetData>
  <autoFilter ref="A1:U194" xr:uid="{77D29195-B91D-4376-9B84-70A5C34F2F9E}"/>
  <sortState xmlns:xlrd2="http://schemas.microsoft.com/office/spreadsheetml/2017/richdata2" ref="A27:V38">
    <sortCondition ref="G27:G38"/>
    <sortCondition ref="C27:C3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4638-1EB6-4EFD-B93B-2F247EA32CAE}">
  <dimension ref="A1:B7"/>
  <sheetViews>
    <sheetView workbookViewId="0">
      <selection activeCell="A9" sqref="A9"/>
    </sheetView>
  </sheetViews>
  <sheetFormatPr baseColWidth="10" defaultColWidth="8.83203125" defaultRowHeight="16" x14ac:dyDescent="0.2"/>
  <cols>
    <col min="1" max="1" width="36.5" bestFit="1" customWidth="1"/>
  </cols>
  <sheetData>
    <row r="1" spans="1:2" x14ac:dyDescent="0.2">
      <c r="A1" t="s">
        <v>818</v>
      </c>
    </row>
    <row r="2" spans="1:2" x14ac:dyDescent="0.2">
      <c r="A2" s="28" t="s">
        <v>342</v>
      </c>
      <c r="B2" t="s">
        <v>819</v>
      </c>
    </row>
    <row r="3" spans="1:2" x14ac:dyDescent="0.2">
      <c r="A3" t="s">
        <v>393</v>
      </c>
      <c r="B3" t="s">
        <v>779</v>
      </c>
    </row>
    <row r="4" spans="1:2" x14ac:dyDescent="0.2">
      <c r="A4" s="3" t="s">
        <v>302</v>
      </c>
    </row>
    <row r="5" spans="1:2" x14ac:dyDescent="0.2">
      <c r="A5" t="s">
        <v>820</v>
      </c>
      <c r="B5" t="s">
        <v>18</v>
      </c>
    </row>
    <row r="6" spans="1:2" x14ac:dyDescent="0.2">
      <c r="A6" s="3" t="s">
        <v>331</v>
      </c>
      <c r="B6" t="s">
        <v>819</v>
      </c>
    </row>
    <row r="7" spans="1:2" x14ac:dyDescent="0.2">
      <c r="A7" t="s">
        <v>821</v>
      </c>
      <c r="B7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B482-6FA3-479C-89EC-DD366F26922D}">
  <dimension ref="A1:Y4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baseColWidth="10" defaultColWidth="8.83203125" defaultRowHeight="16" x14ac:dyDescent="0.2"/>
  <cols>
    <col min="1" max="1" width="10.5" bestFit="1" customWidth="1"/>
    <col min="2" max="2" width="5.83203125" bestFit="1" customWidth="1"/>
    <col min="3" max="3" width="12" bestFit="1" customWidth="1"/>
    <col min="4" max="4" width="9.33203125" bestFit="1" customWidth="1"/>
    <col min="5" max="5" width="7.33203125" bestFit="1" customWidth="1"/>
    <col min="6" max="6" width="18.5" bestFit="1" customWidth="1"/>
    <col min="7" max="7" width="9" bestFit="1" customWidth="1"/>
    <col min="8" max="8" width="10" bestFit="1" customWidth="1"/>
    <col min="9" max="9" width="4.83203125" bestFit="1" customWidth="1"/>
    <col min="10" max="10" width="5" bestFit="1" customWidth="1"/>
    <col min="11" max="11" width="13" bestFit="1" customWidth="1"/>
    <col min="12" max="12" width="9.33203125" bestFit="1" customWidth="1"/>
    <col min="13" max="13" width="8.5" bestFit="1" customWidth="1"/>
    <col min="14" max="14" width="25.5" bestFit="1" customWidth="1"/>
    <col min="15" max="16" width="8" bestFit="1" customWidth="1"/>
    <col min="17" max="17" width="20" bestFit="1" customWidth="1"/>
    <col min="18" max="18" width="7.5" bestFit="1" customWidth="1"/>
    <col min="19" max="19" width="5.5" bestFit="1" customWidth="1"/>
    <col min="20" max="20" width="5" bestFit="1" customWidth="1"/>
    <col min="21" max="21" width="23.83203125" bestFit="1" customWidth="1"/>
    <col min="22" max="22" width="7.5" bestFit="1" customWidth="1"/>
    <col min="23" max="23" width="7.33203125" bestFit="1" customWidth="1"/>
    <col min="24" max="24" width="6" bestFit="1" customWidth="1"/>
    <col min="25" max="25" width="13.5" bestFit="1" customWidth="1"/>
  </cols>
  <sheetData>
    <row r="1" spans="1:25" s="12" customFormat="1" ht="28" x14ac:dyDescent="0.2">
      <c r="A1" s="13" t="s">
        <v>901</v>
      </c>
      <c r="B1" s="14" t="s">
        <v>221</v>
      </c>
      <c r="C1" s="15" t="s">
        <v>902</v>
      </c>
      <c r="D1" s="15" t="s">
        <v>903</v>
      </c>
      <c r="E1" s="15" t="s">
        <v>904</v>
      </c>
      <c r="F1" s="15" t="s">
        <v>905</v>
      </c>
      <c r="G1" s="15" t="s">
        <v>906</v>
      </c>
      <c r="H1" s="15" t="s">
        <v>907</v>
      </c>
      <c r="I1" s="16" t="s">
        <v>908</v>
      </c>
      <c r="J1" s="17" t="s">
        <v>909</v>
      </c>
      <c r="K1" s="17" t="s">
        <v>910</v>
      </c>
      <c r="L1" s="17" t="s">
        <v>911</v>
      </c>
      <c r="M1" s="17" t="s">
        <v>912</v>
      </c>
      <c r="N1" s="17" t="s">
        <v>111</v>
      </c>
      <c r="O1" s="17" t="s">
        <v>110</v>
      </c>
      <c r="P1" s="17" t="s">
        <v>913</v>
      </c>
      <c r="Q1" s="17" t="s">
        <v>1</v>
      </c>
      <c r="R1" s="17" t="s">
        <v>914</v>
      </c>
      <c r="S1" s="17" t="s">
        <v>915</v>
      </c>
      <c r="T1" s="17" t="s">
        <v>916</v>
      </c>
      <c r="U1" s="17" t="s">
        <v>917</v>
      </c>
      <c r="V1" s="17" t="s">
        <v>918</v>
      </c>
      <c r="W1" s="17" t="s">
        <v>919</v>
      </c>
      <c r="X1" s="17" t="s">
        <v>920</v>
      </c>
      <c r="Y1" s="18" t="s">
        <v>101</v>
      </c>
    </row>
    <row r="2" spans="1:25" s="19" customFormat="1" x14ac:dyDescent="0.2">
      <c r="B2" s="5" t="s">
        <v>921</v>
      </c>
      <c r="C2" s="5" t="s">
        <v>49</v>
      </c>
      <c r="D2" s="5" t="s">
        <v>50</v>
      </c>
      <c r="E2" s="5" t="s">
        <v>922</v>
      </c>
      <c r="F2" s="5" t="s">
        <v>923</v>
      </c>
      <c r="G2" s="5">
        <v>7202728398</v>
      </c>
      <c r="H2" s="5">
        <v>3034993253</v>
      </c>
      <c r="I2" s="20">
        <v>4</v>
      </c>
      <c r="J2" s="6" t="s">
        <v>924</v>
      </c>
      <c r="K2" s="6" t="s">
        <v>925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 t="s">
        <v>339</v>
      </c>
    </row>
    <row r="3" spans="1:25" s="19" customFormat="1" x14ac:dyDescent="0.2">
      <c r="B3" s="5" t="s">
        <v>921</v>
      </c>
      <c r="C3" s="5" t="s">
        <v>49</v>
      </c>
      <c r="D3" s="5" t="s">
        <v>50</v>
      </c>
      <c r="E3" s="5" t="s">
        <v>922</v>
      </c>
      <c r="F3" s="5" t="s">
        <v>923</v>
      </c>
      <c r="G3" s="5">
        <v>7202728398</v>
      </c>
      <c r="H3" s="5">
        <v>3034993253</v>
      </c>
      <c r="I3" s="20">
        <v>4</v>
      </c>
      <c r="J3" s="6" t="s">
        <v>924</v>
      </c>
      <c r="K3" s="6" t="s">
        <v>925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 t="s">
        <v>339</v>
      </c>
    </row>
    <row r="4" spans="1:25" s="19" customFormat="1" x14ac:dyDescent="0.2">
      <c r="B4" s="5" t="s">
        <v>921</v>
      </c>
      <c r="C4" s="5" t="s">
        <v>49</v>
      </c>
      <c r="D4" s="5" t="s">
        <v>50</v>
      </c>
      <c r="E4" s="5" t="s">
        <v>922</v>
      </c>
      <c r="F4" s="5" t="s">
        <v>923</v>
      </c>
      <c r="G4" s="5">
        <v>7202728398</v>
      </c>
      <c r="H4" s="5">
        <v>3034993253</v>
      </c>
      <c r="I4" s="20">
        <v>854</v>
      </c>
      <c r="J4" s="6" t="s">
        <v>924</v>
      </c>
      <c r="K4" s="6" t="s">
        <v>576</v>
      </c>
      <c r="L4" s="6" t="s">
        <v>577</v>
      </c>
      <c r="M4" s="6" t="s">
        <v>577</v>
      </c>
      <c r="N4" s="6" t="s">
        <v>579</v>
      </c>
      <c r="O4" s="6">
        <v>3035481814</v>
      </c>
      <c r="P4" s="6"/>
      <c r="Q4" s="6" t="s">
        <v>926</v>
      </c>
      <c r="R4" s="6" t="s">
        <v>160</v>
      </c>
      <c r="S4" s="6" t="s">
        <v>927</v>
      </c>
      <c r="T4" s="6">
        <v>80305</v>
      </c>
      <c r="U4" s="6" t="s">
        <v>926</v>
      </c>
      <c r="V4" s="6" t="s">
        <v>160</v>
      </c>
      <c r="W4" s="6" t="s">
        <v>927</v>
      </c>
      <c r="X4" s="6">
        <v>80305</v>
      </c>
      <c r="Y4" s="6" t="s">
        <v>339</v>
      </c>
    </row>
    <row r="5" spans="1:25" s="19" customFormat="1" x14ac:dyDescent="0.2">
      <c r="B5" s="5" t="s">
        <v>921</v>
      </c>
      <c r="C5" s="5" t="s">
        <v>49</v>
      </c>
      <c r="D5" s="5" t="s">
        <v>50</v>
      </c>
      <c r="E5" s="5" t="s">
        <v>922</v>
      </c>
      <c r="F5" s="5" t="s">
        <v>923</v>
      </c>
      <c r="G5" s="5">
        <v>7202728398</v>
      </c>
      <c r="H5" s="5">
        <v>3034993253</v>
      </c>
      <c r="I5" s="20">
        <v>854</v>
      </c>
      <c r="J5" s="6" t="s">
        <v>924</v>
      </c>
      <c r="K5" s="6" t="s">
        <v>928</v>
      </c>
      <c r="L5" s="6" t="s">
        <v>495</v>
      </c>
      <c r="M5" s="6" t="s">
        <v>495</v>
      </c>
      <c r="N5" s="6" t="s">
        <v>929</v>
      </c>
      <c r="O5" s="6">
        <v>3034949101</v>
      </c>
      <c r="P5" s="6">
        <v>5419681034</v>
      </c>
      <c r="Q5" s="6" t="s">
        <v>930</v>
      </c>
      <c r="R5" s="6" t="s">
        <v>160</v>
      </c>
      <c r="S5" s="6" t="s">
        <v>927</v>
      </c>
      <c r="T5" s="6">
        <v>80305</v>
      </c>
      <c r="U5" s="6" t="s">
        <v>930</v>
      </c>
      <c r="V5" s="6" t="s">
        <v>160</v>
      </c>
      <c r="W5" s="6" t="s">
        <v>927</v>
      </c>
      <c r="X5" s="6">
        <v>80305</v>
      </c>
      <c r="Y5" s="6" t="s">
        <v>339</v>
      </c>
    </row>
    <row r="6" spans="1:25" s="19" customFormat="1" x14ac:dyDescent="0.2">
      <c r="B6" s="5" t="s">
        <v>921</v>
      </c>
      <c r="C6" s="5" t="s">
        <v>49</v>
      </c>
      <c r="D6" s="5" t="s">
        <v>50</v>
      </c>
      <c r="E6" s="5" t="s">
        <v>922</v>
      </c>
      <c r="F6" s="5" t="s">
        <v>923</v>
      </c>
      <c r="G6" s="5">
        <v>7202728398</v>
      </c>
      <c r="H6" s="5">
        <v>3034993253</v>
      </c>
      <c r="I6" s="20">
        <v>855</v>
      </c>
      <c r="J6" s="6" t="s">
        <v>924</v>
      </c>
      <c r="K6" s="6" t="s">
        <v>521</v>
      </c>
      <c r="L6" s="6" t="s">
        <v>522</v>
      </c>
      <c r="M6" s="6" t="s">
        <v>522</v>
      </c>
      <c r="N6" s="6" t="s">
        <v>524</v>
      </c>
      <c r="O6" s="6">
        <v>3038471674</v>
      </c>
      <c r="P6" s="6">
        <v>3034990178</v>
      </c>
      <c r="Q6" s="6" t="s">
        <v>931</v>
      </c>
      <c r="R6" s="6" t="s">
        <v>160</v>
      </c>
      <c r="S6" s="6" t="s">
        <v>927</v>
      </c>
      <c r="T6" s="6">
        <v>80305</v>
      </c>
      <c r="U6" s="6" t="s">
        <v>931</v>
      </c>
      <c r="V6" s="6" t="s">
        <v>160</v>
      </c>
      <c r="W6" s="6" t="s">
        <v>927</v>
      </c>
      <c r="X6" s="6">
        <v>80305</v>
      </c>
      <c r="Y6" s="6" t="s">
        <v>339</v>
      </c>
    </row>
    <row r="7" spans="1:25" s="19" customFormat="1" x14ac:dyDescent="0.2">
      <c r="B7" s="5" t="s">
        <v>921</v>
      </c>
      <c r="C7" s="5" t="s">
        <v>49</v>
      </c>
      <c r="D7" s="5" t="s">
        <v>50</v>
      </c>
      <c r="E7" s="5" t="s">
        <v>922</v>
      </c>
      <c r="F7" s="5" t="s">
        <v>923</v>
      </c>
      <c r="G7" s="5">
        <v>7202728398</v>
      </c>
      <c r="H7" s="5">
        <v>3034993253</v>
      </c>
      <c r="I7" s="20">
        <v>855</v>
      </c>
      <c r="J7" s="6" t="s">
        <v>924</v>
      </c>
      <c r="K7" s="6" t="s">
        <v>932</v>
      </c>
      <c r="L7" s="6" t="s">
        <v>933</v>
      </c>
      <c r="M7" s="6" t="s">
        <v>933</v>
      </c>
      <c r="N7" s="6" t="s">
        <v>934</v>
      </c>
      <c r="O7" s="6">
        <v>7209390119</v>
      </c>
      <c r="P7" s="6"/>
      <c r="Q7" s="6" t="s">
        <v>935</v>
      </c>
      <c r="R7" s="6" t="s">
        <v>160</v>
      </c>
      <c r="S7" s="6" t="s">
        <v>927</v>
      </c>
      <c r="T7" s="6">
        <v>80305</v>
      </c>
      <c r="U7" s="6" t="s">
        <v>935</v>
      </c>
      <c r="V7" s="6" t="s">
        <v>160</v>
      </c>
      <c r="W7" s="6" t="s">
        <v>927</v>
      </c>
      <c r="X7" s="6">
        <v>80305</v>
      </c>
      <c r="Y7" s="6" t="s">
        <v>339</v>
      </c>
    </row>
    <row r="8" spans="1:25" s="19" customFormat="1" x14ac:dyDescent="0.2">
      <c r="B8" s="5" t="s">
        <v>921</v>
      </c>
      <c r="C8" s="5" t="s">
        <v>49</v>
      </c>
      <c r="D8" s="5" t="s">
        <v>50</v>
      </c>
      <c r="E8" s="5" t="s">
        <v>922</v>
      </c>
      <c r="F8" s="5" t="s">
        <v>923</v>
      </c>
      <c r="G8" s="5">
        <v>7202728398</v>
      </c>
      <c r="H8" s="5">
        <v>3034993253</v>
      </c>
      <c r="I8" s="20">
        <v>856</v>
      </c>
      <c r="J8" s="6" t="s">
        <v>924</v>
      </c>
      <c r="K8" s="6" t="s">
        <v>936</v>
      </c>
      <c r="L8" s="6" t="s">
        <v>500</v>
      </c>
      <c r="M8" s="6" t="s">
        <v>500</v>
      </c>
      <c r="N8" s="6" t="s">
        <v>937</v>
      </c>
      <c r="O8" s="6">
        <v>3033589371</v>
      </c>
      <c r="P8" s="6"/>
      <c r="Q8" s="6" t="s">
        <v>938</v>
      </c>
      <c r="R8" s="6" t="s">
        <v>160</v>
      </c>
      <c r="S8" s="6" t="s">
        <v>927</v>
      </c>
      <c r="T8" s="6">
        <v>80305</v>
      </c>
      <c r="U8" s="6" t="s">
        <v>938</v>
      </c>
      <c r="V8" s="6" t="s">
        <v>160</v>
      </c>
      <c r="W8" s="6" t="s">
        <v>927</v>
      </c>
      <c r="X8" s="6">
        <v>80305</v>
      </c>
      <c r="Y8" s="6" t="s">
        <v>339</v>
      </c>
    </row>
    <row r="9" spans="1:25" s="19" customFormat="1" x14ac:dyDescent="0.2">
      <c r="B9" s="5" t="s">
        <v>921</v>
      </c>
      <c r="C9" s="5" t="s">
        <v>49</v>
      </c>
      <c r="D9" s="5" t="s">
        <v>50</v>
      </c>
      <c r="E9" s="5" t="s">
        <v>922</v>
      </c>
      <c r="F9" s="5" t="s">
        <v>923</v>
      </c>
      <c r="G9" s="5">
        <v>7202728398</v>
      </c>
      <c r="H9" s="5">
        <v>3034993253</v>
      </c>
      <c r="I9" s="20">
        <v>856</v>
      </c>
      <c r="J9" s="6" t="s">
        <v>924</v>
      </c>
      <c r="K9" s="6" t="s">
        <v>925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 t="s">
        <v>339</v>
      </c>
    </row>
    <row r="10" spans="1:25" s="19" customFormat="1" x14ac:dyDescent="0.2">
      <c r="B10" s="5" t="s">
        <v>921</v>
      </c>
      <c r="C10" s="5" t="s">
        <v>49</v>
      </c>
      <c r="D10" s="5" t="s">
        <v>50</v>
      </c>
      <c r="E10" s="5" t="s">
        <v>922</v>
      </c>
      <c r="F10" s="5" t="s">
        <v>923</v>
      </c>
      <c r="G10" s="5">
        <v>7202728398</v>
      </c>
      <c r="H10" s="5">
        <v>3034993253</v>
      </c>
      <c r="I10" s="20">
        <v>857</v>
      </c>
      <c r="J10" s="6" t="s">
        <v>924</v>
      </c>
      <c r="K10" s="6" t="s">
        <v>939</v>
      </c>
      <c r="L10" s="6" t="s">
        <v>940</v>
      </c>
      <c r="M10" s="6" t="s">
        <v>940</v>
      </c>
      <c r="N10" s="6" t="s">
        <v>941</v>
      </c>
      <c r="O10" s="6">
        <v>5413599369</v>
      </c>
      <c r="P10" s="6"/>
      <c r="Q10" s="6" t="s">
        <v>942</v>
      </c>
      <c r="R10" s="6" t="s">
        <v>160</v>
      </c>
      <c r="S10" s="6" t="s">
        <v>927</v>
      </c>
      <c r="T10" s="6">
        <v>80305</v>
      </c>
      <c r="U10" s="6" t="s">
        <v>942</v>
      </c>
      <c r="V10" s="6" t="s">
        <v>160</v>
      </c>
      <c r="W10" s="6" t="s">
        <v>927</v>
      </c>
      <c r="X10" s="6">
        <v>80305</v>
      </c>
      <c r="Y10" s="6" t="s">
        <v>339</v>
      </c>
    </row>
    <row r="11" spans="1:25" s="19" customFormat="1" x14ac:dyDescent="0.2">
      <c r="B11" s="5" t="s">
        <v>921</v>
      </c>
      <c r="C11" s="5" t="s">
        <v>49</v>
      </c>
      <c r="D11" s="5" t="s">
        <v>50</v>
      </c>
      <c r="E11" s="5" t="s">
        <v>922</v>
      </c>
      <c r="F11" s="5" t="s">
        <v>923</v>
      </c>
      <c r="G11" s="5">
        <v>7202728398</v>
      </c>
      <c r="H11" s="5">
        <v>3034993253</v>
      </c>
      <c r="I11" s="20">
        <v>857</v>
      </c>
      <c r="J11" s="6" t="s">
        <v>924</v>
      </c>
      <c r="K11" s="6" t="s">
        <v>943</v>
      </c>
      <c r="L11" s="6" t="s">
        <v>944</v>
      </c>
      <c r="M11" s="6" t="s">
        <v>944</v>
      </c>
      <c r="N11" s="6" t="s">
        <v>945</v>
      </c>
      <c r="O11" s="6">
        <v>7329777746</v>
      </c>
      <c r="P11" s="6"/>
      <c r="Q11" s="6" t="s">
        <v>946</v>
      </c>
      <c r="R11" s="6" t="s">
        <v>160</v>
      </c>
      <c r="S11" s="6" t="s">
        <v>927</v>
      </c>
      <c r="T11" s="6">
        <v>80305</v>
      </c>
      <c r="U11" s="6" t="s">
        <v>946</v>
      </c>
      <c r="V11" s="6" t="s">
        <v>160</v>
      </c>
      <c r="W11" s="6" t="s">
        <v>927</v>
      </c>
      <c r="X11" s="6">
        <v>80305</v>
      </c>
      <c r="Y11" s="6" t="s">
        <v>339</v>
      </c>
    </row>
    <row r="12" spans="1:25" s="19" customFormat="1" x14ac:dyDescent="0.2">
      <c r="B12" s="5" t="s">
        <v>921</v>
      </c>
      <c r="C12" s="5" t="s">
        <v>49</v>
      </c>
      <c r="D12" s="5" t="s">
        <v>50</v>
      </c>
      <c r="E12" s="5" t="s">
        <v>922</v>
      </c>
      <c r="F12" s="5" t="s">
        <v>923</v>
      </c>
      <c r="G12" s="5">
        <v>7202728398</v>
      </c>
      <c r="H12" s="5">
        <v>3034993253</v>
      </c>
      <c r="I12" s="20">
        <v>900</v>
      </c>
      <c r="J12" s="6" t="s">
        <v>924</v>
      </c>
      <c r="K12" s="6" t="s">
        <v>925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 t="s">
        <v>339</v>
      </c>
    </row>
    <row r="13" spans="1:25" s="19" customFormat="1" x14ac:dyDescent="0.2">
      <c r="B13" s="5" t="s">
        <v>921</v>
      </c>
      <c r="C13" s="5" t="s">
        <v>49</v>
      </c>
      <c r="D13" s="5" t="s">
        <v>50</v>
      </c>
      <c r="E13" s="5" t="s">
        <v>922</v>
      </c>
      <c r="F13" s="5" t="s">
        <v>923</v>
      </c>
      <c r="G13" s="5">
        <v>7202728398</v>
      </c>
      <c r="H13" s="5">
        <v>3034993253</v>
      </c>
      <c r="I13" s="20">
        <v>900</v>
      </c>
      <c r="J13" s="6" t="s">
        <v>924</v>
      </c>
      <c r="K13" s="6" t="s">
        <v>925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 t="s">
        <v>339</v>
      </c>
    </row>
    <row r="14" spans="1:25" s="19" customFormat="1" x14ac:dyDescent="0.2">
      <c r="B14" s="5" t="s">
        <v>921</v>
      </c>
      <c r="C14" s="5" t="s">
        <v>49</v>
      </c>
      <c r="D14" s="5" t="s">
        <v>50</v>
      </c>
      <c r="E14" s="5" t="s">
        <v>922</v>
      </c>
      <c r="F14" s="5" t="s">
        <v>923</v>
      </c>
      <c r="G14" s="5">
        <v>7202728398</v>
      </c>
      <c r="H14" s="5">
        <v>3034993253</v>
      </c>
      <c r="I14" s="20">
        <v>906</v>
      </c>
      <c r="J14" s="6" t="s">
        <v>924</v>
      </c>
      <c r="K14" s="6" t="s">
        <v>831</v>
      </c>
      <c r="L14" s="6" t="s">
        <v>733</v>
      </c>
      <c r="M14" s="6" t="s">
        <v>733</v>
      </c>
      <c r="N14" s="6" t="s">
        <v>833</v>
      </c>
      <c r="O14" s="6">
        <v>3036191850</v>
      </c>
      <c r="P14" s="6">
        <v>3039997682</v>
      </c>
      <c r="Q14" s="6" t="s">
        <v>947</v>
      </c>
      <c r="R14" s="6" t="s">
        <v>160</v>
      </c>
      <c r="S14" s="6" t="s">
        <v>927</v>
      </c>
      <c r="T14" s="6">
        <v>80305</v>
      </c>
      <c r="U14" s="6" t="s">
        <v>947</v>
      </c>
      <c r="V14" s="6" t="s">
        <v>160</v>
      </c>
      <c r="W14" s="6" t="s">
        <v>927</v>
      </c>
      <c r="X14" s="6">
        <v>80305</v>
      </c>
      <c r="Y14" s="6" t="s">
        <v>339</v>
      </c>
    </row>
    <row r="15" spans="1:25" s="19" customFormat="1" x14ac:dyDescent="0.2">
      <c r="B15" s="5" t="s">
        <v>921</v>
      </c>
      <c r="C15" s="5" t="s">
        <v>49</v>
      </c>
      <c r="D15" s="5" t="s">
        <v>50</v>
      </c>
      <c r="E15" s="5" t="s">
        <v>922</v>
      </c>
      <c r="F15" s="5" t="s">
        <v>923</v>
      </c>
      <c r="G15" s="5">
        <v>7202728398</v>
      </c>
      <c r="H15" s="5">
        <v>3034993253</v>
      </c>
      <c r="I15" s="20">
        <v>906</v>
      </c>
      <c r="J15" s="6" t="s">
        <v>924</v>
      </c>
      <c r="K15" s="6" t="s">
        <v>462</v>
      </c>
      <c r="L15" s="6" t="s">
        <v>463</v>
      </c>
      <c r="M15" s="6" t="s">
        <v>463</v>
      </c>
      <c r="N15" s="6" t="s">
        <v>465</v>
      </c>
      <c r="O15" s="6">
        <v>3037265934</v>
      </c>
      <c r="P15" s="6"/>
      <c r="Q15" s="6" t="s">
        <v>948</v>
      </c>
      <c r="R15" s="6" t="s">
        <v>160</v>
      </c>
      <c r="S15" s="6" t="s">
        <v>927</v>
      </c>
      <c r="T15" s="6">
        <v>80305</v>
      </c>
      <c r="U15" s="6" t="s">
        <v>948</v>
      </c>
      <c r="V15" s="6" t="s">
        <v>160</v>
      </c>
      <c r="W15" s="6" t="s">
        <v>927</v>
      </c>
      <c r="X15" s="6">
        <v>80305</v>
      </c>
      <c r="Y15" s="6" t="s">
        <v>339</v>
      </c>
    </row>
    <row r="16" spans="1:25" s="19" customFormat="1" x14ac:dyDescent="0.2">
      <c r="B16" s="5" t="s">
        <v>949</v>
      </c>
      <c r="C16" s="5" t="s">
        <v>45</v>
      </c>
      <c r="D16" s="5" t="s">
        <v>46</v>
      </c>
      <c r="E16" s="5" t="s">
        <v>46</v>
      </c>
      <c r="F16" s="5" t="s">
        <v>47</v>
      </c>
      <c r="G16" s="5">
        <v>3035455326</v>
      </c>
      <c r="H16" s="5">
        <v>0</v>
      </c>
      <c r="I16" s="20">
        <v>830</v>
      </c>
      <c r="J16" s="6" t="s">
        <v>924</v>
      </c>
      <c r="K16" s="6" t="s">
        <v>925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 t="s">
        <v>367</v>
      </c>
    </row>
    <row r="17" spans="2:25" s="19" customFormat="1" x14ac:dyDescent="0.2">
      <c r="B17" s="5" t="s">
        <v>949</v>
      </c>
      <c r="C17" s="5" t="s">
        <v>45</v>
      </c>
      <c r="D17" s="5" t="s">
        <v>46</v>
      </c>
      <c r="E17" s="5" t="s">
        <v>46</v>
      </c>
      <c r="F17" s="5" t="s">
        <v>47</v>
      </c>
      <c r="G17" s="5">
        <v>3035455326</v>
      </c>
      <c r="H17" s="5">
        <v>0</v>
      </c>
      <c r="I17" s="20">
        <v>830</v>
      </c>
      <c r="J17" s="6" t="s">
        <v>924</v>
      </c>
      <c r="K17" s="6" t="s">
        <v>925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 t="s">
        <v>367</v>
      </c>
    </row>
    <row r="18" spans="2:25" s="19" customFormat="1" x14ac:dyDescent="0.2">
      <c r="B18" s="5" t="s">
        <v>949</v>
      </c>
      <c r="C18" s="5" t="s">
        <v>45</v>
      </c>
      <c r="D18" s="5" t="s">
        <v>46</v>
      </c>
      <c r="E18" s="5" t="s">
        <v>46</v>
      </c>
      <c r="F18" s="5" t="s">
        <v>47</v>
      </c>
      <c r="G18" s="5">
        <v>3035455326</v>
      </c>
      <c r="H18" s="5">
        <v>0</v>
      </c>
      <c r="I18" s="20">
        <v>844</v>
      </c>
      <c r="J18" s="6" t="s">
        <v>924</v>
      </c>
      <c r="K18" s="6" t="s">
        <v>45</v>
      </c>
      <c r="L18" s="6" t="s">
        <v>46</v>
      </c>
      <c r="M18" s="6" t="s">
        <v>46</v>
      </c>
      <c r="N18" s="6" t="s">
        <v>47</v>
      </c>
      <c r="O18" s="6">
        <v>3035455326</v>
      </c>
      <c r="P18" s="6"/>
      <c r="Q18" s="6" t="s">
        <v>950</v>
      </c>
      <c r="R18" s="6" t="s">
        <v>160</v>
      </c>
      <c r="S18" s="6" t="s">
        <v>927</v>
      </c>
      <c r="T18" s="6">
        <v>80302</v>
      </c>
      <c r="U18" s="6" t="s">
        <v>950</v>
      </c>
      <c r="V18" s="6" t="s">
        <v>160</v>
      </c>
      <c r="W18" s="6" t="s">
        <v>927</v>
      </c>
      <c r="X18" s="6">
        <v>80302</v>
      </c>
      <c r="Y18" s="6" t="s">
        <v>367</v>
      </c>
    </row>
    <row r="19" spans="2:25" s="19" customFormat="1" x14ac:dyDescent="0.2">
      <c r="B19" s="5" t="s">
        <v>949</v>
      </c>
      <c r="C19" s="5" t="s">
        <v>45</v>
      </c>
      <c r="D19" s="5" t="s">
        <v>46</v>
      </c>
      <c r="E19" s="5" t="s">
        <v>46</v>
      </c>
      <c r="F19" s="5" t="s">
        <v>47</v>
      </c>
      <c r="G19" s="5">
        <v>3035455326</v>
      </c>
      <c r="H19" s="5">
        <v>0</v>
      </c>
      <c r="I19" s="20">
        <v>844</v>
      </c>
      <c r="J19" s="6" t="s">
        <v>924</v>
      </c>
      <c r="K19" s="6" t="s">
        <v>925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 t="s">
        <v>367</v>
      </c>
    </row>
    <row r="20" spans="2:25" s="19" customFormat="1" x14ac:dyDescent="0.2">
      <c r="B20" s="5" t="s">
        <v>949</v>
      </c>
      <c r="C20" s="5" t="s">
        <v>45</v>
      </c>
      <c r="D20" s="5" t="s">
        <v>46</v>
      </c>
      <c r="E20" s="5" t="s">
        <v>46</v>
      </c>
      <c r="F20" s="5" t="s">
        <v>47</v>
      </c>
      <c r="G20" s="5">
        <v>3035455326</v>
      </c>
      <c r="H20" s="5">
        <v>0</v>
      </c>
      <c r="I20" s="20">
        <v>845</v>
      </c>
      <c r="J20" s="6" t="s">
        <v>924</v>
      </c>
      <c r="K20" s="6" t="s">
        <v>925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 t="s">
        <v>367</v>
      </c>
    </row>
    <row r="21" spans="2:25" s="19" customFormat="1" x14ac:dyDescent="0.2">
      <c r="B21" s="5" t="s">
        <v>949</v>
      </c>
      <c r="C21" s="5" t="s">
        <v>45</v>
      </c>
      <c r="D21" s="5" t="s">
        <v>46</v>
      </c>
      <c r="E21" s="5" t="s">
        <v>46</v>
      </c>
      <c r="F21" s="5" t="s">
        <v>47</v>
      </c>
      <c r="G21" s="5">
        <v>3035455326</v>
      </c>
      <c r="H21" s="5">
        <v>0</v>
      </c>
      <c r="I21" s="20">
        <v>845</v>
      </c>
      <c r="J21" s="6" t="s">
        <v>924</v>
      </c>
      <c r="K21" s="6" t="s">
        <v>925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 t="s">
        <v>367</v>
      </c>
    </row>
    <row r="22" spans="2:25" s="19" customFormat="1" x14ac:dyDescent="0.2">
      <c r="B22" s="5" t="s">
        <v>949</v>
      </c>
      <c r="C22" s="5" t="s">
        <v>45</v>
      </c>
      <c r="D22" s="5" t="s">
        <v>46</v>
      </c>
      <c r="E22" s="5" t="s">
        <v>46</v>
      </c>
      <c r="F22" s="5" t="s">
        <v>47</v>
      </c>
      <c r="G22" s="5">
        <v>3035455326</v>
      </c>
      <c r="H22" s="5">
        <v>0</v>
      </c>
      <c r="I22" s="20">
        <v>852</v>
      </c>
      <c r="J22" s="6" t="s">
        <v>924</v>
      </c>
      <c r="K22" s="6" t="s">
        <v>725</v>
      </c>
      <c r="L22" s="6" t="s">
        <v>513</v>
      </c>
      <c r="M22" s="6" t="s">
        <v>513</v>
      </c>
      <c r="N22" s="6" t="s">
        <v>727</v>
      </c>
      <c r="O22" s="6">
        <v>3034948822</v>
      </c>
      <c r="P22" s="6"/>
      <c r="Q22" s="6" t="s">
        <v>951</v>
      </c>
      <c r="R22" s="6" t="s">
        <v>160</v>
      </c>
      <c r="S22" s="6" t="s">
        <v>927</v>
      </c>
      <c r="T22" s="6">
        <v>80305</v>
      </c>
      <c r="U22" s="6" t="s">
        <v>951</v>
      </c>
      <c r="V22" s="6" t="s">
        <v>160</v>
      </c>
      <c r="W22" s="6" t="s">
        <v>927</v>
      </c>
      <c r="X22" s="6">
        <v>80305</v>
      </c>
      <c r="Y22" s="6" t="s">
        <v>367</v>
      </c>
    </row>
    <row r="23" spans="2:25" s="19" customFormat="1" x14ac:dyDescent="0.2">
      <c r="B23" s="5" t="s">
        <v>949</v>
      </c>
      <c r="C23" s="5" t="s">
        <v>45</v>
      </c>
      <c r="D23" s="5" t="s">
        <v>46</v>
      </c>
      <c r="E23" s="5" t="s">
        <v>46</v>
      </c>
      <c r="F23" s="5" t="s">
        <v>47</v>
      </c>
      <c r="G23" s="5">
        <v>3035455326</v>
      </c>
      <c r="H23" s="5">
        <v>0</v>
      </c>
      <c r="I23" s="20">
        <v>852</v>
      </c>
      <c r="J23" s="6" t="s">
        <v>924</v>
      </c>
      <c r="K23" s="6" t="s">
        <v>952</v>
      </c>
      <c r="L23" s="6" t="s">
        <v>785</v>
      </c>
      <c r="M23" s="6" t="s">
        <v>785</v>
      </c>
      <c r="N23" s="6" t="s">
        <v>953</v>
      </c>
      <c r="O23" s="6">
        <v>7209349272</v>
      </c>
      <c r="P23" s="6">
        <v>7209349272</v>
      </c>
      <c r="Q23" s="6" t="s">
        <v>954</v>
      </c>
      <c r="R23" s="6" t="s">
        <v>160</v>
      </c>
      <c r="S23" s="6" t="s">
        <v>927</v>
      </c>
      <c r="T23" s="6">
        <v>80305</v>
      </c>
      <c r="U23" s="6" t="s">
        <v>954</v>
      </c>
      <c r="V23" s="6" t="s">
        <v>160</v>
      </c>
      <c r="W23" s="6" t="s">
        <v>927</v>
      </c>
      <c r="X23" s="6">
        <v>80305</v>
      </c>
      <c r="Y23" s="6" t="s">
        <v>367</v>
      </c>
    </row>
    <row r="24" spans="2:25" s="19" customFormat="1" x14ac:dyDescent="0.2">
      <c r="B24" s="5" t="s">
        <v>949</v>
      </c>
      <c r="C24" s="5" t="s">
        <v>45</v>
      </c>
      <c r="D24" s="5" t="s">
        <v>46</v>
      </c>
      <c r="E24" s="5" t="s">
        <v>46</v>
      </c>
      <c r="F24" s="5" t="s">
        <v>47</v>
      </c>
      <c r="G24" s="5">
        <v>3035455326</v>
      </c>
      <c r="H24" s="5">
        <v>0</v>
      </c>
      <c r="I24" s="20">
        <v>853</v>
      </c>
      <c r="J24" s="6" t="s">
        <v>924</v>
      </c>
      <c r="K24" s="6" t="s">
        <v>955</v>
      </c>
      <c r="L24" s="6" t="s">
        <v>895</v>
      </c>
      <c r="M24" s="6" t="s">
        <v>895</v>
      </c>
      <c r="N24" s="6" t="s">
        <v>956</v>
      </c>
      <c r="O24" s="6">
        <v>3035880226</v>
      </c>
      <c r="P24" s="6"/>
      <c r="Q24" s="6" t="s">
        <v>957</v>
      </c>
      <c r="R24" s="6" t="s">
        <v>160</v>
      </c>
      <c r="S24" s="6" t="s">
        <v>927</v>
      </c>
      <c r="T24" s="6">
        <v>80305</v>
      </c>
      <c r="U24" s="6" t="s">
        <v>957</v>
      </c>
      <c r="V24" s="6" t="s">
        <v>160</v>
      </c>
      <c r="W24" s="6" t="s">
        <v>927</v>
      </c>
      <c r="X24" s="6">
        <v>80305</v>
      </c>
      <c r="Y24" s="6" t="s">
        <v>367</v>
      </c>
    </row>
    <row r="25" spans="2:25" s="19" customFormat="1" x14ac:dyDescent="0.2">
      <c r="B25" s="5" t="s">
        <v>949</v>
      </c>
      <c r="C25" s="5" t="s">
        <v>45</v>
      </c>
      <c r="D25" s="5" t="s">
        <v>46</v>
      </c>
      <c r="E25" s="5" t="s">
        <v>46</v>
      </c>
      <c r="F25" s="5" t="s">
        <v>47</v>
      </c>
      <c r="G25" s="5">
        <v>3035455326</v>
      </c>
      <c r="H25" s="5">
        <v>0</v>
      </c>
      <c r="I25" s="20">
        <v>853</v>
      </c>
      <c r="J25" s="6" t="s">
        <v>924</v>
      </c>
      <c r="K25" s="6" t="s">
        <v>958</v>
      </c>
      <c r="L25" s="6" t="s">
        <v>959</v>
      </c>
      <c r="M25" s="6" t="s">
        <v>959</v>
      </c>
      <c r="N25" s="6" t="s">
        <v>960</v>
      </c>
      <c r="O25" s="6">
        <v>3035794553</v>
      </c>
      <c r="P25" s="6"/>
      <c r="Q25" s="6" t="s">
        <v>961</v>
      </c>
      <c r="R25" s="6" t="s">
        <v>160</v>
      </c>
      <c r="S25" s="6" t="s">
        <v>927</v>
      </c>
      <c r="T25" s="6">
        <v>80305</v>
      </c>
      <c r="U25" s="6" t="s">
        <v>961</v>
      </c>
      <c r="V25" s="6" t="s">
        <v>160</v>
      </c>
      <c r="W25" s="6" t="s">
        <v>927</v>
      </c>
      <c r="X25" s="6">
        <v>80305</v>
      </c>
      <c r="Y25" s="6" t="s">
        <v>367</v>
      </c>
    </row>
    <row r="26" spans="2:25" s="19" customFormat="1" x14ac:dyDescent="0.2">
      <c r="B26" s="5" t="s">
        <v>962</v>
      </c>
      <c r="C26" s="5" t="s">
        <v>51</v>
      </c>
      <c r="D26" s="5" t="s">
        <v>52</v>
      </c>
      <c r="E26" s="5" t="s">
        <v>52</v>
      </c>
      <c r="F26" s="5" t="s">
        <v>53</v>
      </c>
      <c r="G26" s="5">
        <v>3034786467</v>
      </c>
      <c r="H26" s="5">
        <v>0</v>
      </c>
      <c r="I26" s="20">
        <v>842</v>
      </c>
      <c r="J26" s="6" t="s">
        <v>924</v>
      </c>
      <c r="K26" s="6" t="s">
        <v>518</v>
      </c>
      <c r="L26" s="6" t="s">
        <v>519</v>
      </c>
      <c r="M26" s="6" t="s">
        <v>519</v>
      </c>
      <c r="N26" s="6" t="s">
        <v>963</v>
      </c>
      <c r="O26" s="6">
        <v>9083474839</v>
      </c>
      <c r="P26" s="6">
        <v>3034408497</v>
      </c>
      <c r="Q26" s="6" t="s">
        <v>964</v>
      </c>
      <c r="R26" s="6" t="s">
        <v>160</v>
      </c>
      <c r="S26" s="6" t="s">
        <v>927</v>
      </c>
      <c r="T26" s="6">
        <v>80303</v>
      </c>
      <c r="U26" s="6" t="s">
        <v>964</v>
      </c>
      <c r="V26" s="6" t="s">
        <v>160</v>
      </c>
      <c r="W26" s="6" t="s">
        <v>927</v>
      </c>
      <c r="X26" s="6">
        <v>80303</v>
      </c>
      <c r="Y26" s="6" t="s">
        <v>288</v>
      </c>
    </row>
    <row r="27" spans="2:25" s="19" customFormat="1" x14ac:dyDescent="0.2">
      <c r="B27" s="5" t="s">
        <v>962</v>
      </c>
      <c r="C27" s="5" t="s">
        <v>51</v>
      </c>
      <c r="D27" s="5" t="s">
        <v>52</v>
      </c>
      <c r="E27" s="5" t="s">
        <v>52</v>
      </c>
      <c r="F27" s="5" t="s">
        <v>53</v>
      </c>
      <c r="G27" s="5">
        <v>3034786467</v>
      </c>
      <c r="H27" s="5">
        <v>0</v>
      </c>
      <c r="I27" s="20">
        <v>842</v>
      </c>
      <c r="J27" s="6" t="s">
        <v>924</v>
      </c>
      <c r="K27" s="6" t="s">
        <v>925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 t="s">
        <v>288</v>
      </c>
    </row>
    <row r="28" spans="2:25" s="19" customFormat="1" x14ac:dyDescent="0.2">
      <c r="B28" s="5" t="s">
        <v>962</v>
      </c>
      <c r="C28" s="5" t="s">
        <v>51</v>
      </c>
      <c r="D28" s="5" t="s">
        <v>52</v>
      </c>
      <c r="E28" s="5" t="s">
        <v>52</v>
      </c>
      <c r="F28" s="5" t="s">
        <v>53</v>
      </c>
      <c r="G28" s="5">
        <v>3034786467</v>
      </c>
      <c r="H28" s="5">
        <v>0</v>
      </c>
      <c r="I28" s="20">
        <v>843</v>
      </c>
      <c r="J28" s="6" t="s">
        <v>924</v>
      </c>
      <c r="K28" s="6" t="s">
        <v>616</v>
      </c>
      <c r="L28" s="6" t="s">
        <v>617</v>
      </c>
      <c r="M28" s="6" t="s">
        <v>617</v>
      </c>
      <c r="N28" s="6" t="s">
        <v>619</v>
      </c>
      <c r="O28" s="6">
        <v>3034434068</v>
      </c>
      <c r="P28" s="6"/>
      <c r="Q28" s="6" t="s">
        <v>965</v>
      </c>
      <c r="R28" s="6" t="s">
        <v>160</v>
      </c>
      <c r="S28" s="6" t="s">
        <v>927</v>
      </c>
      <c r="T28" s="6">
        <v>80305</v>
      </c>
      <c r="U28" s="6" t="s">
        <v>965</v>
      </c>
      <c r="V28" s="6" t="s">
        <v>160</v>
      </c>
      <c r="W28" s="6" t="s">
        <v>927</v>
      </c>
      <c r="X28" s="6">
        <v>80305</v>
      </c>
      <c r="Y28" s="6" t="s">
        <v>288</v>
      </c>
    </row>
    <row r="29" spans="2:25" s="19" customFormat="1" x14ac:dyDescent="0.2">
      <c r="B29" s="5" t="s">
        <v>962</v>
      </c>
      <c r="C29" s="5" t="s">
        <v>51</v>
      </c>
      <c r="D29" s="5" t="s">
        <v>52</v>
      </c>
      <c r="E29" s="5" t="s">
        <v>52</v>
      </c>
      <c r="F29" s="5" t="s">
        <v>53</v>
      </c>
      <c r="G29" s="5">
        <v>3034786467</v>
      </c>
      <c r="H29" s="5">
        <v>0</v>
      </c>
      <c r="I29" s="20">
        <v>843</v>
      </c>
      <c r="J29" s="6" t="s">
        <v>924</v>
      </c>
      <c r="K29" s="6" t="s">
        <v>966</v>
      </c>
      <c r="L29" s="6" t="s">
        <v>967</v>
      </c>
      <c r="M29" s="6" t="s">
        <v>967</v>
      </c>
      <c r="N29" s="6" t="s">
        <v>968</v>
      </c>
      <c r="O29" s="6">
        <v>3036674691</v>
      </c>
      <c r="P29" s="6"/>
      <c r="Q29" s="6" t="s">
        <v>969</v>
      </c>
      <c r="R29" s="6" t="s">
        <v>160</v>
      </c>
      <c r="S29" s="6" t="s">
        <v>927</v>
      </c>
      <c r="T29" s="6">
        <v>80305</v>
      </c>
      <c r="U29" s="6" t="s">
        <v>969</v>
      </c>
      <c r="V29" s="6" t="s">
        <v>160</v>
      </c>
      <c r="W29" s="6" t="s">
        <v>927</v>
      </c>
      <c r="X29" s="6">
        <v>80305</v>
      </c>
      <c r="Y29" s="6" t="s">
        <v>288</v>
      </c>
    </row>
    <row r="30" spans="2:25" s="19" customFormat="1" x14ac:dyDescent="0.2">
      <c r="B30" s="5" t="s">
        <v>962</v>
      </c>
      <c r="C30" s="5" t="s">
        <v>51</v>
      </c>
      <c r="D30" s="5" t="s">
        <v>52</v>
      </c>
      <c r="E30" s="5" t="s">
        <v>52</v>
      </c>
      <c r="F30" s="5" t="s">
        <v>53</v>
      </c>
      <c r="G30" s="5">
        <v>3034786467</v>
      </c>
      <c r="H30" s="5">
        <v>0</v>
      </c>
      <c r="I30" s="20">
        <v>846</v>
      </c>
      <c r="J30" s="6" t="s">
        <v>924</v>
      </c>
      <c r="K30" s="6" t="s">
        <v>625</v>
      </c>
      <c r="L30" s="6" t="s">
        <v>626</v>
      </c>
      <c r="M30" s="6" t="s">
        <v>626</v>
      </c>
      <c r="N30" s="6" t="s">
        <v>627</v>
      </c>
      <c r="O30" s="6">
        <v>7207893042</v>
      </c>
      <c r="P30" s="6">
        <v>7204370784</v>
      </c>
      <c r="Q30" s="6" t="s">
        <v>970</v>
      </c>
      <c r="R30" s="6" t="s">
        <v>160</v>
      </c>
      <c r="S30" s="6" t="s">
        <v>927</v>
      </c>
      <c r="T30" s="6">
        <v>80305</v>
      </c>
      <c r="U30" s="6" t="s">
        <v>970</v>
      </c>
      <c r="V30" s="6" t="s">
        <v>160</v>
      </c>
      <c r="W30" s="6" t="s">
        <v>927</v>
      </c>
      <c r="X30" s="6">
        <v>80305</v>
      </c>
      <c r="Y30" s="6" t="s">
        <v>288</v>
      </c>
    </row>
    <row r="31" spans="2:25" s="19" customFormat="1" x14ac:dyDescent="0.2">
      <c r="B31" s="5" t="s">
        <v>962</v>
      </c>
      <c r="C31" s="5" t="s">
        <v>51</v>
      </c>
      <c r="D31" s="5" t="s">
        <v>52</v>
      </c>
      <c r="E31" s="5" t="s">
        <v>52</v>
      </c>
      <c r="F31" s="5" t="s">
        <v>53</v>
      </c>
      <c r="G31" s="5">
        <v>3034786467</v>
      </c>
      <c r="H31" s="5">
        <v>0</v>
      </c>
      <c r="I31" s="20">
        <v>846</v>
      </c>
      <c r="J31" s="6" t="s">
        <v>924</v>
      </c>
      <c r="K31" s="6" t="s">
        <v>925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 t="s">
        <v>288</v>
      </c>
    </row>
    <row r="32" spans="2:25" s="19" customFormat="1" x14ac:dyDescent="0.2">
      <c r="B32" s="5" t="s">
        <v>962</v>
      </c>
      <c r="C32" s="5" t="s">
        <v>51</v>
      </c>
      <c r="D32" s="5" t="s">
        <v>52</v>
      </c>
      <c r="E32" s="5" t="s">
        <v>52</v>
      </c>
      <c r="F32" s="5" t="s">
        <v>53</v>
      </c>
      <c r="G32" s="5">
        <v>3034786467</v>
      </c>
      <c r="H32" s="5">
        <v>0</v>
      </c>
      <c r="I32" s="20">
        <v>847</v>
      </c>
      <c r="J32" s="6" t="s">
        <v>924</v>
      </c>
      <c r="K32" s="6" t="s">
        <v>51</v>
      </c>
      <c r="L32" s="6" t="s">
        <v>52</v>
      </c>
      <c r="M32" s="6" t="s">
        <v>52</v>
      </c>
      <c r="N32" s="6" t="s">
        <v>53</v>
      </c>
      <c r="O32" s="6">
        <v>3034786467</v>
      </c>
      <c r="P32" s="6"/>
      <c r="Q32" s="6" t="s">
        <v>971</v>
      </c>
      <c r="R32" s="6" t="s">
        <v>160</v>
      </c>
      <c r="S32" s="6" t="s">
        <v>927</v>
      </c>
      <c r="T32" s="6">
        <v>80305</v>
      </c>
      <c r="U32" s="6" t="s">
        <v>971</v>
      </c>
      <c r="V32" s="6" t="s">
        <v>160</v>
      </c>
      <c r="W32" s="6" t="s">
        <v>927</v>
      </c>
      <c r="X32" s="6">
        <v>80305</v>
      </c>
      <c r="Y32" s="6" t="s">
        <v>288</v>
      </c>
    </row>
    <row r="33" spans="2:25" s="19" customFormat="1" x14ac:dyDescent="0.2">
      <c r="B33" s="5" t="s">
        <v>962</v>
      </c>
      <c r="C33" s="5" t="s">
        <v>51</v>
      </c>
      <c r="D33" s="5" t="s">
        <v>52</v>
      </c>
      <c r="E33" s="5" t="s">
        <v>52</v>
      </c>
      <c r="F33" s="5" t="s">
        <v>53</v>
      </c>
      <c r="G33" s="5">
        <v>3034786467</v>
      </c>
      <c r="H33" s="5">
        <v>0</v>
      </c>
      <c r="I33" s="20">
        <v>847</v>
      </c>
      <c r="J33" s="6" t="s">
        <v>924</v>
      </c>
      <c r="K33" s="6" t="s">
        <v>925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 t="s">
        <v>288</v>
      </c>
    </row>
    <row r="34" spans="2:25" s="19" customFormat="1" x14ac:dyDescent="0.2">
      <c r="B34" s="5" t="s">
        <v>962</v>
      </c>
      <c r="C34" s="5" t="s">
        <v>51</v>
      </c>
      <c r="D34" s="5" t="s">
        <v>52</v>
      </c>
      <c r="E34" s="5" t="s">
        <v>52</v>
      </c>
      <c r="F34" s="5" t="s">
        <v>53</v>
      </c>
      <c r="G34" s="5">
        <v>3034786467</v>
      </c>
      <c r="H34" s="5">
        <v>0</v>
      </c>
      <c r="I34" s="20">
        <v>850</v>
      </c>
      <c r="J34" s="6" t="s">
        <v>924</v>
      </c>
      <c r="K34" s="6" t="s">
        <v>476</v>
      </c>
      <c r="L34" s="6" t="s">
        <v>477</v>
      </c>
      <c r="M34" s="6" t="s">
        <v>477</v>
      </c>
      <c r="N34" s="6" t="s">
        <v>478</v>
      </c>
      <c r="O34" s="6">
        <v>3034992717</v>
      </c>
      <c r="P34" s="6"/>
      <c r="Q34" s="6" t="s">
        <v>972</v>
      </c>
      <c r="R34" s="6" t="s">
        <v>160</v>
      </c>
      <c r="S34" s="6" t="s">
        <v>927</v>
      </c>
      <c r="T34" s="6">
        <v>80305</v>
      </c>
      <c r="U34" s="6" t="s">
        <v>972</v>
      </c>
      <c r="V34" s="6" t="s">
        <v>160</v>
      </c>
      <c r="W34" s="6" t="s">
        <v>927</v>
      </c>
      <c r="X34" s="6">
        <v>80305</v>
      </c>
      <c r="Y34" s="6" t="s">
        <v>288</v>
      </c>
    </row>
    <row r="35" spans="2:25" s="19" customFormat="1" x14ac:dyDescent="0.2">
      <c r="B35" s="5" t="s">
        <v>962</v>
      </c>
      <c r="C35" s="5" t="s">
        <v>51</v>
      </c>
      <c r="D35" s="5" t="s">
        <v>52</v>
      </c>
      <c r="E35" s="5" t="s">
        <v>52</v>
      </c>
      <c r="F35" s="5" t="s">
        <v>53</v>
      </c>
      <c r="G35" s="5">
        <v>3034786467</v>
      </c>
      <c r="H35" s="5">
        <v>0</v>
      </c>
      <c r="I35" s="20">
        <v>850</v>
      </c>
      <c r="J35" s="6" t="s">
        <v>924</v>
      </c>
      <c r="K35" s="6" t="s">
        <v>973</v>
      </c>
      <c r="L35" s="6" t="s">
        <v>534</v>
      </c>
      <c r="M35" s="6" t="s">
        <v>534</v>
      </c>
      <c r="N35" s="6" t="s">
        <v>974</v>
      </c>
      <c r="O35" s="6">
        <v>3035225360</v>
      </c>
      <c r="P35" s="6"/>
      <c r="Q35" s="6" t="s">
        <v>975</v>
      </c>
      <c r="R35" s="6" t="s">
        <v>160</v>
      </c>
      <c r="S35" s="6" t="s">
        <v>927</v>
      </c>
      <c r="T35" s="6">
        <v>80305</v>
      </c>
      <c r="U35" s="6" t="s">
        <v>975</v>
      </c>
      <c r="V35" s="6" t="s">
        <v>160</v>
      </c>
      <c r="W35" s="6" t="s">
        <v>927</v>
      </c>
      <c r="X35" s="6">
        <v>80305</v>
      </c>
      <c r="Y35" s="6" t="s">
        <v>288</v>
      </c>
    </row>
    <row r="36" spans="2:25" s="19" customFormat="1" x14ac:dyDescent="0.2">
      <c r="B36" s="5" t="s">
        <v>962</v>
      </c>
      <c r="C36" s="5" t="s">
        <v>51</v>
      </c>
      <c r="D36" s="5" t="s">
        <v>52</v>
      </c>
      <c r="E36" s="5" t="s">
        <v>52</v>
      </c>
      <c r="F36" s="5" t="s">
        <v>53</v>
      </c>
      <c r="G36" s="5">
        <v>3034786467</v>
      </c>
      <c r="H36" s="5">
        <v>0</v>
      </c>
      <c r="I36" s="20">
        <v>851</v>
      </c>
      <c r="J36" s="6" t="s">
        <v>924</v>
      </c>
      <c r="K36" s="6" t="s">
        <v>584</v>
      </c>
      <c r="L36" s="6" t="s">
        <v>585</v>
      </c>
      <c r="M36" s="6" t="s">
        <v>976</v>
      </c>
      <c r="N36" s="6" t="s">
        <v>587</v>
      </c>
      <c r="O36" s="6">
        <v>3035795685</v>
      </c>
      <c r="P36" s="6"/>
      <c r="Q36" s="6" t="s">
        <v>977</v>
      </c>
      <c r="R36" s="6" t="s">
        <v>160</v>
      </c>
      <c r="S36" s="6" t="s">
        <v>927</v>
      </c>
      <c r="T36" s="6">
        <v>80305</v>
      </c>
      <c r="U36" s="6" t="s">
        <v>977</v>
      </c>
      <c r="V36" s="6" t="s">
        <v>160</v>
      </c>
      <c r="W36" s="6" t="s">
        <v>927</v>
      </c>
      <c r="X36" s="6">
        <v>80305</v>
      </c>
      <c r="Y36" s="6" t="s">
        <v>288</v>
      </c>
    </row>
    <row r="37" spans="2:25" s="19" customFormat="1" x14ac:dyDescent="0.2">
      <c r="B37" s="5" t="s">
        <v>962</v>
      </c>
      <c r="C37" s="5" t="s">
        <v>51</v>
      </c>
      <c r="D37" s="5" t="s">
        <v>52</v>
      </c>
      <c r="E37" s="5" t="s">
        <v>52</v>
      </c>
      <c r="F37" s="5" t="s">
        <v>53</v>
      </c>
      <c r="G37" s="5">
        <v>3034786467</v>
      </c>
      <c r="H37" s="5">
        <v>0</v>
      </c>
      <c r="I37" s="20">
        <v>851</v>
      </c>
      <c r="J37" s="6" t="s">
        <v>924</v>
      </c>
      <c r="K37" s="6" t="s">
        <v>978</v>
      </c>
      <c r="L37" s="6" t="s">
        <v>979</v>
      </c>
      <c r="M37" s="6" t="s">
        <v>979</v>
      </c>
      <c r="N37" s="6" t="s">
        <v>980</v>
      </c>
      <c r="O37" s="6">
        <v>4804525609</v>
      </c>
      <c r="P37" s="6">
        <v>4802782537</v>
      </c>
      <c r="Q37" s="6" t="s">
        <v>981</v>
      </c>
      <c r="R37" s="6" t="s">
        <v>160</v>
      </c>
      <c r="S37" s="6" t="s">
        <v>927</v>
      </c>
      <c r="T37" s="6">
        <v>80305</v>
      </c>
      <c r="U37" s="6" t="s">
        <v>981</v>
      </c>
      <c r="V37" s="6" t="s">
        <v>160</v>
      </c>
      <c r="W37" s="6" t="s">
        <v>927</v>
      </c>
      <c r="X37" s="6">
        <v>80305</v>
      </c>
      <c r="Y37" s="6" t="s">
        <v>288</v>
      </c>
    </row>
    <row r="38" spans="2:25" s="19" customFormat="1" x14ac:dyDescent="0.2">
      <c r="B38" s="5" t="s">
        <v>982</v>
      </c>
      <c r="C38" s="5" t="s">
        <v>30</v>
      </c>
      <c r="D38" s="5" t="s">
        <v>33</v>
      </c>
      <c r="E38" s="5" t="s">
        <v>31</v>
      </c>
      <c r="F38" s="5" t="s">
        <v>32</v>
      </c>
      <c r="G38" s="5">
        <v>7202334208</v>
      </c>
      <c r="H38" s="5">
        <v>0</v>
      </c>
      <c r="I38" s="20">
        <v>834</v>
      </c>
      <c r="J38" s="6" t="s">
        <v>924</v>
      </c>
      <c r="K38" s="6" t="s">
        <v>443</v>
      </c>
      <c r="L38" s="6" t="s">
        <v>54</v>
      </c>
      <c r="M38" s="6" t="s">
        <v>54</v>
      </c>
      <c r="N38" s="6" t="s">
        <v>444</v>
      </c>
      <c r="O38" s="6">
        <v>3034492511</v>
      </c>
      <c r="P38" s="6"/>
      <c r="Q38" s="6" t="s">
        <v>983</v>
      </c>
      <c r="R38" s="6" t="s">
        <v>160</v>
      </c>
      <c r="S38" s="6" t="s">
        <v>927</v>
      </c>
      <c r="T38" s="6">
        <v>80303</v>
      </c>
      <c r="U38" s="6" t="s">
        <v>983</v>
      </c>
      <c r="V38" s="6" t="s">
        <v>160</v>
      </c>
      <c r="W38" s="6" t="s">
        <v>927</v>
      </c>
      <c r="X38" s="6">
        <v>80303</v>
      </c>
      <c r="Y38" s="6" t="s">
        <v>295</v>
      </c>
    </row>
    <row r="39" spans="2:25" s="19" customFormat="1" x14ac:dyDescent="0.2">
      <c r="B39" s="5" t="s">
        <v>982</v>
      </c>
      <c r="C39" s="5" t="s">
        <v>30</v>
      </c>
      <c r="D39" s="5" t="s">
        <v>33</v>
      </c>
      <c r="E39" s="5" t="s">
        <v>31</v>
      </c>
      <c r="F39" s="5" t="s">
        <v>32</v>
      </c>
      <c r="G39" s="5">
        <v>7202334208</v>
      </c>
      <c r="H39" s="5">
        <v>0</v>
      </c>
      <c r="I39" s="20">
        <v>834</v>
      </c>
      <c r="J39" s="6" t="s">
        <v>924</v>
      </c>
      <c r="K39" s="6" t="s">
        <v>984</v>
      </c>
      <c r="L39" s="6" t="s">
        <v>985</v>
      </c>
      <c r="M39" s="6" t="s">
        <v>986</v>
      </c>
      <c r="N39" s="6" t="s">
        <v>987</v>
      </c>
      <c r="O39" s="6">
        <v>3034890132</v>
      </c>
      <c r="P39" s="6"/>
      <c r="Q39" s="6" t="s">
        <v>988</v>
      </c>
      <c r="R39" s="6" t="s">
        <v>160</v>
      </c>
      <c r="S39" s="6" t="s">
        <v>927</v>
      </c>
      <c r="T39" s="6">
        <v>80303</v>
      </c>
      <c r="U39" s="6" t="s">
        <v>988</v>
      </c>
      <c r="V39" s="6" t="s">
        <v>160</v>
      </c>
      <c r="W39" s="6" t="s">
        <v>927</v>
      </c>
      <c r="X39" s="6">
        <v>80303</v>
      </c>
      <c r="Y39" s="6" t="s">
        <v>295</v>
      </c>
    </row>
    <row r="40" spans="2:25" s="19" customFormat="1" x14ac:dyDescent="0.2">
      <c r="B40" s="5" t="s">
        <v>982</v>
      </c>
      <c r="C40" s="5" t="s">
        <v>30</v>
      </c>
      <c r="D40" s="5" t="s">
        <v>33</v>
      </c>
      <c r="E40" s="5" t="s">
        <v>31</v>
      </c>
      <c r="F40" s="5" t="s">
        <v>32</v>
      </c>
      <c r="G40" s="5">
        <v>7202334208</v>
      </c>
      <c r="H40" s="5">
        <v>0</v>
      </c>
      <c r="I40" s="20">
        <v>835</v>
      </c>
      <c r="J40" s="6" t="s">
        <v>924</v>
      </c>
      <c r="K40" s="6" t="s">
        <v>30</v>
      </c>
      <c r="L40" s="6" t="s">
        <v>33</v>
      </c>
      <c r="M40" s="6" t="s">
        <v>31</v>
      </c>
      <c r="N40" s="6" t="s">
        <v>32</v>
      </c>
      <c r="O40" s="6">
        <v>7202334208</v>
      </c>
      <c r="P40" s="6"/>
      <c r="Q40" s="6" t="s">
        <v>989</v>
      </c>
      <c r="R40" s="6" t="s">
        <v>160</v>
      </c>
      <c r="S40" s="6" t="s">
        <v>927</v>
      </c>
      <c r="T40" s="6">
        <v>80303</v>
      </c>
      <c r="U40" s="6"/>
      <c r="V40" s="6"/>
      <c r="W40" s="6"/>
      <c r="X40" s="6">
        <v>80303</v>
      </c>
      <c r="Y40" s="6" t="s">
        <v>295</v>
      </c>
    </row>
    <row r="41" spans="2:25" s="19" customFormat="1" x14ac:dyDescent="0.2">
      <c r="B41" s="5" t="s">
        <v>982</v>
      </c>
      <c r="C41" s="5" t="s">
        <v>30</v>
      </c>
      <c r="D41" s="5" t="s">
        <v>33</v>
      </c>
      <c r="E41" s="5" t="s">
        <v>31</v>
      </c>
      <c r="F41" s="5" t="s">
        <v>32</v>
      </c>
      <c r="G41" s="5">
        <v>7202334208</v>
      </c>
      <c r="H41" s="5">
        <v>0</v>
      </c>
      <c r="I41" s="20">
        <v>835</v>
      </c>
      <c r="J41" s="6" t="s">
        <v>924</v>
      </c>
      <c r="K41" s="6" t="s">
        <v>925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 t="s">
        <v>295</v>
      </c>
    </row>
    <row r="42" spans="2:25" s="19" customFormat="1" x14ac:dyDescent="0.2">
      <c r="B42" s="5" t="s">
        <v>982</v>
      </c>
      <c r="C42" s="5" t="s">
        <v>30</v>
      </c>
      <c r="D42" s="5" t="s">
        <v>33</v>
      </c>
      <c r="E42" s="5" t="s">
        <v>31</v>
      </c>
      <c r="F42" s="5" t="s">
        <v>32</v>
      </c>
      <c r="G42" s="5">
        <v>7202334208</v>
      </c>
      <c r="H42" s="5">
        <v>0</v>
      </c>
      <c r="I42" s="20">
        <v>836</v>
      </c>
      <c r="J42" s="6" t="s">
        <v>924</v>
      </c>
      <c r="K42" s="6" t="s">
        <v>925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 t="s">
        <v>295</v>
      </c>
    </row>
    <row r="43" spans="2:25" s="19" customFormat="1" x14ac:dyDescent="0.2">
      <c r="B43" s="5" t="s">
        <v>982</v>
      </c>
      <c r="C43" s="5" t="s">
        <v>30</v>
      </c>
      <c r="D43" s="5" t="s">
        <v>33</v>
      </c>
      <c r="E43" s="5" t="s">
        <v>31</v>
      </c>
      <c r="F43" s="5" t="s">
        <v>32</v>
      </c>
      <c r="G43" s="5">
        <v>7202334208</v>
      </c>
      <c r="H43" s="5">
        <v>0</v>
      </c>
      <c r="I43" s="20">
        <v>836</v>
      </c>
      <c r="J43" s="6" t="s">
        <v>924</v>
      </c>
      <c r="K43" s="6" t="s">
        <v>925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 t="s">
        <v>295</v>
      </c>
    </row>
    <row r="44" spans="2:25" s="19" customFormat="1" x14ac:dyDescent="0.2">
      <c r="B44" s="5" t="s">
        <v>982</v>
      </c>
      <c r="C44" s="5" t="s">
        <v>30</v>
      </c>
      <c r="D44" s="5" t="s">
        <v>33</v>
      </c>
      <c r="E44" s="5" t="s">
        <v>31</v>
      </c>
      <c r="F44" s="5" t="s">
        <v>32</v>
      </c>
      <c r="G44" s="5">
        <v>7202334208</v>
      </c>
      <c r="H44" s="5">
        <v>0</v>
      </c>
      <c r="I44" s="20">
        <v>837</v>
      </c>
      <c r="J44" s="6" t="s">
        <v>924</v>
      </c>
      <c r="K44" s="6" t="s">
        <v>41</v>
      </c>
      <c r="L44" s="6" t="s">
        <v>709</v>
      </c>
      <c r="M44" s="6" t="s">
        <v>709</v>
      </c>
      <c r="N44" s="6" t="s">
        <v>710</v>
      </c>
      <c r="O44" s="6">
        <v>7204708791</v>
      </c>
      <c r="P44" s="6"/>
      <c r="Q44" s="6" t="s">
        <v>990</v>
      </c>
      <c r="R44" s="6" t="s">
        <v>160</v>
      </c>
      <c r="S44" s="6" t="s">
        <v>927</v>
      </c>
      <c r="T44" s="6">
        <v>80303</v>
      </c>
      <c r="U44" s="6" t="s">
        <v>990</v>
      </c>
      <c r="V44" s="6" t="s">
        <v>160</v>
      </c>
      <c r="W44" s="6" t="s">
        <v>927</v>
      </c>
      <c r="X44" s="6">
        <v>80303</v>
      </c>
      <c r="Y44" s="6" t="s">
        <v>295</v>
      </c>
    </row>
    <row r="45" spans="2:25" s="19" customFormat="1" x14ac:dyDescent="0.2">
      <c r="B45" s="5" t="s">
        <v>982</v>
      </c>
      <c r="C45" s="5" t="s">
        <v>30</v>
      </c>
      <c r="D45" s="5" t="s">
        <v>33</v>
      </c>
      <c r="E45" s="5" t="s">
        <v>31</v>
      </c>
      <c r="F45" s="5" t="s">
        <v>32</v>
      </c>
      <c r="G45" s="5">
        <v>7202334208</v>
      </c>
      <c r="H45" s="5">
        <v>0</v>
      </c>
      <c r="I45" s="20">
        <v>837</v>
      </c>
      <c r="J45" s="6" t="s">
        <v>924</v>
      </c>
      <c r="K45" s="6" t="s">
        <v>925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 t="s">
        <v>295</v>
      </c>
    </row>
    <row r="46" spans="2:25" s="19" customFormat="1" x14ac:dyDescent="0.2">
      <c r="B46" s="5" t="s">
        <v>982</v>
      </c>
      <c r="C46" s="5" t="s">
        <v>30</v>
      </c>
      <c r="D46" s="5" t="s">
        <v>33</v>
      </c>
      <c r="E46" s="5" t="s">
        <v>31</v>
      </c>
      <c r="F46" s="5" t="s">
        <v>32</v>
      </c>
      <c r="G46" s="5">
        <v>7202334208</v>
      </c>
      <c r="H46" s="5">
        <v>0</v>
      </c>
      <c r="I46" s="20">
        <v>838</v>
      </c>
      <c r="J46" s="6" t="s">
        <v>924</v>
      </c>
      <c r="K46" s="6" t="s">
        <v>991</v>
      </c>
      <c r="L46" s="6" t="s">
        <v>992</v>
      </c>
      <c r="M46" s="6" t="s">
        <v>992</v>
      </c>
      <c r="N46" s="6" t="s">
        <v>993</v>
      </c>
      <c r="O46" s="6">
        <v>3039133615</v>
      </c>
      <c r="P46" s="6"/>
      <c r="Q46" s="6" t="s">
        <v>994</v>
      </c>
      <c r="R46" s="6" t="s">
        <v>160</v>
      </c>
      <c r="S46" s="6" t="s">
        <v>927</v>
      </c>
      <c r="T46" s="6">
        <v>80303</v>
      </c>
      <c r="U46" s="6" t="s">
        <v>994</v>
      </c>
      <c r="V46" s="6" t="s">
        <v>160</v>
      </c>
      <c r="W46" s="6" t="s">
        <v>927</v>
      </c>
      <c r="X46" s="6">
        <v>80303</v>
      </c>
      <c r="Y46" s="6" t="s">
        <v>295</v>
      </c>
    </row>
    <row r="47" spans="2:25" s="19" customFormat="1" x14ac:dyDescent="0.2">
      <c r="B47" s="5" t="s">
        <v>982</v>
      </c>
      <c r="C47" s="5" t="s">
        <v>30</v>
      </c>
      <c r="D47" s="5" t="s">
        <v>33</v>
      </c>
      <c r="E47" s="5" t="s">
        <v>31</v>
      </c>
      <c r="F47" s="5" t="s">
        <v>32</v>
      </c>
      <c r="G47" s="5">
        <v>7202334208</v>
      </c>
      <c r="H47" s="5">
        <v>0</v>
      </c>
      <c r="I47" s="20">
        <v>838</v>
      </c>
      <c r="J47" s="6" t="s">
        <v>924</v>
      </c>
      <c r="K47" s="6" t="s">
        <v>925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 t="s">
        <v>295</v>
      </c>
    </row>
    <row r="48" spans="2:25" s="19" customFormat="1" x14ac:dyDescent="0.2">
      <c r="B48" s="5" t="s">
        <v>982</v>
      </c>
      <c r="C48" s="5" t="s">
        <v>30</v>
      </c>
      <c r="D48" s="5" t="s">
        <v>33</v>
      </c>
      <c r="E48" s="5" t="s">
        <v>31</v>
      </c>
      <c r="F48" s="5" t="s">
        <v>32</v>
      </c>
      <c r="G48" s="5">
        <v>7202334208</v>
      </c>
      <c r="H48" s="5">
        <v>0</v>
      </c>
      <c r="I48" s="20">
        <v>839</v>
      </c>
      <c r="J48" s="6" t="s">
        <v>924</v>
      </c>
      <c r="K48" s="6" t="s">
        <v>539</v>
      </c>
      <c r="L48" s="6" t="s">
        <v>540</v>
      </c>
      <c r="M48" s="6" t="s">
        <v>540</v>
      </c>
      <c r="N48" s="6" t="s">
        <v>541</v>
      </c>
      <c r="O48" s="6"/>
      <c r="P48" s="6"/>
      <c r="Q48" s="6" t="s">
        <v>995</v>
      </c>
      <c r="R48" s="6" t="s">
        <v>160</v>
      </c>
      <c r="S48" s="6" t="s">
        <v>927</v>
      </c>
      <c r="T48" s="6">
        <v>80303</v>
      </c>
      <c r="U48" s="6" t="s">
        <v>995</v>
      </c>
      <c r="V48" s="6" t="s">
        <v>160</v>
      </c>
      <c r="W48" s="6" t="s">
        <v>927</v>
      </c>
      <c r="X48" s="6">
        <v>80303</v>
      </c>
      <c r="Y48" s="6" t="s">
        <v>295</v>
      </c>
    </row>
    <row r="49" spans="2:25" s="19" customFormat="1" x14ac:dyDescent="0.2">
      <c r="B49" s="5" t="s">
        <v>982</v>
      </c>
      <c r="C49" s="5" t="s">
        <v>30</v>
      </c>
      <c r="D49" s="5" t="s">
        <v>33</v>
      </c>
      <c r="E49" s="5" t="s">
        <v>31</v>
      </c>
      <c r="F49" s="5" t="s">
        <v>32</v>
      </c>
      <c r="G49" s="5">
        <v>7202334208</v>
      </c>
      <c r="H49" s="5">
        <v>0</v>
      </c>
      <c r="I49" s="20">
        <v>839</v>
      </c>
      <c r="J49" s="6" t="s">
        <v>924</v>
      </c>
      <c r="K49" s="6" t="s">
        <v>925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 t="s">
        <v>295</v>
      </c>
    </row>
    <row r="50" spans="2:25" s="19" customFormat="1" x14ac:dyDescent="0.2">
      <c r="B50" s="5" t="s">
        <v>982</v>
      </c>
      <c r="C50" s="5" t="s">
        <v>30</v>
      </c>
      <c r="D50" s="5" t="s">
        <v>33</v>
      </c>
      <c r="E50" s="5" t="s">
        <v>31</v>
      </c>
      <c r="F50" s="5" t="s">
        <v>32</v>
      </c>
      <c r="G50" s="5">
        <v>7202334208</v>
      </c>
      <c r="H50" s="5">
        <v>0</v>
      </c>
      <c r="I50" s="20">
        <v>840</v>
      </c>
      <c r="J50" s="6" t="s">
        <v>924</v>
      </c>
      <c r="K50" s="6" t="s">
        <v>996</v>
      </c>
      <c r="L50" s="6" t="s">
        <v>997</v>
      </c>
      <c r="M50" s="6" t="s">
        <v>733</v>
      </c>
      <c r="N50" s="6" t="s">
        <v>998</v>
      </c>
      <c r="O50" s="6">
        <v>8083695708</v>
      </c>
      <c r="P50" s="6"/>
      <c r="Q50" s="6" t="s">
        <v>999</v>
      </c>
      <c r="R50" s="6" t="s">
        <v>160</v>
      </c>
      <c r="S50" s="6" t="s">
        <v>927</v>
      </c>
      <c r="T50" s="6">
        <v>80303</v>
      </c>
      <c r="U50" s="6" t="s">
        <v>999</v>
      </c>
      <c r="V50" s="6" t="s">
        <v>160</v>
      </c>
      <c r="W50" s="6" t="s">
        <v>927</v>
      </c>
      <c r="X50" s="6">
        <v>80303</v>
      </c>
      <c r="Y50" s="6" t="s">
        <v>295</v>
      </c>
    </row>
    <row r="51" spans="2:25" s="19" customFormat="1" x14ac:dyDescent="0.2">
      <c r="B51" s="5" t="s">
        <v>982</v>
      </c>
      <c r="C51" s="5" t="s">
        <v>30</v>
      </c>
      <c r="D51" s="5" t="s">
        <v>33</v>
      </c>
      <c r="E51" s="5" t="s">
        <v>31</v>
      </c>
      <c r="F51" s="5" t="s">
        <v>32</v>
      </c>
      <c r="G51" s="5">
        <v>7202334208</v>
      </c>
      <c r="H51" s="5">
        <v>0</v>
      </c>
      <c r="I51" s="20">
        <v>840</v>
      </c>
      <c r="J51" s="6" t="s">
        <v>924</v>
      </c>
      <c r="K51" s="6" t="s">
        <v>86</v>
      </c>
      <c r="L51" s="6" t="s">
        <v>87</v>
      </c>
      <c r="M51" s="6" t="s">
        <v>87</v>
      </c>
      <c r="N51" s="6" t="s">
        <v>88</v>
      </c>
      <c r="O51" s="6">
        <v>7205628131</v>
      </c>
      <c r="P51" s="6"/>
      <c r="Q51" s="6" t="s">
        <v>1000</v>
      </c>
      <c r="R51" s="6" t="s">
        <v>160</v>
      </c>
      <c r="S51" s="6" t="s">
        <v>927</v>
      </c>
      <c r="T51" s="6">
        <v>80303</v>
      </c>
      <c r="U51" s="6" t="s">
        <v>1000</v>
      </c>
      <c r="V51" s="6" t="s">
        <v>160</v>
      </c>
      <c r="W51" s="6" t="s">
        <v>927</v>
      </c>
      <c r="X51" s="6">
        <v>80303</v>
      </c>
      <c r="Y51" s="6" t="s">
        <v>295</v>
      </c>
    </row>
    <row r="52" spans="2:25" s="19" customFormat="1" x14ac:dyDescent="0.2">
      <c r="B52" s="5" t="s">
        <v>982</v>
      </c>
      <c r="C52" s="5" t="s">
        <v>30</v>
      </c>
      <c r="D52" s="5" t="s">
        <v>33</v>
      </c>
      <c r="E52" s="5" t="s">
        <v>31</v>
      </c>
      <c r="F52" s="5" t="s">
        <v>32</v>
      </c>
      <c r="G52" s="5">
        <v>7202334208</v>
      </c>
      <c r="H52" s="5">
        <v>0</v>
      </c>
      <c r="I52" s="20">
        <v>841</v>
      </c>
      <c r="J52" s="6" t="s">
        <v>924</v>
      </c>
      <c r="K52" s="6" t="s">
        <v>732</v>
      </c>
      <c r="L52" s="6" t="s">
        <v>733</v>
      </c>
      <c r="M52" s="6" t="s">
        <v>733</v>
      </c>
      <c r="N52" s="6" t="s">
        <v>1001</v>
      </c>
      <c r="O52" s="6">
        <v>3039120220</v>
      </c>
      <c r="P52" s="6"/>
      <c r="Q52" s="6" t="s">
        <v>1002</v>
      </c>
      <c r="R52" s="6" t="s">
        <v>160</v>
      </c>
      <c r="S52" s="6" t="s">
        <v>927</v>
      </c>
      <c r="T52" s="6">
        <v>80303</v>
      </c>
      <c r="U52" s="6" t="s">
        <v>1002</v>
      </c>
      <c r="V52" s="6" t="s">
        <v>160</v>
      </c>
      <c r="W52" s="6" t="s">
        <v>927</v>
      </c>
      <c r="X52" s="6">
        <v>80303</v>
      </c>
      <c r="Y52" s="6" t="s">
        <v>295</v>
      </c>
    </row>
    <row r="53" spans="2:25" s="19" customFormat="1" x14ac:dyDescent="0.2">
      <c r="B53" s="5" t="s">
        <v>982</v>
      </c>
      <c r="C53" s="5" t="s">
        <v>30</v>
      </c>
      <c r="D53" s="5" t="s">
        <v>33</v>
      </c>
      <c r="E53" s="5" t="s">
        <v>31</v>
      </c>
      <c r="F53" s="5" t="s">
        <v>32</v>
      </c>
      <c r="G53" s="5">
        <v>7202334208</v>
      </c>
      <c r="H53" s="5">
        <v>0</v>
      </c>
      <c r="I53" s="20">
        <v>841</v>
      </c>
      <c r="J53" s="6" t="s">
        <v>924</v>
      </c>
      <c r="K53" s="6" t="s">
        <v>925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 t="s">
        <v>295</v>
      </c>
    </row>
    <row r="54" spans="2:25" s="19" customFormat="1" x14ac:dyDescent="0.2">
      <c r="B54" s="5" t="s">
        <v>982</v>
      </c>
      <c r="C54" s="5" t="s">
        <v>30</v>
      </c>
      <c r="D54" s="5" t="s">
        <v>33</v>
      </c>
      <c r="E54" s="5" t="s">
        <v>31</v>
      </c>
      <c r="F54" s="5" t="s">
        <v>32</v>
      </c>
      <c r="G54" s="5">
        <v>7202334208</v>
      </c>
      <c r="H54" s="5">
        <v>0</v>
      </c>
      <c r="I54" s="20">
        <v>848</v>
      </c>
      <c r="J54" s="6" t="s">
        <v>924</v>
      </c>
      <c r="K54" s="6" t="s">
        <v>1003</v>
      </c>
      <c r="L54" s="6" t="s">
        <v>571</v>
      </c>
      <c r="M54" s="6" t="s">
        <v>571</v>
      </c>
      <c r="N54" s="6" t="s">
        <v>722</v>
      </c>
      <c r="O54" s="6">
        <v>3036410078</v>
      </c>
      <c r="P54" s="6"/>
      <c r="Q54" s="6" t="s">
        <v>1004</v>
      </c>
      <c r="R54" s="6" t="s">
        <v>160</v>
      </c>
      <c r="S54" s="6" t="s">
        <v>927</v>
      </c>
      <c r="T54" s="6">
        <v>80303</v>
      </c>
      <c r="U54" s="6" t="s">
        <v>1004</v>
      </c>
      <c r="V54" s="6" t="s">
        <v>160</v>
      </c>
      <c r="W54" s="6" t="s">
        <v>927</v>
      </c>
      <c r="X54" s="6">
        <v>80303</v>
      </c>
      <c r="Y54" s="6" t="s">
        <v>295</v>
      </c>
    </row>
    <row r="55" spans="2:25" s="19" customFormat="1" x14ac:dyDescent="0.2">
      <c r="B55" s="5" t="s">
        <v>982</v>
      </c>
      <c r="C55" s="5" t="s">
        <v>30</v>
      </c>
      <c r="D55" s="5" t="s">
        <v>33</v>
      </c>
      <c r="E55" s="5" t="s">
        <v>31</v>
      </c>
      <c r="F55" s="5" t="s">
        <v>32</v>
      </c>
      <c r="G55" s="5">
        <v>7202334208</v>
      </c>
      <c r="H55" s="5">
        <v>0</v>
      </c>
      <c r="I55" s="20">
        <v>848</v>
      </c>
      <c r="J55" s="6" t="s">
        <v>924</v>
      </c>
      <c r="K55" s="6" t="s">
        <v>925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 t="s">
        <v>295</v>
      </c>
    </row>
    <row r="56" spans="2:25" s="19" customFormat="1" x14ac:dyDescent="0.2">
      <c r="B56" s="5" t="s">
        <v>982</v>
      </c>
      <c r="C56" s="5" t="s">
        <v>30</v>
      </c>
      <c r="D56" s="5" t="s">
        <v>33</v>
      </c>
      <c r="E56" s="5" t="s">
        <v>31</v>
      </c>
      <c r="F56" s="5" t="s">
        <v>32</v>
      </c>
      <c r="G56" s="5">
        <v>7202334208</v>
      </c>
      <c r="H56" s="5">
        <v>0</v>
      </c>
      <c r="I56" s="20">
        <v>849</v>
      </c>
      <c r="J56" s="6" t="s">
        <v>924</v>
      </c>
      <c r="K56" s="6" t="s">
        <v>682</v>
      </c>
      <c r="L56" s="6" t="s">
        <v>683</v>
      </c>
      <c r="M56" s="6" t="s">
        <v>683</v>
      </c>
      <c r="N56" s="6" t="s">
        <v>685</v>
      </c>
      <c r="O56" s="6">
        <v>7204919513</v>
      </c>
      <c r="P56" s="6"/>
      <c r="Q56" s="6" t="s">
        <v>1005</v>
      </c>
      <c r="R56" s="6" t="s">
        <v>160</v>
      </c>
      <c r="S56" s="6" t="s">
        <v>927</v>
      </c>
      <c r="T56" s="6">
        <v>80303</v>
      </c>
      <c r="U56" s="6" t="s">
        <v>1005</v>
      </c>
      <c r="V56" s="6" t="s">
        <v>160</v>
      </c>
      <c r="W56" s="6" t="s">
        <v>927</v>
      </c>
      <c r="X56" s="6">
        <v>80303</v>
      </c>
      <c r="Y56" s="6" t="s">
        <v>295</v>
      </c>
    </row>
    <row r="57" spans="2:25" s="19" customFormat="1" x14ac:dyDescent="0.2">
      <c r="B57" s="5" t="s">
        <v>982</v>
      </c>
      <c r="C57" s="5" t="s">
        <v>30</v>
      </c>
      <c r="D57" s="5" t="s">
        <v>33</v>
      </c>
      <c r="E57" s="5" t="s">
        <v>31</v>
      </c>
      <c r="F57" s="5" t="s">
        <v>32</v>
      </c>
      <c r="G57" s="5">
        <v>7202334208</v>
      </c>
      <c r="H57" s="5">
        <v>0</v>
      </c>
      <c r="I57" s="20">
        <v>849</v>
      </c>
      <c r="J57" s="6" t="s">
        <v>924</v>
      </c>
      <c r="K57" s="6" t="s">
        <v>925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 t="s">
        <v>295</v>
      </c>
    </row>
    <row r="58" spans="2:25" s="19" customFormat="1" x14ac:dyDescent="0.2">
      <c r="B58" s="5" t="s">
        <v>1006</v>
      </c>
      <c r="C58" s="5" t="s">
        <v>12</v>
      </c>
      <c r="D58" s="5" t="s">
        <v>13</v>
      </c>
      <c r="E58" s="5" t="s">
        <v>13</v>
      </c>
      <c r="F58" s="5" t="s">
        <v>1007</v>
      </c>
      <c r="G58" s="5">
        <v>4156131376</v>
      </c>
      <c r="H58" s="5">
        <v>0</v>
      </c>
      <c r="I58" s="20">
        <v>828</v>
      </c>
      <c r="J58" s="6" t="s">
        <v>924</v>
      </c>
      <c r="K58" s="6" t="s">
        <v>599</v>
      </c>
      <c r="L58" s="6" t="s">
        <v>15</v>
      </c>
      <c r="M58" s="6" t="s">
        <v>15</v>
      </c>
      <c r="N58" s="6" t="s">
        <v>600</v>
      </c>
      <c r="O58" s="6">
        <v>3034423738</v>
      </c>
      <c r="P58" s="6"/>
      <c r="Q58" s="6" t="s">
        <v>1008</v>
      </c>
      <c r="R58" s="6" t="s">
        <v>160</v>
      </c>
      <c r="S58" s="6" t="s">
        <v>927</v>
      </c>
      <c r="T58" s="6">
        <v>80302</v>
      </c>
      <c r="U58" s="6" t="s">
        <v>1008</v>
      </c>
      <c r="V58" s="6" t="s">
        <v>160</v>
      </c>
      <c r="W58" s="6" t="s">
        <v>927</v>
      </c>
      <c r="X58" s="6">
        <v>80302</v>
      </c>
      <c r="Y58" s="6" t="s">
        <v>248</v>
      </c>
    </row>
    <row r="59" spans="2:25" s="19" customFormat="1" x14ac:dyDescent="0.2">
      <c r="B59" s="5" t="s">
        <v>1006</v>
      </c>
      <c r="C59" s="5" t="s">
        <v>12</v>
      </c>
      <c r="D59" s="5" t="s">
        <v>13</v>
      </c>
      <c r="E59" s="5" t="s">
        <v>13</v>
      </c>
      <c r="F59" s="5" t="s">
        <v>1007</v>
      </c>
      <c r="G59" s="5">
        <v>4156131376</v>
      </c>
      <c r="H59" s="5">
        <v>0</v>
      </c>
      <c r="I59" s="20">
        <v>828</v>
      </c>
      <c r="J59" s="6" t="s">
        <v>924</v>
      </c>
      <c r="K59" s="6" t="s">
        <v>925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 t="s">
        <v>248</v>
      </c>
    </row>
    <row r="60" spans="2:25" s="19" customFormat="1" x14ac:dyDescent="0.2">
      <c r="B60" s="5" t="s">
        <v>1009</v>
      </c>
      <c r="C60" s="5" t="s">
        <v>659</v>
      </c>
      <c r="D60" s="5" t="s">
        <v>1010</v>
      </c>
      <c r="E60" s="5" t="s">
        <v>1010</v>
      </c>
      <c r="F60" s="5" t="s">
        <v>1011</v>
      </c>
      <c r="G60" s="5">
        <v>3212745485</v>
      </c>
      <c r="H60" s="5">
        <v>0</v>
      </c>
      <c r="I60" s="20">
        <v>829</v>
      </c>
      <c r="J60" s="6" t="s">
        <v>924</v>
      </c>
      <c r="K60" s="6" t="s">
        <v>637</v>
      </c>
      <c r="L60" s="6" t="s">
        <v>638</v>
      </c>
      <c r="M60" s="6" t="s">
        <v>638</v>
      </c>
      <c r="N60" s="6" t="s">
        <v>639</v>
      </c>
      <c r="O60" s="6">
        <v>3035798789</v>
      </c>
      <c r="P60" s="6"/>
      <c r="Q60" s="6" t="s">
        <v>1012</v>
      </c>
      <c r="R60" s="6" t="s">
        <v>160</v>
      </c>
      <c r="S60" s="6" t="s">
        <v>927</v>
      </c>
      <c r="T60" s="6">
        <v>80302</v>
      </c>
      <c r="U60" s="6" t="s">
        <v>1012</v>
      </c>
      <c r="V60" s="6" t="s">
        <v>160</v>
      </c>
      <c r="W60" s="6" t="s">
        <v>927</v>
      </c>
      <c r="X60" s="6">
        <v>80302</v>
      </c>
      <c r="Y60" s="6" t="s">
        <v>248</v>
      </c>
    </row>
    <row r="61" spans="2:25" s="19" customFormat="1" x14ac:dyDescent="0.2">
      <c r="B61" s="5" t="s">
        <v>1009</v>
      </c>
      <c r="C61" s="5" t="s">
        <v>659</v>
      </c>
      <c r="D61" s="5" t="s">
        <v>1010</v>
      </c>
      <c r="E61" s="5" t="s">
        <v>1010</v>
      </c>
      <c r="F61" s="5" t="s">
        <v>1011</v>
      </c>
      <c r="G61" s="5">
        <v>3212745485</v>
      </c>
      <c r="H61" s="5">
        <v>0</v>
      </c>
      <c r="I61" s="20">
        <v>829</v>
      </c>
      <c r="J61" s="6" t="s">
        <v>924</v>
      </c>
      <c r="K61" s="6" t="s">
        <v>665</v>
      </c>
      <c r="L61" s="6" t="s">
        <v>666</v>
      </c>
      <c r="M61" s="6" t="s">
        <v>666</v>
      </c>
      <c r="N61" s="6" t="s">
        <v>667</v>
      </c>
      <c r="O61" s="6">
        <v>3034404395</v>
      </c>
      <c r="P61" s="6"/>
      <c r="Q61" s="6" t="s">
        <v>1013</v>
      </c>
      <c r="R61" s="6" t="s">
        <v>160</v>
      </c>
      <c r="S61" s="6" t="s">
        <v>927</v>
      </c>
      <c r="T61" s="6">
        <v>80302</v>
      </c>
      <c r="U61" s="6" t="s">
        <v>1013</v>
      </c>
      <c r="V61" s="6" t="s">
        <v>160</v>
      </c>
      <c r="W61" s="6" t="s">
        <v>927</v>
      </c>
      <c r="X61" s="6">
        <v>80302</v>
      </c>
      <c r="Y61" s="6" t="s">
        <v>248</v>
      </c>
    </row>
    <row r="62" spans="2:25" s="19" customFormat="1" x14ac:dyDescent="0.2">
      <c r="B62" s="5" t="s">
        <v>1009</v>
      </c>
      <c r="C62" s="5" t="s">
        <v>659</v>
      </c>
      <c r="D62" s="5" t="s">
        <v>1010</v>
      </c>
      <c r="E62" s="5" t="s">
        <v>1010</v>
      </c>
      <c r="F62" s="5" t="s">
        <v>1011</v>
      </c>
      <c r="G62" s="5">
        <v>3212745485</v>
      </c>
      <c r="H62" s="5">
        <v>0</v>
      </c>
      <c r="I62" s="20">
        <v>831</v>
      </c>
      <c r="J62" s="6" t="s">
        <v>924</v>
      </c>
      <c r="K62" s="6" t="s">
        <v>925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 t="s">
        <v>248</v>
      </c>
    </row>
    <row r="63" spans="2:25" s="19" customFormat="1" x14ac:dyDescent="0.2">
      <c r="B63" s="5" t="s">
        <v>1009</v>
      </c>
      <c r="C63" s="5" t="s">
        <v>659</v>
      </c>
      <c r="D63" s="5" t="s">
        <v>1010</v>
      </c>
      <c r="E63" s="5" t="s">
        <v>1010</v>
      </c>
      <c r="F63" s="5" t="s">
        <v>1011</v>
      </c>
      <c r="G63" s="5">
        <v>3212745485</v>
      </c>
      <c r="H63" s="5">
        <v>0</v>
      </c>
      <c r="I63" s="20">
        <v>831</v>
      </c>
      <c r="J63" s="6" t="s">
        <v>924</v>
      </c>
      <c r="K63" s="6" t="s">
        <v>925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 t="s">
        <v>248</v>
      </c>
    </row>
    <row r="64" spans="2:25" s="19" customFormat="1" x14ac:dyDescent="0.2">
      <c r="B64" s="5" t="s">
        <v>1009</v>
      </c>
      <c r="C64" s="5" t="s">
        <v>659</v>
      </c>
      <c r="D64" s="5" t="s">
        <v>1010</v>
      </c>
      <c r="E64" s="5" t="s">
        <v>1010</v>
      </c>
      <c r="F64" s="5" t="s">
        <v>1011</v>
      </c>
      <c r="G64" s="5">
        <v>3212745485</v>
      </c>
      <c r="H64" s="5">
        <v>0</v>
      </c>
      <c r="I64" s="20">
        <v>832</v>
      </c>
      <c r="J64" s="6" t="s">
        <v>924</v>
      </c>
      <c r="K64" s="6" t="s">
        <v>1014</v>
      </c>
      <c r="L64" s="6" t="s">
        <v>516</v>
      </c>
      <c r="M64" s="6" t="s">
        <v>516</v>
      </c>
      <c r="N64" s="6" t="s">
        <v>1015</v>
      </c>
      <c r="O64" s="6">
        <v>4358419243</v>
      </c>
      <c r="P64" s="6"/>
      <c r="Q64" s="6" t="s">
        <v>1016</v>
      </c>
      <c r="R64" s="6" t="s">
        <v>160</v>
      </c>
      <c r="S64" s="6" t="s">
        <v>927</v>
      </c>
      <c r="T64" s="6">
        <v>80302</v>
      </c>
      <c r="U64" s="6" t="s">
        <v>1016</v>
      </c>
      <c r="V64" s="6" t="s">
        <v>160</v>
      </c>
      <c r="W64" s="6" t="s">
        <v>927</v>
      </c>
      <c r="X64" s="6">
        <v>80302</v>
      </c>
      <c r="Y64" s="6" t="s">
        <v>248</v>
      </c>
    </row>
    <row r="65" spans="2:25" s="19" customFormat="1" x14ac:dyDescent="0.2">
      <c r="B65" s="5" t="s">
        <v>1009</v>
      </c>
      <c r="C65" s="5" t="s">
        <v>659</v>
      </c>
      <c r="D65" s="5" t="s">
        <v>1010</v>
      </c>
      <c r="E65" s="5" t="s">
        <v>1010</v>
      </c>
      <c r="F65" s="5" t="s">
        <v>1011</v>
      </c>
      <c r="G65" s="5">
        <v>3212745485</v>
      </c>
      <c r="H65" s="5">
        <v>0</v>
      </c>
      <c r="I65" s="20">
        <v>832</v>
      </c>
      <c r="J65" s="6" t="s">
        <v>924</v>
      </c>
      <c r="K65" s="6" t="s">
        <v>788</v>
      </c>
      <c r="L65" s="6" t="s">
        <v>1017</v>
      </c>
      <c r="M65" s="6" t="s">
        <v>1017</v>
      </c>
      <c r="N65" s="6" t="s">
        <v>791</v>
      </c>
      <c r="O65" s="6">
        <v>3034357687</v>
      </c>
      <c r="P65" s="6"/>
      <c r="Q65" s="6" t="s">
        <v>1018</v>
      </c>
      <c r="R65" s="6" t="s">
        <v>160</v>
      </c>
      <c r="S65" s="6" t="s">
        <v>927</v>
      </c>
      <c r="T65" s="6">
        <v>80302</v>
      </c>
      <c r="U65" s="6" t="s">
        <v>1019</v>
      </c>
      <c r="V65" s="6" t="s">
        <v>160</v>
      </c>
      <c r="W65" s="6" t="s">
        <v>927</v>
      </c>
      <c r="X65" s="6">
        <v>80302</v>
      </c>
      <c r="Y65" s="6" t="s">
        <v>248</v>
      </c>
    </row>
    <row r="66" spans="2:25" s="19" customFormat="1" x14ac:dyDescent="0.2">
      <c r="B66" s="5" t="s">
        <v>1009</v>
      </c>
      <c r="C66" s="5" t="s">
        <v>659</v>
      </c>
      <c r="D66" s="5" t="s">
        <v>1010</v>
      </c>
      <c r="E66" s="5" t="s">
        <v>1010</v>
      </c>
      <c r="F66" s="5" t="s">
        <v>1011</v>
      </c>
      <c r="G66" s="5">
        <v>3212745485</v>
      </c>
      <c r="H66" s="5">
        <v>0</v>
      </c>
      <c r="I66" s="20">
        <v>833</v>
      </c>
      <c r="J66" s="6" t="s">
        <v>924</v>
      </c>
      <c r="K66" s="6" t="s">
        <v>1020</v>
      </c>
      <c r="L66" s="6" t="s">
        <v>1021</v>
      </c>
      <c r="M66" s="6" t="s">
        <v>1021</v>
      </c>
      <c r="N66" s="6" t="s">
        <v>1022</v>
      </c>
      <c r="O66" s="6">
        <v>7202951122</v>
      </c>
      <c r="P66" s="6">
        <v>3304188596</v>
      </c>
      <c r="Q66" s="6" t="s">
        <v>1023</v>
      </c>
      <c r="R66" s="6" t="s">
        <v>160</v>
      </c>
      <c r="S66" s="6" t="s">
        <v>927</v>
      </c>
      <c r="T66" s="6">
        <v>80303</v>
      </c>
      <c r="U66" s="6" t="s">
        <v>1023</v>
      </c>
      <c r="V66" s="6" t="s">
        <v>160</v>
      </c>
      <c r="W66" s="6" t="s">
        <v>927</v>
      </c>
      <c r="X66" s="6">
        <v>80303</v>
      </c>
      <c r="Y66" s="6" t="s">
        <v>248</v>
      </c>
    </row>
    <row r="67" spans="2:25" s="19" customFormat="1" x14ac:dyDescent="0.2">
      <c r="B67" s="5" t="s">
        <v>1009</v>
      </c>
      <c r="C67" s="5" t="s">
        <v>659</v>
      </c>
      <c r="D67" s="5" t="s">
        <v>1010</v>
      </c>
      <c r="E67" s="5" t="s">
        <v>1010</v>
      </c>
      <c r="F67" s="5" t="s">
        <v>1011</v>
      </c>
      <c r="G67" s="5">
        <v>3212745485</v>
      </c>
      <c r="H67" s="5">
        <v>0</v>
      </c>
      <c r="I67" s="20">
        <v>833</v>
      </c>
      <c r="J67" s="6" t="s">
        <v>924</v>
      </c>
      <c r="K67" s="6" t="s">
        <v>1024</v>
      </c>
      <c r="L67" s="6" t="s">
        <v>635</v>
      </c>
      <c r="M67" s="6" t="s">
        <v>635</v>
      </c>
      <c r="N67" s="6" t="s">
        <v>1025</v>
      </c>
      <c r="O67" s="6">
        <v>3038174599</v>
      </c>
      <c r="P67" s="6"/>
      <c r="Q67" s="6" t="s">
        <v>1026</v>
      </c>
      <c r="R67" s="6" t="s">
        <v>160</v>
      </c>
      <c r="S67" s="6" t="s">
        <v>927</v>
      </c>
      <c r="T67" s="6">
        <v>80303</v>
      </c>
      <c r="U67" s="6" t="s">
        <v>1026</v>
      </c>
      <c r="V67" s="6" t="s">
        <v>160</v>
      </c>
      <c r="W67" s="6" t="s">
        <v>927</v>
      </c>
      <c r="X67" s="6">
        <v>80303</v>
      </c>
      <c r="Y67" s="6" t="s">
        <v>248</v>
      </c>
    </row>
    <row r="68" spans="2:25" s="19" customFormat="1" x14ac:dyDescent="0.2">
      <c r="B68" s="5" t="s">
        <v>1027</v>
      </c>
      <c r="C68" s="5" t="s">
        <v>9</v>
      </c>
      <c r="D68" s="5" t="s">
        <v>1028</v>
      </c>
      <c r="E68" s="5" t="s">
        <v>1028</v>
      </c>
      <c r="F68" s="5" t="s">
        <v>11</v>
      </c>
      <c r="G68" s="5">
        <v>3036011679</v>
      </c>
      <c r="H68" s="5">
        <v>0</v>
      </c>
      <c r="I68" s="20">
        <v>822</v>
      </c>
      <c r="J68" s="6" t="s">
        <v>924</v>
      </c>
      <c r="K68" s="6" t="s">
        <v>608</v>
      </c>
      <c r="L68" s="6" t="s">
        <v>609</v>
      </c>
      <c r="M68" s="6" t="s">
        <v>609</v>
      </c>
      <c r="N68" s="6" t="s">
        <v>610</v>
      </c>
      <c r="O68" s="6"/>
      <c r="P68" s="6"/>
      <c r="Q68" s="6" t="s">
        <v>1029</v>
      </c>
      <c r="R68" s="6" t="s">
        <v>160</v>
      </c>
      <c r="S68" s="6" t="s">
        <v>927</v>
      </c>
      <c r="T68" s="6">
        <v>80302</v>
      </c>
      <c r="U68" s="6" t="s">
        <v>1029</v>
      </c>
      <c r="V68" s="6" t="s">
        <v>160</v>
      </c>
      <c r="W68" s="6" t="s">
        <v>927</v>
      </c>
      <c r="X68" s="6">
        <v>80302</v>
      </c>
      <c r="Y68" s="6" t="s">
        <v>257</v>
      </c>
    </row>
    <row r="69" spans="2:25" s="19" customFormat="1" x14ac:dyDescent="0.2">
      <c r="B69" s="5" t="s">
        <v>1027</v>
      </c>
      <c r="C69" s="5" t="s">
        <v>9</v>
      </c>
      <c r="D69" s="5" t="s">
        <v>1028</v>
      </c>
      <c r="E69" s="5" t="s">
        <v>1028</v>
      </c>
      <c r="F69" s="5" t="s">
        <v>11</v>
      </c>
      <c r="G69" s="5">
        <v>3036011679</v>
      </c>
      <c r="H69" s="5">
        <v>0</v>
      </c>
      <c r="I69" s="20">
        <v>822</v>
      </c>
      <c r="J69" s="6" t="s">
        <v>924</v>
      </c>
      <c r="K69" s="6" t="s">
        <v>925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 t="s">
        <v>257</v>
      </c>
    </row>
    <row r="70" spans="2:25" s="19" customFormat="1" x14ac:dyDescent="0.2">
      <c r="B70" s="5" t="s">
        <v>1027</v>
      </c>
      <c r="C70" s="5" t="s">
        <v>9</v>
      </c>
      <c r="D70" s="5" t="s">
        <v>1028</v>
      </c>
      <c r="E70" s="5" t="s">
        <v>1028</v>
      </c>
      <c r="F70" s="5" t="s">
        <v>11</v>
      </c>
      <c r="G70" s="5">
        <v>3036011679</v>
      </c>
      <c r="H70" s="5">
        <v>0</v>
      </c>
      <c r="I70" s="20">
        <v>823</v>
      </c>
      <c r="J70" s="6" t="s">
        <v>924</v>
      </c>
      <c r="K70" s="6" t="s">
        <v>436</v>
      </c>
      <c r="L70" s="6" t="s">
        <v>24</v>
      </c>
      <c r="M70" s="6" t="s">
        <v>24</v>
      </c>
      <c r="N70" s="6" t="s">
        <v>437</v>
      </c>
      <c r="O70" s="6">
        <v>7327639330</v>
      </c>
      <c r="P70" s="6"/>
      <c r="Q70" s="6" t="s">
        <v>1030</v>
      </c>
      <c r="R70" s="6" t="s">
        <v>160</v>
      </c>
      <c r="S70" s="6" t="s">
        <v>927</v>
      </c>
      <c r="T70" s="6">
        <v>80302</v>
      </c>
      <c r="U70" s="6" t="s">
        <v>1030</v>
      </c>
      <c r="V70" s="6" t="s">
        <v>160</v>
      </c>
      <c r="W70" s="6" t="s">
        <v>927</v>
      </c>
      <c r="X70" s="6">
        <v>80302</v>
      </c>
      <c r="Y70" s="6" t="s">
        <v>257</v>
      </c>
    </row>
    <row r="71" spans="2:25" s="19" customFormat="1" x14ac:dyDescent="0.2">
      <c r="B71" s="5" t="s">
        <v>1027</v>
      </c>
      <c r="C71" s="5" t="s">
        <v>9</v>
      </c>
      <c r="D71" s="5" t="s">
        <v>1028</v>
      </c>
      <c r="E71" s="5" t="s">
        <v>1028</v>
      </c>
      <c r="F71" s="5" t="s">
        <v>11</v>
      </c>
      <c r="G71" s="5">
        <v>3036011679</v>
      </c>
      <c r="H71" s="5">
        <v>0</v>
      </c>
      <c r="I71" s="20">
        <v>823</v>
      </c>
      <c r="J71" s="6" t="s">
        <v>924</v>
      </c>
      <c r="K71" s="6" t="s">
        <v>1031</v>
      </c>
      <c r="L71" s="6" t="s">
        <v>1032</v>
      </c>
      <c r="M71" s="6" t="s">
        <v>1032</v>
      </c>
      <c r="N71" s="6" t="s">
        <v>1033</v>
      </c>
      <c r="O71" s="6">
        <v>8473237103</v>
      </c>
      <c r="P71" s="6"/>
      <c r="Q71" s="6" t="s">
        <v>1034</v>
      </c>
      <c r="R71" s="6" t="s">
        <v>160</v>
      </c>
      <c r="S71" s="6" t="s">
        <v>927</v>
      </c>
      <c r="T71" s="6">
        <v>80302</v>
      </c>
      <c r="U71" s="6" t="s">
        <v>1034</v>
      </c>
      <c r="V71" s="6" t="s">
        <v>160</v>
      </c>
      <c r="W71" s="6" t="s">
        <v>927</v>
      </c>
      <c r="X71" s="6">
        <v>80302</v>
      </c>
      <c r="Y71" s="6" t="s">
        <v>257</v>
      </c>
    </row>
    <row r="72" spans="2:25" s="19" customFormat="1" x14ac:dyDescent="0.2">
      <c r="B72" s="5" t="s">
        <v>1027</v>
      </c>
      <c r="C72" s="5" t="s">
        <v>9</v>
      </c>
      <c r="D72" s="5" t="s">
        <v>1028</v>
      </c>
      <c r="E72" s="5" t="s">
        <v>1028</v>
      </c>
      <c r="F72" s="5" t="s">
        <v>11</v>
      </c>
      <c r="G72" s="5">
        <v>3036011679</v>
      </c>
      <c r="H72" s="5">
        <v>0</v>
      </c>
      <c r="I72" s="20">
        <v>824</v>
      </c>
      <c r="J72" s="6" t="s">
        <v>924</v>
      </c>
      <c r="K72" s="6" t="s">
        <v>925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 t="s">
        <v>257</v>
      </c>
    </row>
    <row r="73" spans="2:25" s="19" customFormat="1" x14ac:dyDescent="0.2">
      <c r="B73" s="5" t="s">
        <v>1027</v>
      </c>
      <c r="C73" s="5" t="s">
        <v>9</v>
      </c>
      <c r="D73" s="5" t="s">
        <v>1028</v>
      </c>
      <c r="E73" s="5" t="s">
        <v>1028</v>
      </c>
      <c r="F73" s="5" t="s">
        <v>11</v>
      </c>
      <c r="G73" s="5">
        <v>3036011679</v>
      </c>
      <c r="H73" s="5">
        <v>0</v>
      </c>
      <c r="I73" s="20">
        <v>824</v>
      </c>
      <c r="J73" s="6" t="s">
        <v>924</v>
      </c>
      <c r="K73" s="6" t="s">
        <v>925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 t="s">
        <v>257</v>
      </c>
    </row>
    <row r="74" spans="2:25" s="19" customFormat="1" x14ac:dyDescent="0.2">
      <c r="B74" s="5" t="s">
        <v>1027</v>
      </c>
      <c r="C74" s="5" t="s">
        <v>9</v>
      </c>
      <c r="D74" s="5" t="s">
        <v>1028</v>
      </c>
      <c r="E74" s="5" t="s">
        <v>1028</v>
      </c>
      <c r="F74" s="5" t="s">
        <v>11</v>
      </c>
      <c r="G74" s="5">
        <v>3036011679</v>
      </c>
      <c r="H74" s="5">
        <v>0</v>
      </c>
      <c r="I74" s="20">
        <v>825</v>
      </c>
      <c r="J74" s="6" t="s">
        <v>924</v>
      </c>
      <c r="K74" s="6" t="s">
        <v>9</v>
      </c>
      <c r="L74" s="6" t="s">
        <v>1028</v>
      </c>
      <c r="M74" s="6" t="s">
        <v>1028</v>
      </c>
      <c r="N74" s="6" t="s">
        <v>843</v>
      </c>
      <c r="O74" s="6">
        <v>3036011679</v>
      </c>
      <c r="P74" s="6"/>
      <c r="Q74" s="6" t="s">
        <v>1035</v>
      </c>
      <c r="R74" s="6" t="s">
        <v>160</v>
      </c>
      <c r="S74" s="6" t="s">
        <v>927</v>
      </c>
      <c r="T74" s="6">
        <v>80304</v>
      </c>
      <c r="U74" s="6" t="s">
        <v>1035</v>
      </c>
      <c r="V74" s="6" t="s">
        <v>160</v>
      </c>
      <c r="W74" s="6" t="s">
        <v>927</v>
      </c>
      <c r="X74" s="6">
        <v>80304</v>
      </c>
      <c r="Y74" s="6" t="s">
        <v>257</v>
      </c>
    </row>
    <row r="75" spans="2:25" s="19" customFormat="1" x14ac:dyDescent="0.2">
      <c r="B75" s="5" t="s">
        <v>1027</v>
      </c>
      <c r="C75" s="5" t="s">
        <v>9</v>
      </c>
      <c r="D75" s="5" t="s">
        <v>1028</v>
      </c>
      <c r="E75" s="5" t="s">
        <v>1028</v>
      </c>
      <c r="F75" s="5" t="s">
        <v>11</v>
      </c>
      <c r="G75" s="5">
        <v>3036011679</v>
      </c>
      <c r="H75" s="5">
        <v>0</v>
      </c>
      <c r="I75" s="20">
        <v>825</v>
      </c>
      <c r="J75" s="6" t="s">
        <v>924</v>
      </c>
      <c r="K75" s="6" t="s">
        <v>644</v>
      </c>
      <c r="L75" s="6" t="s">
        <v>54</v>
      </c>
      <c r="M75" s="6" t="s">
        <v>54</v>
      </c>
      <c r="N75" s="6" t="s">
        <v>645</v>
      </c>
      <c r="O75" s="6">
        <v>3039398015</v>
      </c>
      <c r="P75" s="6">
        <v>7209383466</v>
      </c>
      <c r="Q75" s="6" t="s">
        <v>1036</v>
      </c>
      <c r="R75" s="6" t="s">
        <v>160</v>
      </c>
      <c r="S75" s="6" t="s">
        <v>927</v>
      </c>
      <c r="T75" s="6">
        <v>80304</v>
      </c>
      <c r="U75" s="6" t="s">
        <v>1036</v>
      </c>
      <c r="V75" s="6" t="s">
        <v>160</v>
      </c>
      <c r="W75" s="6" t="s">
        <v>927</v>
      </c>
      <c r="X75" s="6">
        <v>80304</v>
      </c>
      <c r="Y75" s="6" t="s">
        <v>257</v>
      </c>
    </row>
    <row r="76" spans="2:25" s="19" customFormat="1" x14ac:dyDescent="0.2">
      <c r="B76" s="5" t="s">
        <v>1027</v>
      </c>
      <c r="C76" s="5" t="s">
        <v>9</v>
      </c>
      <c r="D76" s="5" t="s">
        <v>1028</v>
      </c>
      <c r="E76" s="5" t="s">
        <v>1028</v>
      </c>
      <c r="F76" s="5" t="s">
        <v>11</v>
      </c>
      <c r="G76" s="5">
        <v>3036011679</v>
      </c>
      <c r="H76" s="5">
        <v>0</v>
      </c>
      <c r="I76" s="20">
        <v>826</v>
      </c>
      <c r="J76" s="6" t="s">
        <v>924</v>
      </c>
      <c r="K76" s="6" t="s">
        <v>925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 t="s">
        <v>257</v>
      </c>
    </row>
    <row r="77" spans="2:25" s="19" customFormat="1" x14ac:dyDescent="0.2">
      <c r="B77" s="5" t="s">
        <v>1027</v>
      </c>
      <c r="C77" s="5" t="s">
        <v>9</v>
      </c>
      <c r="D77" s="5" t="s">
        <v>1028</v>
      </c>
      <c r="E77" s="5" t="s">
        <v>1028</v>
      </c>
      <c r="F77" s="5" t="s">
        <v>11</v>
      </c>
      <c r="G77" s="5">
        <v>3036011679</v>
      </c>
      <c r="H77" s="5">
        <v>0</v>
      </c>
      <c r="I77" s="20">
        <v>826</v>
      </c>
      <c r="J77" s="6" t="s">
        <v>924</v>
      </c>
      <c r="K77" s="6" t="s">
        <v>925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 t="s">
        <v>257</v>
      </c>
    </row>
    <row r="78" spans="2:25" s="19" customFormat="1" x14ac:dyDescent="0.2">
      <c r="B78" s="5" t="s">
        <v>1006</v>
      </c>
      <c r="C78" s="5" t="s">
        <v>12</v>
      </c>
      <c r="D78" s="5" t="s">
        <v>13</v>
      </c>
      <c r="E78" s="5" t="s">
        <v>13</v>
      </c>
      <c r="F78" s="5" t="s">
        <v>1007</v>
      </c>
      <c r="G78" s="5">
        <v>4156131376</v>
      </c>
      <c r="H78" s="5">
        <v>0</v>
      </c>
      <c r="I78" s="20">
        <v>827</v>
      </c>
      <c r="J78" s="6" t="s">
        <v>924</v>
      </c>
      <c r="K78" s="6" t="s">
        <v>803</v>
      </c>
      <c r="L78" s="6" t="s">
        <v>530</v>
      </c>
      <c r="M78" s="6" t="s">
        <v>530</v>
      </c>
      <c r="N78" s="6" t="s">
        <v>804</v>
      </c>
      <c r="O78" s="6"/>
      <c r="P78" s="6"/>
      <c r="Q78" s="6" t="s">
        <v>1037</v>
      </c>
      <c r="R78" s="6" t="s">
        <v>160</v>
      </c>
      <c r="S78" s="6" t="s">
        <v>927</v>
      </c>
      <c r="T78" s="6">
        <v>80302</v>
      </c>
      <c r="U78" s="6" t="s">
        <v>1037</v>
      </c>
      <c r="V78" s="6" t="s">
        <v>160</v>
      </c>
      <c r="W78" s="6" t="s">
        <v>927</v>
      </c>
      <c r="X78" s="6">
        <v>80302</v>
      </c>
      <c r="Y78" s="6" t="s">
        <v>257</v>
      </c>
    </row>
    <row r="79" spans="2:25" s="19" customFormat="1" x14ac:dyDescent="0.2">
      <c r="B79" s="5" t="s">
        <v>1006</v>
      </c>
      <c r="C79" s="5" t="s">
        <v>12</v>
      </c>
      <c r="D79" s="5" t="s">
        <v>13</v>
      </c>
      <c r="E79" s="5" t="s">
        <v>13</v>
      </c>
      <c r="F79" s="5" t="s">
        <v>1007</v>
      </c>
      <c r="G79" s="5">
        <v>4156131376</v>
      </c>
      <c r="H79" s="5">
        <v>0</v>
      </c>
      <c r="I79" s="20">
        <v>827</v>
      </c>
      <c r="J79" s="6" t="s">
        <v>924</v>
      </c>
      <c r="K79" s="6" t="s">
        <v>925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 t="s">
        <v>257</v>
      </c>
    </row>
    <row r="80" spans="2:25" s="19" customFormat="1" x14ac:dyDescent="0.2">
      <c r="B80" s="5" t="s">
        <v>1038</v>
      </c>
      <c r="C80" s="5" t="s">
        <v>522</v>
      </c>
      <c r="D80" s="5" t="s">
        <v>888</v>
      </c>
      <c r="E80" s="5" t="s">
        <v>888</v>
      </c>
      <c r="F80" s="5" t="s">
        <v>889</v>
      </c>
      <c r="G80" s="5">
        <v>7206008829</v>
      </c>
      <c r="H80" s="5">
        <v>0</v>
      </c>
      <c r="I80" s="20">
        <v>810</v>
      </c>
      <c r="J80" s="6" t="s">
        <v>924</v>
      </c>
      <c r="K80" s="6" t="s">
        <v>925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 t="s">
        <v>252</v>
      </c>
    </row>
    <row r="81" spans="2:25" s="19" customFormat="1" x14ac:dyDescent="0.2">
      <c r="B81" s="5" t="s">
        <v>1038</v>
      </c>
      <c r="C81" s="5" t="s">
        <v>522</v>
      </c>
      <c r="D81" s="5" t="s">
        <v>888</v>
      </c>
      <c r="E81" s="5" t="s">
        <v>888</v>
      </c>
      <c r="F81" s="5" t="s">
        <v>889</v>
      </c>
      <c r="G81" s="5">
        <v>7206008829</v>
      </c>
      <c r="H81" s="5">
        <v>0</v>
      </c>
      <c r="I81" s="20">
        <v>810</v>
      </c>
      <c r="J81" s="6" t="s">
        <v>924</v>
      </c>
      <c r="K81" s="6" t="s">
        <v>925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 t="s">
        <v>252</v>
      </c>
    </row>
    <row r="82" spans="2:25" s="19" customFormat="1" x14ac:dyDescent="0.2">
      <c r="B82" s="5" t="s">
        <v>1038</v>
      </c>
      <c r="C82" s="5" t="s">
        <v>522</v>
      </c>
      <c r="D82" s="5" t="s">
        <v>888</v>
      </c>
      <c r="E82" s="5" t="s">
        <v>888</v>
      </c>
      <c r="F82" s="5" t="s">
        <v>889</v>
      </c>
      <c r="G82" s="5">
        <v>7206008829</v>
      </c>
      <c r="H82" s="5">
        <v>0</v>
      </c>
      <c r="I82" s="20">
        <v>817</v>
      </c>
      <c r="J82" s="6" t="s">
        <v>924</v>
      </c>
      <c r="K82" s="6" t="s">
        <v>1039</v>
      </c>
      <c r="L82" s="6" t="s">
        <v>1040</v>
      </c>
      <c r="M82" s="6" t="s">
        <v>1040</v>
      </c>
      <c r="N82" s="6" t="s">
        <v>1041</v>
      </c>
      <c r="O82" s="6">
        <v>3034150327</v>
      </c>
      <c r="P82" s="6">
        <v>7206352284</v>
      </c>
      <c r="Q82" s="6" t="s">
        <v>1042</v>
      </c>
      <c r="R82" s="6" t="s">
        <v>160</v>
      </c>
      <c r="S82" s="6" t="s">
        <v>927</v>
      </c>
      <c r="T82" s="6">
        <v>80304</v>
      </c>
      <c r="U82" s="6" t="s">
        <v>1042</v>
      </c>
      <c r="V82" s="6" t="s">
        <v>160</v>
      </c>
      <c r="W82" s="6" t="s">
        <v>927</v>
      </c>
      <c r="X82" s="6">
        <v>80304</v>
      </c>
      <c r="Y82" s="6" t="s">
        <v>252</v>
      </c>
    </row>
    <row r="83" spans="2:25" s="19" customFormat="1" x14ac:dyDescent="0.2">
      <c r="B83" s="5" t="s">
        <v>1038</v>
      </c>
      <c r="C83" s="5" t="s">
        <v>522</v>
      </c>
      <c r="D83" s="5" t="s">
        <v>888</v>
      </c>
      <c r="E83" s="5" t="s">
        <v>888</v>
      </c>
      <c r="F83" s="5" t="s">
        <v>889</v>
      </c>
      <c r="G83" s="5">
        <v>7206008829</v>
      </c>
      <c r="H83" s="5">
        <v>0</v>
      </c>
      <c r="I83" s="20">
        <v>817</v>
      </c>
      <c r="J83" s="6" t="s">
        <v>924</v>
      </c>
      <c r="K83" s="6" t="s">
        <v>522</v>
      </c>
      <c r="L83" s="6" t="s">
        <v>888</v>
      </c>
      <c r="M83" s="6" t="s">
        <v>888</v>
      </c>
      <c r="N83" s="6" t="s">
        <v>889</v>
      </c>
      <c r="O83" s="6">
        <v>7206008829</v>
      </c>
      <c r="P83" s="6"/>
      <c r="Q83" s="6" t="s">
        <v>1043</v>
      </c>
      <c r="R83" s="6" t="s">
        <v>160</v>
      </c>
      <c r="S83" s="6" t="s">
        <v>927</v>
      </c>
      <c r="T83" s="6">
        <v>80304</v>
      </c>
      <c r="U83" s="6" t="s">
        <v>1043</v>
      </c>
      <c r="V83" s="6" t="s">
        <v>160</v>
      </c>
      <c r="W83" s="6" t="s">
        <v>927</v>
      </c>
      <c r="X83" s="6">
        <v>80304</v>
      </c>
      <c r="Y83" s="6" t="s">
        <v>252</v>
      </c>
    </row>
    <row r="84" spans="2:25" s="19" customFormat="1" x14ac:dyDescent="0.2">
      <c r="B84" s="5" t="s">
        <v>1038</v>
      </c>
      <c r="C84" s="5" t="s">
        <v>522</v>
      </c>
      <c r="D84" s="5" t="s">
        <v>888</v>
      </c>
      <c r="E84" s="5" t="s">
        <v>888</v>
      </c>
      <c r="F84" s="5" t="s">
        <v>889</v>
      </c>
      <c r="G84" s="5">
        <v>7206008829</v>
      </c>
      <c r="H84" s="5">
        <v>0</v>
      </c>
      <c r="I84" s="20">
        <v>818</v>
      </c>
      <c r="J84" s="6" t="s">
        <v>924</v>
      </c>
      <c r="K84" s="6" t="s">
        <v>925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 t="s">
        <v>252</v>
      </c>
    </row>
    <row r="85" spans="2:25" s="19" customFormat="1" x14ac:dyDescent="0.2">
      <c r="B85" s="5" t="s">
        <v>1038</v>
      </c>
      <c r="C85" s="5" t="s">
        <v>522</v>
      </c>
      <c r="D85" s="5" t="s">
        <v>888</v>
      </c>
      <c r="E85" s="5" t="s">
        <v>888</v>
      </c>
      <c r="F85" s="5" t="s">
        <v>889</v>
      </c>
      <c r="G85" s="5">
        <v>7206008829</v>
      </c>
      <c r="H85" s="5">
        <v>0</v>
      </c>
      <c r="I85" s="20">
        <v>818</v>
      </c>
      <c r="J85" s="6" t="s">
        <v>924</v>
      </c>
      <c r="K85" s="6" t="s">
        <v>925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 t="s">
        <v>252</v>
      </c>
    </row>
    <row r="86" spans="2:25" s="19" customFormat="1" x14ac:dyDescent="0.2">
      <c r="B86" s="5" t="s">
        <v>1038</v>
      </c>
      <c r="C86" s="5" t="s">
        <v>522</v>
      </c>
      <c r="D86" s="5" t="s">
        <v>888</v>
      </c>
      <c r="E86" s="5" t="s">
        <v>888</v>
      </c>
      <c r="F86" s="5" t="s">
        <v>889</v>
      </c>
      <c r="G86" s="5">
        <v>7206008829</v>
      </c>
      <c r="H86" s="5">
        <v>0</v>
      </c>
      <c r="I86" s="20">
        <v>820</v>
      </c>
      <c r="J86" s="6" t="s">
        <v>924</v>
      </c>
      <c r="K86" s="6" t="s">
        <v>1044</v>
      </c>
      <c r="L86" s="6" t="s">
        <v>13</v>
      </c>
      <c r="M86" s="6" t="s">
        <v>13</v>
      </c>
      <c r="N86" s="6" t="s">
        <v>1045</v>
      </c>
      <c r="O86" s="6">
        <v>7205659312</v>
      </c>
      <c r="P86" s="6"/>
      <c r="Q86" s="6" t="s">
        <v>1046</v>
      </c>
      <c r="R86" s="6" t="s">
        <v>160</v>
      </c>
      <c r="S86" s="6" t="s">
        <v>927</v>
      </c>
      <c r="T86" s="6">
        <v>80301</v>
      </c>
      <c r="U86" s="6" t="s">
        <v>1046</v>
      </c>
      <c r="V86" s="6" t="s">
        <v>160</v>
      </c>
      <c r="W86" s="6" t="s">
        <v>927</v>
      </c>
      <c r="X86" s="6">
        <v>80301</v>
      </c>
      <c r="Y86" s="6" t="s">
        <v>252</v>
      </c>
    </row>
    <row r="87" spans="2:25" s="19" customFormat="1" x14ac:dyDescent="0.2">
      <c r="B87" s="5" t="s">
        <v>1038</v>
      </c>
      <c r="C87" s="5" t="s">
        <v>522</v>
      </c>
      <c r="D87" s="5" t="s">
        <v>888</v>
      </c>
      <c r="E87" s="5" t="s">
        <v>888</v>
      </c>
      <c r="F87" s="5" t="s">
        <v>889</v>
      </c>
      <c r="G87" s="5">
        <v>7206008829</v>
      </c>
      <c r="H87" s="5">
        <v>0</v>
      </c>
      <c r="I87" s="20">
        <v>820</v>
      </c>
      <c r="J87" s="6" t="s">
        <v>924</v>
      </c>
      <c r="K87" s="6" t="s">
        <v>925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 t="s">
        <v>252</v>
      </c>
    </row>
    <row r="88" spans="2:25" s="19" customFormat="1" x14ac:dyDescent="0.2">
      <c r="B88" s="5" t="s">
        <v>1038</v>
      </c>
      <c r="C88" s="5" t="s">
        <v>522</v>
      </c>
      <c r="D88" s="5" t="s">
        <v>888</v>
      </c>
      <c r="E88" s="5" t="s">
        <v>888</v>
      </c>
      <c r="F88" s="5" t="s">
        <v>889</v>
      </c>
      <c r="G88" s="5">
        <v>7206008829</v>
      </c>
      <c r="H88" s="5">
        <v>0</v>
      </c>
      <c r="I88" s="20">
        <v>821</v>
      </c>
      <c r="J88" s="6" t="s">
        <v>924</v>
      </c>
      <c r="K88" s="6" t="s">
        <v>925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 t="s">
        <v>252</v>
      </c>
    </row>
    <row r="89" spans="2:25" s="19" customFormat="1" x14ac:dyDescent="0.2">
      <c r="B89" s="5" t="s">
        <v>1038</v>
      </c>
      <c r="C89" s="5" t="s">
        <v>522</v>
      </c>
      <c r="D89" s="5" t="s">
        <v>888</v>
      </c>
      <c r="E89" s="5" t="s">
        <v>888</v>
      </c>
      <c r="F89" s="5" t="s">
        <v>889</v>
      </c>
      <c r="G89" s="5">
        <v>7206008829</v>
      </c>
      <c r="H89" s="5">
        <v>0</v>
      </c>
      <c r="I89" s="20">
        <v>821</v>
      </c>
      <c r="J89" s="6" t="s">
        <v>924</v>
      </c>
      <c r="K89" s="6" t="s">
        <v>925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 t="s">
        <v>252</v>
      </c>
    </row>
    <row r="90" spans="2:25" s="19" customFormat="1" x14ac:dyDescent="0.2">
      <c r="B90" s="5" t="s">
        <v>1047</v>
      </c>
      <c r="C90" s="5" t="s">
        <v>17</v>
      </c>
      <c r="D90" s="5" t="s">
        <v>848</v>
      </c>
      <c r="E90" s="5" t="s">
        <v>18</v>
      </c>
      <c r="F90" s="5" t="s">
        <v>1048</v>
      </c>
      <c r="G90" s="5">
        <v>3033174096</v>
      </c>
      <c r="H90" s="5">
        <v>5183307872</v>
      </c>
      <c r="I90" s="20">
        <v>811</v>
      </c>
      <c r="J90" s="6" t="s">
        <v>924</v>
      </c>
      <c r="K90" s="6" t="s">
        <v>1049</v>
      </c>
      <c r="L90" s="6" t="s">
        <v>574</v>
      </c>
      <c r="M90" s="6" t="s">
        <v>574</v>
      </c>
      <c r="N90" s="6" t="s">
        <v>1050</v>
      </c>
      <c r="O90" s="6">
        <v>3036383676</v>
      </c>
      <c r="P90" s="6"/>
      <c r="Q90" s="6" t="s">
        <v>1051</v>
      </c>
      <c r="R90" s="6" t="s">
        <v>160</v>
      </c>
      <c r="S90" s="6" t="s">
        <v>927</v>
      </c>
      <c r="T90" s="6">
        <v>80304</v>
      </c>
      <c r="U90" s="6" t="s">
        <v>1051</v>
      </c>
      <c r="V90" s="6" t="s">
        <v>160</v>
      </c>
      <c r="W90" s="6" t="s">
        <v>927</v>
      </c>
      <c r="X90" s="6">
        <v>80304</v>
      </c>
      <c r="Y90" s="6" t="s">
        <v>265</v>
      </c>
    </row>
    <row r="91" spans="2:25" s="19" customFormat="1" x14ac:dyDescent="0.2">
      <c r="B91" s="5" t="s">
        <v>1047</v>
      </c>
      <c r="C91" s="5" t="s">
        <v>17</v>
      </c>
      <c r="D91" s="5" t="s">
        <v>848</v>
      </c>
      <c r="E91" s="5" t="s">
        <v>18</v>
      </c>
      <c r="F91" s="5" t="s">
        <v>1048</v>
      </c>
      <c r="G91" s="5">
        <v>3033174096</v>
      </c>
      <c r="H91" s="5">
        <v>5183307872</v>
      </c>
      <c r="I91" s="20">
        <v>811</v>
      </c>
      <c r="J91" s="6" t="s">
        <v>924</v>
      </c>
      <c r="K91" s="6" t="s">
        <v>704</v>
      </c>
      <c r="L91" s="6" t="s">
        <v>26</v>
      </c>
      <c r="M91" s="6" t="s">
        <v>26</v>
      </c>
      <c r="N91" s="6" t="s">
        <v>705</v>
      </c>
      <c r="O91" s="6">
        <v>6106425728</v>
      </c>
      <c r="P91" s="6"/>
      <c r="Q91" s="6" t="s">
        <v>1052</v>
      </c>
      <c r="R91" s="6" t="s">
        <v>160</v>
      </c>
      <c r="S91" s="6" t="s">
        <v>927</v>
      </c>
      <c r="T91" s="6">
        <v>80304</v>
      </c>
      <c r="U91" s="6" t="s">
        <v>1052</v>
      </c>
      <c r="V91" s="6" t="s">
        <v>160</v>
      </c>
      <c r="W91" s="6" t="s">
        <v>927</v>
      </c>
      <c r="X91" s="6">
        <v>80304</v>
      </c>
      <c r="Y91" s="6" t="s">
        <v>265</v>
      </c>
    </row>
    <row r="92" spans="2:25" s="19" customFormat="1" x14ac:dyDescent="0.2">
      <c r="B92" s="5" t="s">
        <v>1047</v>
      </c>
      <c r="C92" s="5" t="s">
        <v>17</v>
      </c>
      <c r="D92" s="5" t="s">
        <v>848</v>
      </c>
      <c r="E92" s="5" t="s">
        <v>18</v>
      </c>
      <c r="F92" s="5" t="s">
        <v>1048</v>
      </c>
      <c r="G92" s="5">
        <v>3033174096</v>
      </c>
      <c r="H92" s="5">
        <v>5183307872</v>
      </c>
      <c r="I92" s="20">
        <v>812</v>
      </c>
      <c r="J92" s="6" t="s">
        <v>924</v>
      </c>
      <c r="K92" s="6" t="s">
        <v>620</v>
      </c>
      <c r="L92" s="6" t="s">
        <v>24</v>
      </c>
      <c r="M92" s="6" t="s">
        <v>1053</v>
      </c>
      <c r="N92" s="6" t="s">
        <v>621</v>
      </c>
      <c r="O92" s="6">
        <v>3039491542</v>
      </c>
      <c r="P92" s="6"/>
      <c r="Q92" s="6" t="s">
        <v>1054</v>
      </c>
      <c r="R92" s="6" t="s">
        <v>160</v>
      </c>
      <c r="S92" s="6" t="s">
        <v>927</v>
      </c>
      <c r="T92" s="6">
        <v>80304</v>
      </c>
      <c r="U92" s="6" t="s">
        <v>1054</v>
      </c>
      <c r="V92" s="6" t="s">
        <v>160</v>
      </c>
      <c r="W92" s="6" t="s">
        <v>927</v>
      </c>
      <c r="X92" s="6">
        <v>80304</v>
      </c>
      <c r="Y92" s="6" t="s">
        <v>265</v>
      </c>
    </row>
    <row r="93" spans="2:25" s="19" customFormat="1" x14ac:dyDescent="0.2">
      <c r="B93" s="5" t="s">
        <v>1047</v>
      </c>
      <c r="C93" s="5" t="s">
        <v>17</v>
      </c>
      <c r="D93" s="5" t="s">
        <v>848</v>
      </c>
      <c r="E93" s="5" t="s">
        <v>18</v>
      </c>
      <c r="F93" s="5" t="s">
        <v>1048</v>
      </c>
      <c r="G93" s="5">
        <v>3033174096</v>
      </c>
      <c r="H93" s="5">
        <v>5183307872</v>
      </c>
      <c r="I93" s="20">
        <v>812</v>
      </c>
      <c r="J93" s="6" t="s">
        <v>924</v>
      </c>
      <c r="K93" s="6" t="s">
        <v>1055</v>
      </c>
      <c r="L93" s="6" t="s">
        <v>24</v>
      </c>
      <c r="M93" s="6" t="s">
        <v>24</v>
      </c>
      <c r="N93" s="6" t="s">
        <v>1056</v>
      </c>
      <c r="O93" s="6">
        <v>7202777609</v>
      </c>
      <c r="P93" s="6"/>
      <c r="Q93" s="6" t="s">
        <v>1057</v>
      </c>
      <c r="R93" s="6" t="s">
        <v>160</v>
      </c>
      <c r="S93" s="6" t="s">
        <v>927</v>
      </c>
      <c r="T93" s="6">
        <v>80304</v>
      </c>
      <c r="U93" s="6" t="s">
        <v>1057</v>
      </c>
      <c r="V93" s="6" t="s">
        <v>160</v>
      </c>
      <c r="W93" s="6" t="s">
        <v>927</v>
      </c>
      <c r="X93" s="6">
        <v>80304</v>
      </c>
      <c r="Y93" s="6" t="s">
        <v>265</v>
      </c>
    </row>
    <row r="94" spans="2:25" s="19" customFormat="1" x14ac:dyDescent="0.2">
      <c r="B94" s="5" t="s">
        <v>1047</v>
      </c>
      <c r="C94" s="5" t="s">
        <v>17</v>
      </c>
      <c r="D94" s="5" t="s">
        <v>848</v>
      </c>
      <c r="E94" s="5" t="s">
        <v>18</v>
      </c>
      <c r="F94" s="5" t="s">
        <v>1048</v>
      </c>
      <c r="G94" s="5">
        <v>3033174096</v>
      </c>
      <c r="H94" s="5">
        <v>5183307872</v>
      </c>
      <c r="I94" s="20">
        <v>813</v>
      </c>
      <c r="J94" s="6" t="s">
        <v>924</v>
      </c>
      <c r="K94" s="6" t="s">
        <v>1058</v>
      </c>
      <c r="L94" s="6" t="s">
        <v>1059</v>
      </c>
      <c r="M94" s="6" t="s">
        <v>1059</v>
      </c>
      <c r="N94" s="6" t="s">
        <v>1060</v>
      </c>
      <c r="O94" s="6">
        <v>7203203058</v>
      </c>
      <c r="P94" s="6"/>
      <c r="Q94" s="6" t="s">
        <v>1061</v>
      </c>
      <c r="R94" s="6" t="s">
        <v>160</v>
      </c>
      <c r="S94" s="6" t="s">
        <v>927</v>
      </c>
      <c r="T94" s="6">
        <v>80304</v>
      </c>
      <c r="U94" s="6" t="s">
        <v>1061</v>
      </c>
      <c r="V94" s="6" t="s">
        <v>160</v>
      </c>
      <c r="W94" s="6" t="s">
        <v>927</v>
      </c>
      <c r="X94" s="6">
        <v>80304</v>
      </c>
      <c r="Y94" s="6" t="s">
        <v>265</v>
      </c>
    </row>
    <row r="95" spans="2:25" s="19" customFormat="1" x14ac:dyDescent="0.2">
      <c r="B95" s="5" t="s">
        <v>1047</v>
      </c>
      <c r="C95" s="5" t="s">
        <v>17</v>
      </c>
      <c r="D95" s="5" t="s">
        <v>848</v>
      </c>
      <c r="E95" s="5" t="s">
        <v>18</v>
      </c>
      <c r="F95" s="5" t="s">
        <v>1048</v>
      </c>
      <c r="G95" s="5">
        <v>3033174096</v>
      </c>
      <c r="H95" s="5">
        <v>5183307872</v>
      </c>
      <c r="I95" s="20">
        <v>813</v>
      </c>
      <c r="J95" s="6" t="s">
        <v>924</v>
      </c>
      <c r="K95" s="6" t="s">
        <v>925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 t="s">
        <v>265</v>
      </c>
    </row>
    <row r="96" spans="2:25" s="19" customFormat="1" x14ac:dyDescent="0.2">
      <c r="B96" s="5" t="s">
        <v>1006</v>
      </c>
      <c r="C96" s="5" t="s">
        <v>12</v>
      </c>
      <c r="D96" s="5" t="s">
        <v>13</v>
      </c>
      <c r="E96" s="5" t="s">
        <v>13</v>
      </c>
      <c r="F96" s="5" t="s">
        <v>1007</v>
      </c>
      <c r="G96" s="5">
        <v>4156131376</v>
      </c>
      <c r="H96" s="5">
        <v>0</v>
      </c>
      <c r="I96" s="20">
        <v>815</v>
      </c>
      <c r="J96" s="6" t="s">
        <v>924</v>
      </c>
      <c r="K96" s="6" t="s">
        <v>479</v>
      </c>
      <c r="L96" s="6" t="s">
        <v>480</v>
      </c>
      <c r="M96" s="6" t="s">
        <v>480</v>
      </c>
      <c r="N96" s="6" t="s">
        <v>482</v>
      </c>
      <c r="O96" s="6">
        <v>3035701794</v>
      </c>
      <c r="P96" s="6">
        <v>3034173905</v>
      </c>
      <c r="Q96" s="6" t="s">
        <v>1062</v>
      </c>
      <c r="R96" s="6" t="s">
        <v>160</v>
      </c>
      <c r="S96" s="6" t="s">
        <v>927</v>
      </c>
      <c r="T96" s="6">
        <v>80304</v>
      </c>
      <c r="U96" s="6" t="s">
        <v>1062</v>
      </c>
      <c r="V96" s="6" t="s">
        <v>160</v>
      </c>
      <c r="W96" s="6" t="s">
        <v>927</v>
      </c>
      <c r="X96" s="6">
        <v>80304</v>
      </c>
      <c r="Y96" s="6" t="s">
        <v>265</v>
      </c>
    </row>
    <row r="97" spans="2:25" s="19" customFormat="1" x14ac:dyDescent="0.2">
      <c r="B97" s="5" t="s">
        <v>1006</v>
      </c>
      <c r="C97" s="5" t="s">
        <v>12</v>
      </c>
      <c r="D97" s="5" t="s">
        <v>13</v>
      </c>
      <c r="E97" s="5" t="s">
        <v>13</v>
      </c>
      <c r="F97" s="5" t="s">
        <v>1007</v>
      </c>
      <c r="G97" s="5">
        <v>4156131376</v>
      </c>
      <c r="H97" s="5">
        <v>0</v>
      </c>
      <c r="I97" s="20">
        <v>815</v>
      </c>
      <c r="J97" s="6" t="s">
        <v>924</v>
      </c>
      <c r="K97" s="6" t="s">
        <v>925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 t="s">
        <v>265</v>
      </c>
    </row>
    <row r="98" spans="2:25" s="19" customFormat="1" x14ac:dyDescent="0.2">
      <c r="B98" s="5" t="s">
        <v>1047</v>
      </c>
      <c r="C98" s="5" t="s">
        <v>17</v>
      </c>
      <c r="D98" s="5" t="s">
        <v>848</v>
      </c>
      <c r="E98" s="5" t="s">
        <v>18</v>
      </c>
      <c r="F98" s="5" t="s">
        <v>1048</v>
      </c>
      <c r="G98" s="5">
        <v>3033174096</v>
      </c>
      <c r="H98" s="5">
        <v>5183307872</v>
      </c>
      <c r="I98" s="20">
        <v>816</v>
      </c>
      <c r="J98" s="6" t="s">
        <v>924</v>
      </c>
      <c r="K98" s="6" t="s">
        <v>492</v>
      </c>
      <c r="L98" s="6" t="s">
        <v>24</v>
      </c>
      <c r="M98" s="6" t="s">
        <v>24</v>
      </c>
      <c r="N98" s="6" t="s">
        <v>493</v>
      </c>
      <c r="O98" s="6">
        <v>7202728329</v>
      </c>
      <c r="P98" s="6"/>
      <c r="Q98" s="6" t="s">
        <v>1063</v>
      </c>
      <c r="R98" s="6" t="s">
        <v>160</v>
      </c>
      <c r="S98" s="6" t="s">
        <v>927</v>
      </c>
      <c r="T98" s="6">
        <v>80304</v>
      </c>
      <c r="U98" s="6" t="s">
        <v>1063</v>
      </c>
      <c r="V98" s="6" t="s">
        <v>160</v>
      </c>
      <c r="W98" s="6" t="s">
        <v>927</v>
      </c>
      <c r="X98" s="6">
        <v>80304</v>
      </c>
      <c r="Y98" s="6" t="s">
        <v>265</v>
      </c>
    </row>
    <row r="99" spans="2:25" s="19" customFormat="1" x14ac:dyDescent="0.2">
      <c r="B99" s="5" t="s">
        <v>1047</v>
      </c>
      <c r="C99" s="5" t="s">
        <v>17</v>
      </c>
      <c r="D99" s="5" t="s">
        <v>848</v>
      </c>
      <c r="E99" s="5" t="s">
        <v>18</v>
      </c>
      <c r="F99" s="5" t="s">
        <v>1048</v>
      </c>
      <c r="G99" s="5">
        <v>3033174096</v>
      </c>
      <c r="H99" s="5">
        <v>5183307872</v>
      </c>
      <c r="I99" s="20">
        <v>816</v>
      </c>
      <c r="J99" s="6" t="s">
        <v>924</v>
      </c>
      <c r="K99" s="6" t="s">
        <v>1064</v>
      </c>
      <c r="L99" s="6" t="s">
        <v>758</v>
      </c>
      <c r="M99" s="6" t="s">
        <v>758</v>
      </c>
      <c r="N99" s="6" t="s">
        <v>1065</v>
      </c>
      <c r="O99" s="6">
        <v>3032500115</v>
      </c>
      <c r="P99" s="6"/>
      <c r="Q99" s="6" t="s">
        <v>1066</v>
      </c>
      <c r="R99" s="6" t="s">
        <v>160</v>
      </c>
      <c r="S99" s="6" t="s">
        <v>927</v>
      </c>
      <c r="T99" s="6">
        <v>80304</v>
      </c>
      <c r="U99" s="6" t="s">
        <v>1066</v>
      </c>
      <c r="V99" s="6" t="s">
        <v>160</v>
      </c>
      <c r="W99" s="6" t="s">
        <v>927</v>
      </c>
      <c r="X99" s="6">
        <v>80304</v>
      </c>
      <c r="Y99" s="6" t="s">
        <v>265</v>
      </c>
    </row>
    <row r="100" spans="2:25" s="19" customFormat="1" x14ac:dyDescent="0.2">
      <c r="B100" s="5" t="s">
        <v>1067</v>
      </c>
      <c r="C100" s="5" t="s">
        <v>14</v>
      </c>
      <c r="D100" s="5" t="s">
        <v>15</v>
      </c>
      <c r="E100" s="5" t="s">
        <v>15</v>
      </c>
      <c r="F100" s="5" t="s">
        <v>16</v>
      </c>
      <c r="G100" s="5">
        <v>3032492204</v>
      </c>
      <c r="H100" s="5">
        <v>0</v>
      </c>
      <c r="I100" s="20">
        <v>803</v>
      </c>
      <c r="J100" s="6" t="s">
        <v>924</v>
      </c>
      <c r="K100" s="6" t="s">
        <v>775</v>
      </c>
      <c r="L100" s="6" t="s">
        <v>776</v>
      </c>
      <c r="M100" s="6" t="s">
        <v>776</v>
      </c>
      <c r="N100" s="6" t="s">
        <v>777</v>
      </c>
      <c r="O100" s="6">
        <v>7207719631</v>
      </c>
      <c r="P100" s="6"/>
      <c r="Q100" s="6" t="s">
        <v>1068</v>
      </c>
      <c r="R100" s="6" t="s">
        <v>160</v>
      </c>
      <c r="S100" s="6" t="s">
        <v>927</v>
      </c>
      <c r="T100" s="6">
        <v>80304</v>
      </c>
      <c r="U100" s="6" t="s">
        <v>1068</v>
      </c>
      <c r="V100" s="6" t="s">
        <v>160</v>
      </c>
      <c r="W100" s="6" t="s">
        <v>927</v>
      </c>
      <c r="X100" s="6">
        <v>80304</v>
      </c>
      <c r="Y100" s="6" t="s">
        <v>269</v>
      </c>
    </row>
    <row r="101" spans="2:25" s="19" customFormat="1" x14ac:dyDescent="0.2">
      <c r="B101" s="5" t="s">
        <v>1067</v>
      </c>
      <c r="C101" s="5" t="s">
        <v>14</v>
      </c>
      <c r="D101" s="5" t="s">
        <v>15</v>
      </c>
      <c r="E101" s="5" t="s">
        <v>15</v>
      </c>
      <c r="F101" s="5" t="s">
        <v>16</v>
      </c>
      <c r="G101" s="5">
        <v>3032492204</v>
      </c>
      <c r="H101" s="5">
        <v>0</v>
      </c>
      <c r="I101" s="20">
        <v>803</v>
      </c>
      <c r="J101" s="6" t="s">
        <v>924</v>
      </c>
      <c r="K101" s="6" t="s">
        <v>1069</v>
      </c>
      <c r="L101" s="6" t="s">
        <v>469</v>
      </c>
      <c r="M101" s="6" t="s">
        <v>469</v>
      </c>
      <c r="N101" s="6" t="s">
        <v>1070</v>
      </c>
      <c r="O101" s="6">
        <v>3038832339</v>
      </c>
      <c r="P101" s="6"/>
      <c r="Q101" s="6" t="s">
        <v>1071</v>
      </c>
      <c r="R101" s="6" t="s">
        <v>160</v>
      </c>
      <c r="S101" s="6" t="s">
        <v>927</v>
      </c>
      <c r="T101" s="6">
        <v>80304</v>
      </c>
      <c r="U101" s="6" t="s">
        <v>1071</v>
      </c>
      <c r="V101" s="6" t="s">
        <v>160</v>
      </c>
      <c r="W101" s="6" t="s">
        <v>927</v>
      </c>
      <c r="X101" s="6">
        <v>80304</v>
      </c>
      <c r="Y101" s="6" t="s">
        <v>269</v>
      </c>
    </row>
    <row r="102" spans="2:25" s="19" customFormat="1" x14ac:dyDescent="0.2">
      <c r="B102" s="5" t="s">
        <v>1067</v>
      </c>
      <c r="C102" s="5" t="s">
        <v>14</v>
      </c>
      <c r="D102" s="5" t="s">
        <v>15</v>
      </c>
      <c r="E102" s="5" t="s">
        <v>15</v>
      </c>
      <c r="F102" s="5" t="s">
        <v>16</v>
      </c>
      <c r="G102" s="5">
        <v>3032492204</v>
      </c>
      <c r="H102" s="5">
        <v>0</v>
      </c>
      <c r="I102" s="20">
        <v>804</v>
      </c>
      <c r="J102" s="6" t="s">
        <v>924</v>
      </c>
      <c r="K102" s="6" t="s">
        <v>86</v>
      </c>
      <c r="L102" s="6" t="s">
        <v>530</v>
      </c>
      <c r="M102" s="6" t="s">
        <v>530</v>
      </c>
      <c r="N102" s="6" t="s">
        <v>532</v>
      </c>
      <c r="O102" s="6">
        <v>3038170306</v>
      </c>
      <c r="P102" s="6"/>
      <c r="Q102" s="6" t="s">
        <v>1072</v>
      </c>
      <c r="R102" s="6" t="s">
        <v>160</v>
      </c>
      <c r="S102" s="6" t="s">
        <v>927</v>
      </c>
      <c r="T102" s="6">
        <v>80304</v>
      </c>
      <c r="U102" s="6" t="s">
        <v>1072</v>
      </c>
      <c r="V102" s="6" t="s">
        <v>160</v>
      </c>
      <c r="W102" s="6" t="s">
        <v>927</v>
      </c>
      <c r="X102" s="6">
        <v>80304</v>
      </c>
      <c r="Y102" s="6" t="s">
        <v>269</v>
      </c>
    </row>
    <row r="103" spans="2:25" s="19" customFormat="1" x14ac:dyDescent="0.2">
      <c r="B103" s="5" t="s">
        <v>1067</v>
      </c>
      <c r="C103" s="5" t="s">
        <v>14</v>
      </c>
      <c r="D103" s="5" t="s">
        <v>15</v>
      </c>
      <c r="E103" s="5" t="s">
        <v>15</v>
      </c>
      <c r="F103" s="5" t="s">
        <v>16</v>
      </c>
      <c r="G103" s="5">
        <v>3032492204</v>
      </c>
      <c r="H103" s="5">
        <v>0</v>
      </c>
      <c r="I103" s="20">
        <v>804</v>
      </c>
      <c r="J103" s="6" t="s">
        <v>924</v>
      </c>
      <c r="K103" s="6" t="s">
        <v>925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 t="s">
        <v>269</v>
      </c>
    </row>
    <row r="104" spans="2:25" s="19" customFormat="1" x14ac:dyDescent="0.2">
      <c r="B104" s="5" t="s">
        <v>1067</v>
      </c>
      <c r="C104" s="5" t="s">
        <v>14</v>
      </c>
      <c r="D104" s="5" t="s">
        <v>15</v>
      </c>
      <c r="E104" s="5" t="s">
        <v>15</v>
      </c>
      <c r="F104" s="5" t="s">
        <v>16</v>
      </c>
      <c r="G104" s="5">
        <v>3032492204</v>
      </c>
      <c r="H104" s="5">
        <v>0</v>
      </c>
      <c r="I104" s="20">
        <v>805</v>
      </c>
      <c r="J104" s="6" t="s">
        <v>924</v>
      </c>
      <c r="K104" s="6" t="s">
        <v>1073</v>
      </c>
      <c r="L104" s="6" t="s">
        <v>1074</v>
      </c>
      <c r="M104" s="6" t="s">
        <v>1074</v>
      </c>
      <c r="N104" s="6" t="s">
        <v>1075</v>
      </c>
      <c r="O104" s="6">
        <v>3034472555</v>
      </c>
      <c r="P104" s="6">
        <v>3037484017</v>
      </c>
      <c r="Q104" s="6" t="s">
        <v>1076</v>
      </c>
      <c r="R104" s="6" t="s">
        <v>160</v>
      </c>
      <c r="S104" s="6" t="s">
        <v>927</v>
      </c>
      <c r="T104" s="6">
        <v>80304</v>
      </c>
      <c r="U104" s="6" t="s">
        <v>1076</v>
      </c>
      <c r="V104" s="6" t="s">
        <v>160</v>
      </c>
      <c r="W104" s="6" t="s">
        <v>927</v>
      </c>
      <c r="X104" s="6">
        <v>80304</v>
      </c>
      <c r="Y104" s="6" t="s">
        <v>269</v>
      </c>
    </row>
    <row r="105" spans="2:25" s="19" customFormat="1" x14ac:dyDescent="0.2">
      <c r="B105" s="5" t="s">
        <v>1067</v>
      </c>
      <c r="C105" s="5" t="s">
        <v>14</v>
      </c>
      <c r="D105" s="5" t="s">
        <v>15</v>
      </c>
      <c r="E105" s="5" t="s">
        <v>15</v>
      </c>
      <c r="F105" s="5" t="s">
        <v>16</v>
      </c>
      <c r="G105" s="5">
        <v>3032492204</v>
      </c>
      <c r="H105" s="5">
        <v>0</v>
      </c>
      <c r="I105" s="20">
        <v>805</v>
      </c>
      <c r="J105" s="6" t="s">
        <v>924</v>
      </c>
      <c r="K105" s="6" t="s">
        <v>925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 t="s">
        <v>269</v>
      </c>
    </row>
    <row r="106" spans="2:25" s="19" customFormat="1" x14ac:dyDescent="0.2">
      <c r="B106" s="5" t="s">
        <v>1067</v>
      </c>
      <c r="C106" s="5" t="s">
        <v>14</v>
      </c>
      <c r="D106" s="5" t="s">
        <v>15</v>
      </c>
      <c r="E106" s="5" t="s">
        <v>15</v>
      </c>
      <c r="F106" s="5" t="s">
        <v>16</v>
      </c>
      <c r="G106" s="5">
        <v>3032492204</v>
      </c>
      <c r="H106" s="5">
        <v>0</v>
      </c>
      <c r="I106" s="20">
        <v>806</v>
      </c>
      <c r="J106" s="6" t="s">
        <v>924</v>
      </c>
      <c r="K106" s="6" t="s">
        <v>570</v>
      </c>
      <c r="L106" s="6" t="s">
        <v>571</v>
      </c>
      <c r="M106" s="6" t="s">
        <v>571</v>
      </c>
      <c r="N106" s="6" t="s">
        <v>572</v>
      </c>
      <c r="O106" s="6">
        <v>7202332142</v>
      </c>
      <c r="P106" s="6">
        <v>3034408454</v>
      </c>
      <c r="Q106" s="6" t="s">
        <v>1077</v>
      </c>
      <c r="R106" s="6" t="s">
        <v>160</v>
      </c>
      <c r="S106" s="6" t="s">
        <v>927</v>
      </c>
      <c r="T106" s="6">
        <v>80304</v>
      </c>
      <c r="U106" s="6" t="s">
        <v>1077</v>
      </c>
      <c r="V106" s="6" t="s">
        <v>160</v>
      </c>
      <c r="W106" s="6" t="s">
        <v>927</v>
      </c>
      <c r="X106" s="6">
        <v>80304</v>
      </c>
      <c r="Y106" s="6" t="s">
        <v>269</v>
      </c>
    </row>
    <row r="107" spans="2:25" s="19" customFormat="1" x14ac:dyDescent="0.2">
      <c r="B107" s="5" t="s">
        <v>1067</v>
      </c>
      <c r="C107" s="5" t="s">
        <v>14</v>
      </c>
      <c r="D107" s="5" t="s">
        <v>15</v>
      </c>
      <c r="E107" s="5" t="s">
        <v>15</v>
      </c>
      <c r="F107" s="5" t="s">
        <v>16</v>
      </c>
      <c r="G107" s="5">
        <v>3032492204</v>
      </c>
      <c r="H107" s="5">
        <v>0</v>
      </c>
      <c r="I107" s="20">
        <v>806</v>
      </c>
      <c r="J107" s="6" t="s">
        <v>924</v>
      </c>
      <c r="K107" s="6" t="s">
        <v>925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 t="s">
        <v>269</v>
      </c>
    </row>
    <row r="108" spans="2:25" s="19" customFormat="1" x14ac:dyDescent="0.2">
      <c r="B108" s="5" t="s">
        <v>1067</v>
      </c>
      <c r="C108" s="5" t="s">
        <v>14</v>
      </c>
      <c r="D108" s="5" t="s">
        <v>15</v>
      </c>
      <c r="E108" s="5" t="s">
        <v>15</v>
      </c>
      <c r="F108" s="5" t="s">
        <v>16</v>
      </c>
      <c r="G108" s="5">
        <v>3032492204</v>
      </c>
      <c r="H108" s="5">
        <v>0</v>
      </c>
      <c r="I108" s="20">
        <v>807</v>
      </c>
      <c r="J108" s="6" t="s">
        <v>924</v>
      </c>
      <c r="K108" s="6" t="s">
        <v>494</v>
      </c>
      <c r="L108" s="6" t="s">
        <v>498</v>
      </c>
      <c r="M108" s="6" t="s">
        <v>498</v>
      </c>
      <c r="N108" s="6" t="s">
        <v>499</v>
      </c>
      <c r="O108" s="6">
        <v>3037753512</v>
      </c>
      <c r="P108" s="6">
        <v>2162975164</v>
      </c>
      <c r="Q108" s="6" t="s">
        <v>1078</v>
      </c>
      <c r="R108" s="6" t="s">
        <v>160</v>
      </c>
      <c r="S108" s="6" t="s">
        <v>927</v>
      </c>
      <c r="T108" s="6">
        <v>80304</v>
      </c>
      <c r="U108" s="6" t="s">
        <v>1078</v>
      </c>
      <c r="V108" s="6" t="s">
        <v>160</v>
      </c>
      <c r="W108" s="6" t="s">
        <v>927</v>
      </c>
      <c r="X108" s="6">
        <v>80304</v>
      </c>
      <c r="Y108" s="6" t="s">
        <v>269</v>
      </c>
    </row>
    <row r="109" spans="2:25" s="19" customFormat="1" x14ac:dyDescent="0.2">
      <c r="B109" s="5" t="s">
        <v>1067</v>
      </c>
      <c r="C109" s="5" t="s">
        <v>14</v>
      </c>
      <c r="D109" s="5" t="s">
        <v>15</v>
      </c>
      <c r="E109" s="5" t="s">
        <v>15</v>
      </c>
      <c r="F109" s="5" t="s">
        <v>16</v>
      </c>
      <c r="G109" s="5">
        <v>3032492204</v>
      </c>
      <c r="H109" s="5">
        <v>0</v>
      </c>
      <c r="I109" s="20">
        <v>807</v>
      </c>
      <c r="J109" s="6" t="s">
        <v>924</v>
      </c>
      <c r="K109" s="6" t="s">
        <v>925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 t="s">
        <v>269</v>
      </c>
    </row>
    <row r="110" spans="2:25" s="19" customFormat="1" x14ac:dyDescent="0.2">
      <c r="B110" s="5" t="s">
        <v>1067</v>
      </c>
      <c r="C110" s="5" t="s">
        <v>14</v>
      </c>
      <c r="D110" s="5" t="s">
        <v>15</v>
      </c>
      <c r="E110" s="5" t="s">
        <v>15</v>
      </c>
      <c r="F110" s="5" t="s">
        <v>16</v>
      </c>
      <c r="G110" s="5">
        <v>3032492204</v>
      </c>
      <c r="H110" s="5">
        <v>0</v>
      </c>
      <c r="I110" s="20">
        <v>808</v>
      </c>
      <c r="J110" s="6" t="s">
        <v>924</v>
      </c>
      <c r="K110" s="6" t="s">
        <v>850</v>
      </c>
      <c r="L110" s="6" t="s">
        <v>851</v>
      </c>
      <c r="M110" s="6" t="s">
        <v>851</v>
      </c>
      <c r="N110" s="6" t="s">
        <v>1079</v>
      </c>
      <c r="O110" s="6">
        <v>3032291024</v>
      </c>
      <c r="P110" s="6"/>
      <c r="Q110" s="6" t="s">
        <v>1080</v>
      </c>
      <c r="R110" s="6" t="s">
        <v>160</v>
      </c>
      <c r="S110" s="6" t="s">
        <v>927</v>
      </c>
      <c r="T110" s="6">
        <v>80301</v>
      </c>
      <c r="U110" s="6" t="s">
        <v>1080</v>
      </c>
      <c r="V110" s="6" t="s">
        <v>160</v>
      </c>
      <c r="W110" s="6" t="s">
        <v>927</v>
      </c>
      <c r="X110" s="6">
        <v>80301</v>
      </c>
      <c r="Y110" s="6" t="s">
        <v>269</v>
      </c>
    </row>
    <row r="111" spans="2:25" s="19" customFormat="1" x14ac:dyDescent="0.2">
      <c r="B111" s="5" t="s">
        <v>1067</v>
      </c>
      <c r="C111" s="5" t="s">
        <v>14</v>
      </c>
      <c r="D111" s="5" t="s">
        <v>15</v>
      </c>
      <c r="E111" s="5" t="s">
        <v>15</v>
      </c>
      <c r="F111" s="5" t="s">
        <v>16</v>
      </c>
      <c r="G111" s="5">
        <v>3032492204</v>
      </c>
      <c r="H111" s="5">
        <v>0</v>
      </c>
      <c r="I111" s="20">
        <v>808</v>
      </c>
      <c r="J111" s="6" t="s">
        <v>924</v>
      </c>
      <c r="K111" s="6" t="s">
        <v>1081</v>
      </c>
      <c r="L111" s="6" t="s">
        <v>1082</v>
      </c>
      <c r="M111" s="6" t="s">
        <v>1082</v>
      </c>
      <c r="N111" s="6" t="s">
        <v>1083</v>
      </c>
      <c r="O111" s="6">
        <v>3038182598</v>
      </c>
      <c r="P111" s="6"/>
      <c r="Q111" s="6" t="s">
        <v>1084</v>
      </c>
      <c r="R111" s="6" t="s">
        <v>160</v>
      </c>
      <c r="S111" s="6" t="s">
        <v>927</v>
      </c>
      <c r="T111" s="6">
        <v>80301</v>
      </c>
      <c r="U111" s="6" t="s">
        <v>1084</v>
      </c>
      <c r="V111" s="6" t="s">
        <v>160</v>
      </c>
      <c r="W111" s="6" t="s">
        <v>927</v>
      </c>
      <c r="X111" s="6">
        <v>80301</v>
      </c>
      <c r="Y111" s="6" t="s">
        <v>269</v>
      </c>
    </row>
    <row r="112" spans="2:25" s="19" customFormat="1" x14ac:dyDescent="0.2">
      <c r="B112" s="5" t="s">
        <v>1006</v>
      </c>
      <c r="C112" s="5" t="s">
        <v>12</v>
      </c>
      <c r="D112" s="5" t="s">
        <v>13</v>
      </c>
      <c r="E112" s="5" t="s">
        <v>13</v>
      </c>
      <c r="F112" s="5" t="s">
        <v>1007</v>
      </c>
      <c r="G112" s="5">
        <v>4156131376</v>
      </c>
      <c r="H112" s="5">
        <v>0</v>
      </c>
      <c r="I112" s="20">
        <v>814</v>
      </c>
      <c r="J112" s="6" t="s">
        <v>924</v>
      </c>
      <c r="K112" s="6" t="s">
        <v>1085</v>
      </c>
      <c r="L112" s="6" t="s">
        <v>1086</v>
      </c>
      <c r="M112" s="6" t="s">
        <v>1086</v>
      </c>
      <c r="N112" s="6" t="s">
        <v>1087</v>
      </c>
      <c r="O112" s="6">
        <v>3038173307</v>
      </c>
      <c r="P112" s="6"/>
      <c r="Q112" s="6" t="s">
        <v>1088</v>
      </c>
      <c r="R112" s="6" t="s">
        <v>160</v>
      </c>
      <c r="S112" s="6" t="s">
        <v>927</v>
      </c>
      <c r="T112" s="6">
        <v>80304</v>
      </c>
      <c r="U112" s="6" t="s">
        <v>1088</v>
      </c>
      <c r="V112" s="6" t="s">
        <v>160</v>
      </c>
      <c r="W112" s="6" t="s">
        <v>927</v>
      </c>
      <c r="X112" s="6">
        <v>80304</v>
      </c>
      <c r="Y112" s="6" t="s">
        <v>269</v>
      </c>
    </row>
    <row r="113" spans="2:25" s="19" customFormat="1" x14ac:dyDescent="0.2">
      <c r="B113" s="5" t="s">
        <v>1006</v>
      </c>
      <c r="C113" s="5" t="s">
        <v>12</v>
      </c>
      <c r="D113" s="5" t="s">
        <v>13</v>
      </c>
      <c r="E113" s="5" t="s">
        <v>13</v>
      </c>
      <c r="F113" s="5" t="s">
        <v>1007</v>
      </c>
      <c r="G113" s="5">
        <v>4156131376</v>
      </c>
      <c r="H113" s="5">
        <v>0</v>
      </c>
      <c r="I113" s="20">
        <v>814</v>
      </c>
      <c r="J113" s="6" t="s">
        <v>924</v>
      </c>
      <c r="K113" s="6" t="s">
        <v>925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 t="s">
        <v>269</v>
      </c>
    </row>
    <row r="114" spans="2:25" s="19" customFormat="1" x14ac:dyDescent="0.2">
      <c r="B114" s="5" t="s">
        <v>1089</v>
      </c>
      <c r="C114" s="5" t="s">
        <v>850</v>
      </c>
      <c r="D114" s="5" t="s">
        <v>851</v>
      </c>
      <c r="E114" s="5" t="s">
        <v>851</v>
      </c>
      <c r="F114" s="5" t="s">
        <v>1079</v>
      </c>
      <c r="G114" s="5">
        <v>3032291024</v>
      </c>
      <c r="H114" s="5">
        <v>0</v>
      </c>
      <c r="I114" s="20">
        <v>503</v>
      </c>
      <c r="J114" s="6" t="s">
        <v>924</v>
      </c>
      <c r="K114" s="6" t="s">
        <v>925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 t="s">
        <v>361</v>
      </c>
    </row>
    <row r="115" spans="2:25" s="19" customFormat="1" x14ac:dyDescent="0.2">
      <c r="B115" s="5" t="s">
        <v>1089</v>
      </c>
      <c r="C115" s="5" t="s">
        <v>850</v>
      </c>
      <c r="D115" s="5" t="s">
        <v>851</v>
      </c>
      <c r="E115" s="5" t="s">
        <v>851</v>
      </c>
      <c r="F115" s="5" t="s">
        <v>1079</v>
      </c>
      <c r="G115" s="5">
        <v>3032291024</v>
      </c>
      <c r="H115" s="5">
        <v>0</v>
      </c>
      <c r="I115" s="20">
        <v>503</v>
      </c>
      <c r="J115" s="6" t="s">
        <v>924</v>
      </c>
      <c r="K115" s="6" t="s">
        <v>925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 t="s">
        <v>361</v>
      </c>
    </row>
    <row r="116" spans="2:25" s="19" customFormat="1" x14ac:dyDescent="0.2">
      <c r="B116" s="5" t="s">
        <v>1089</v>
      </c>
      <c r="C116" s="5" t="s">
        <v>850</v>
      </c>
      <c r="D116" s="5" t="s">
        <v>851</v>
      </c>
      <c r="E116" s="5" t="s">
        <v>851</v>
      </c>
      <c r="F116" s="5" t="s">
        <v>1079</v>
      </c>
      <c r="G116" s="5">
        <v>3032291024</v>
      </c>
      <c r="H116" s="5">
        <v>0</v>
      </c>
      <c r="I116" s="20">
        <v>504</v>
      </c>
      <c r="J116" s="6" t="s">
        <v>924</v>
      </c>
      <c r="K116" s="6" t="s">
        <v>23</v>
      </c>
      <c r="L116" s="6" t="s">
        <v>24</v>
      </c>
      <c r="M116" s="6" t="s">
        <v>24</v>
      </c>
      <c r="N116" s="6" t="s">
        <v>25</v>
      </c>
      <c r="O116" s="6">
        <v>3039097201</v>
      </c>
      <c r="P116" s="6"/>
      <c r="Q116" s="6" t="s">
        <v>1090</v>
      </c>
      <c r="R116" s="6" t="s">
        <v>160</v>
      </c>
      <c r="S116" s="6" t="s">
        <v>927</v>
      </c>
      <c r="T116" s="6">
        <v>80301</v>
      </c>
      <c r="U116" s="6" t="s">
        <v>1090</v>
      </c>
      <c r="V116" s="6" t="s">
        <v>160</v>
      </c>
      <c r="W116" s="6" t="s">
        <v>927</v>
      </c>
      <c r="X116" s="6">
        <v>80301</v>
      </c>
      <c r="Y116" s="6" t="s">
        <v>361</v>
      </c>
    </row>
    <row r="117" spans="2:25" s="19" customFormat="1" x14ac:dyDescent="0.2">
      <c r="B117" s="5" t="s">
        <v>1089</v>
      </c>
      <c r="C117" s="5" t="s">
        <v>850</v>
      </c>
      <c r="D117" s="5" t="s">
        <v>851</v>
      </c>
      <c r="E117" s="5" t="s">
        <v>851</v>
      </c>
      <c r="F117" s="5" t="s">
        <v>1079</v>
      </c>
      <c r="G117" s="5">
        <v>3032291024</v>
      </c>
      <c r="H117" s="5">
        <v>0</v>
      </c>
      <c r="I117" s="20">
        <v>504</v>
      </c>
      <c r="J117" s="6" t="s">
        <v>924</v>
      </c>
      <c r="K117" s="6" t="s">
        <v>1091</v>
      </c>
      <c r="L117" s="6" t="s">
        <v>54</v>
      </c>
      <c r="M117" s="6" t="s">
        <v>54</v>
      </c>
      <c r="N117" s="6" t="s">
        <v>1092</v>
      </c>
      <c r="O117" s="6">
        <v>7205602698</v>
      </c>
      <c r="P117" s="6"/>
      <c r="Q117" s="6" t="s">
        <v>1093</v>
      </c>
      <c r="R117" s="6" t="s">
        <v>160</v>
      </c>
      <c r="S117" s="6" t="s">
        <v>927</v>
      </c>
      <c r="T117" s="6">
        <v>80301</v>
      </c>
      <c r="U117" s="6" t="s">
        <v>1093</v>
      </c>
      <c r="V117" s="6" t="s">
        <v>160</v>
      </c>
      <c r="W117" s="6" t="s">
        <v>927</v>
      </c>
      <c r="X117" s="6">
        <v>80301</v>
      </c>
      <c r="Y117" s="6" t="s">
        <v>361</v>
      </c>
    </row>
    <row r="118" spans="2:25" s="19" customFormat="1" x14ac:dyDescent="0.2">
      <c r="B118" s="5" t="s">
        <v>1089</v>
      </c>
      <c r="C118" s="5" t="s">
        <v>850</v>
      </c>
      <c r="D118" s="5" t="s">
        <v>851</v>
      </c>
      <c r="E118" s="5" t="s">
        <v>851</v>
      </c>
      <c r="F118" s="5" t="s">
        <v>1079</v>
      </c>
      <c r="G118" s="5">
        <v>3032291024</v>
      </c>
      <c r="H118" s="5">
        <v>0</v>
      </c>
      <c r="I118" s="20">
        <v>505</v>
      </c>
      <c r="J118" s="6" t="s">
        <v>924</v>
      </c>
      <c r="K118" s="6" t="s">
        <v>452</v>
      </c>
      <c r="L118" s="6" t="s">
        <v>453</v>
      </c>
      <c r="M118" s="6" t="s">
        <v>453</v>
      </c>
      <c r="N118" s="6" t="s">
        <v>455</v>
      </c>
      <c r="O118" s="6">
        <v>3039608982</v>
      </c>
      <c r="P118" s="6"/>
      <c r="Q118" s="6" t="s">
        <v>1094</v>
      </c>
      <c r="R118" s="6" t="s">
        <v>160</v>
      </c>
      <c r="S118" s="6" t="s">
        <v>927</v>
      </c>
      <c r="T118" s="6">
        <v>80301</v>
      </c>
      <c r="U118" s="6"/>
      <c r="V118" s="6"/>
      <c r="W118" s="6"/>
      <c r="X118" s="6">
        <v>80301</v>
      </c>
      <c r="Y118" s="6" t="s">
        <v>361</v>
      </c>
    </row>
    <row r="119" spans="2:25" s="19" customFormat="1" x14ac:dyDescent="0.2">
      <c r="B119" s="5" t="s">
        <v>1089</v>
      </c>
      <c r="C119" s="5" t="s">
        <v>850</v>
      </c>
      <c r="D119" s="5" t="s">
        <v>851</v>
      </c>
      <c r="E119" s="5" t="s">
        <v>851</v>
      </c>
      <c r="F119" s="5" t="s">
        <v>1079</v>
      </c>
      <c r="G119" s="5">
        <v>3032291024</v>
      </c>
      <c r="H119" s="5">
        <v>0</v>
      </c>
      <c r="I119" s="20">
        <v>505</v>
      </c>
      <c r="J119" s="6" t="s">
        <v>924</v>
      </c>
      <c r="K119" s="6" t="s">
        <v>925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 t="s">
        <v>361</v>
      </c>
    </row>
    <row r="120" spans="2:25" s="19" customFormat="1" x14ac:dyDescent="0.2">
      <c r="B120" s="5" t="s">
        <v>1089</v>
      </c>
      <c r="C120" s="5" t="s">
        <v>850</v>
      </c>
      <c r="D120" s="5" t="s">
        <v>851</v>
      </c>
      <c r="E120" s="5" t="s">
        <v>851</v>
      </c>
      <c r="F120" s="5" t="s">
        <v>1079</v>
      </c>
      <c r="G120" s="5">
        <v>3032291024</v>
      </c>
      <c r="H120" s="5">
        <v>0</v>
      </c>
      <c r="I120" s="20">
        <v>802</v>
      </c>
      <c r="J120" s="6" t="s">
        <v>924</v>
      </c>
      <c r="K120" s="6" t="s">
        <v>12</v>
      </c>
      <c r="L120" s="6" t="s">
        <v>1095</v>
      </c>
      <c r="M120" s="6" t="s">
        <v>1095</v>
      </c>
      <c r="N120" s="6"/>
      <c r="O120" s="6">
        <v>7205503572</v>
      </c>
      <c r="P120" s="6">
        <v>7205503572</v>
      </c>
      <c r="Q120" s="6" t="s">
        <v>1096</v>
      </c>
      <c r="R120" s="6" t="s">
        <v>160</v>
      </c>
      <c r="S120" s="6" t="s">
        <v>927</v>
      </c>
      <c r="T120" s="6">
        <v>80301</v>
      </c>
      <c r="U120" s="6" t="s">
        <v>1096</v>
      </c>
      <c r="V120" s="6" t="s">
        <v>160</v>
      </c>
      <c r="W120" s="6" t="s">
        <v>927</v>
      </c>
      <c r="X120" s="6">
        <v>80301</v>
      </c>
      <c r="Y120" s="6" t="s">
        <v>361</v>
      </c>
    </row>
    <row r="121" spans="2:25" s="19" customFormat="1" x14ac:dyDescent="0.2">
      <c r="B121" s="5" t="s">
        <v>1089</v>
      </c>
      <c r="C121" s="5" t="s">
        <v>850</v>
      </c>
      <c r="D121" s="5" t="s">
        <v>851</v>
      </c>
      <c r="E121" s="5" t="s">
        <v>851</v>
      </c>
      <c r="F121" s="5" t="s">
        <v>1079</v>
      </c>
      <c r="G121" s="5">
        <v>3032291024</v>
      </c>
      <c r="H121" s="5">
        <v>0</v>
      </c>
      <c r="I121" s="20">
        <v>802</v>
      </c>
      <c r="J121" s="6" t="s">
        <v>924</v>
      </c>
      <c r="K121" s="6" t="s">
        <v>925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 t="s">
        <v>361</v>
      </c>
    </row>
    <row r="122" spans="2:25" s="19" customFormat="1" x14ac:dyDescent="0.2">
      <c r="B122" s="5" t="s">
        <v>1089</v>
      </c>
      <c r="C122" s="5" t="s">
        <v>850</v>
      </c>
      <c r="D122" s="5" t="s">
        <v>851</v>
      </c>
      <c r="E122" s="5" t="s">
        <v>851</v>
      </c>
      <c r="F122" s="5" t="s">
        <v>1079</v>
      </c>
      <c r="G122" s="5">
        <v>3032291024</v>
      </c>
      <c r="H122" s="5">
        <v>0</v>
      </c>
      <c r="I122" s="20">
        <v>809</v>
      </c>
      <c r="J122" s="6" t="s">
        <v>924</v>
      </c>
      <c r="K122" s="6" t="s">
        <v>723</v>
      </c>
      <c r="L122" s="6" t="s">
        <v>523</v>
      </c>
      <c r="M122" s="6" t="s">
        <v>523</v>
      </c>
      <c r="N122" s="6" t="s">
        <v>724</v>
      </c>
      <c r="O122" s="6">
        <v>3035017700</v>
      </c>
      <c r="P122" s="6">
        <v>3035191383</v>
      </c>
      <c r="Q122" s="6" t="s">
        <v>1097</v>
      </c>
      <c r="R122" s="6" t="s">
        <v>160</v>
      </c>
      <c r="S122" s="6" t="s">
        <v>927</v>
      </c>
      <c r="T122" s="6">
        <v>80301</v>
      </c>
      <c r="U122" s="6" t="s">
        <v>1097</v>
      </c>
      <c r="V122" s="6" t="s">
        <v>160</v>
      </c>
      <c r="W122" s="6" t="s">
        <v>927</v>
      </c>
      <c r="X122" s="6">
        <v>80301</v>
      </c>
      <c r="Y122" s="6" t="s">
        <v>361</v>
      </c>
    </row>
    <row r="123" spans="2:25" s="19" customFormat="1" x14ac:dyDescent="0.2">
      <c r="B123" s="5" t="s">
        <v>1089</v>
      </c>
      <c r="C123" s="5" t="s">
        <v>850</v>
      </c>
      <c r="D123" s="5" t="s">
        <v>851</v>
      </c>
      <c r="E123" s="5" t="s">
        <v>851</v>
      </c>
      <c r="F123" s="5" t="s">
        <v>1079</v>
      </c>
      <c r="G123" s="5">
        <v>3032291024</v>
      </c>
      <c r="H123" s="5">
        <v>0</v>
      </c>
      <c r="I123" s="20">
        <v>809</v>
      </c>
      <c r="J123" s="6" t="s">
        <v>924</v>
      </c>
      <c r="K123" s="6" t="s">
        <v>925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 t="s">
        <v>361</v>
      </c>
    </row>
    <row r="124" spans="2:25" s="19" customFormat="1" x14ac:dyDescent="0.2">
      <c r="B124" s="5" t="s">
        <v>1089</v>
      </c>
      <c r="C124" s="5" t="s">
        <v>850</v>
      </c>
      <c r="D124" s="5" t="s">
        <v>851</v>
      </c>
      <c r="E124" s="5" t="s">
        <v>851</v>
      </c>
      <c r="F124" s="5" t="s">
        <v>1079</v>
      </c>
      <c r="G124" s="5">
        <v>3032291024</v>
      </c>
      <c r="H124" s="5">
        <v>0</v>
      </c>
      <c r="I124" s="20">
        <v>819</v>
      </c>
      <c r="J124" s="6" t="s">
        <v>924</v>
      </c>
      <c r="K124" s="6" t="s">
        <v>542</v>
      </c>
      <c r="L124" s="6" t="s">
        <v>1098</v>
      </c>
      <c r="M124" s="6" t="s">
        <v>1098</v>
      </c>
      <c r="N124" s="6" t="s">
        <v>543</v>
      </c>
      <c r="O124" s="6">
        <v>3032501072</v>
      </c>
      <c r="P124" s="6">
        <v>3035304332</v>
      </c>
      <c r="Q124" s="6" t="s">
        <v>1099</v>
      </c>
      <c r="R124" s="6" t="s">
        <v>160</v>
      </c>
      <c r="S124" s="6" t="s">
        <v>927</v>
      </c>
      <c r="T124" s="6">
        <v>80301</v>
      </c>
      <c r="U124" s="6" t="s">
        <v>1099</v>
      </c>
      <c r="V124" s="6" t="s">
        <v>160</v>
      </c>
      <c r="W124" s="6" t="s">
        <v>927</v>
      </c>
      <c r="X124" s="6">
        <v>80301</v>
      </c>
      <c r="Y124" s="6" t="s">
        <v>361</v>
      </c>
    </row>
    <row r="125" spans="2:25" s="19" customFormat="1" x14ac:dyDescent="0.2">
      <c r="B125" s="5" t="s">
        <v>1089</v>
      </c>
      <c r="C125" s="5" t="s">
        <v>850</v>
      </c>
      <c r="D125" s="5" t="s">
        <v>851</v>
      </c>
      <c r="E125" s="5" t="s">
        <v>851</v>
      </c>
      <c r="F125" s="5" t="s">
        <v>1079</v>
      </c>
      <c r="G125" s="5">
        <v>3032291024</v>
      </c>
      <c r="H125" s="5">
        <v>0</v>
      </c>
      <c r="I125" s="20">
        <v>819</v>
      </c>
      <c r="J125" s="6" t="s">
        <v>924</v>
      </c>
      <c r="K125" s="6" t="s">
        <v>925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 t="s">
        <v>361</v>
      </c>
    </row>
    <row r="126" spans="2:25" s="19" customFormat="1" x14ac:dyDescent="0.2">
      <c r="B126" s="5" t="s">
        <v>1100</v>
      </c>
      <c r="C126" s="5" t="s">
        <v>640</v>
      </c>
      <c r="D126" s="5" t="s">
        <v>641</v>
      </c>
      <c r="E126" s="5" t="s">
        <v>641</v>
      </c>
      <c r="F126" s="5" t="s">
        <v>643</v>
      </c>
      <c r="G126" s="5">
        <v>2489331107</v>
      </c>
      <c r="H126" s="5">
        <v>0</v>
      </c>
      <c r="I126" s="20">
        <v>400</v>
      </c>
      <c r="J126" s="6" t="s">
        <v>924</v>
      </c>
      <c r="K126" s="6" t="s">
        <v>925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 t="s">
        <v>282</v>
      </c>
    </row>
    <row r="127" spans="2:25" s="19" customFormat="1" x14ac:dyDescent="0.2">
      <c r="B127" s="5" t="s">
        <v>1100</v>
      </c>
      <c r="C127" s="5" t="s">
        <v>640</v>
      </c>
      <c r="D127" s="5" t="s">
        <v>641</v>
      </c>
      <c r="E127" s="5" t="s">
        <v>641</v>
      </c>
      <c r="F127" s="5" t="s">
        <v>643</v>
      </c>
      <c r="G127" s="5">
        <v>2489331107</v>
      </c>
      <c r="H127" s="5">
        <v>0</v>
      </c>
      <c r="I127" s="20">
        <v>400</v>
      </c>
      <c r="J127" s="6" t="s">
        <v>924</v>
      </c>
      <c r="K127" s="6" t="s">
        <v>925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 t="s">
        <v>282</v>
      </c>
    </row>
    <row r="128" spans="2:25" s="19" customFormat="1" x14ac:dyDescent="0.2">
      <c r="B128" s="5" t="s">
        <v>1100</v>
      </c>
      <c r="C128" s="5" t="s">
        <v>640</v>
      </c>
      <c r="D128" s="5" t="s">
        <v>641</v>
      </c>
      <c r="E128" s="5" t="s">
        <v>641</v>
      </c>
      <c r="F128" s="5" t="s">
        <v>643</v>
      </c>
      <c r="G128" s="5">
        <v>2489331107</v>
      </c>
      <c r="H128" s="5">
        <v>0</v>
      </c>
      <c r="I128" s="20">
        <v>401</v>
      </c>
      <c r="J128" s="6" t="s">
        <v>924</v>
      </c>
      <c r="K128" s="6" t="s">
        <v>925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 t="s">
        <v>282</v>
      </c>
    </row>
    <row r="129" spans="2:25" s="19" customFormat="1" x14ac:dyDescent="0.2">
      <c r="B129" s="5" t="s">
        <v>1100</v>
      </c>
      <c r="C129" s="5" t="s">
        <v>640</v>
      </c>
      <c r="D129" s="5" t="s">
        <v>641</v>
      </c>
      <c r="E129" s="5" t="s">
        <v>641</v>
      </c>
      <c r="F129" s="5" t="s">
        <v>643</v>
      </c>
      <c r="G129" s="5">
        <v>2489331107</v>
      </c>
      <c r="H129" s="5">
        <v>0</v>
      </c>
      <c r="I129" s="20">
        <v>401</v>
      </c>
      <c r="J129" s="6" t="s">
        <v>924</v>
      </c>
      <c r="K129" s="6" t="s">
        <v>925</v>
      </c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 t="s">
        <v>282</v>
      </c>
    </row>
    <row r="130" spans="2:25" s="19" customFormat="1" x14ac:dyDescent="0.2">
      <c r="B130" s="5" t="s">
        <v>1100</v>
      </c>
      <c r="C130" s="5" t="s">
        <v>640</v>
      </c>
      <c r="D130" s="5" t="s">
        <v>641</v>
      </c>
      <c r="E130" s="5" t="s">
        <v>641</v>
      </c>
      <c r="F130" s="5" t="s">
        <v>643</v>
      </c>
      <c r="G130" s="5">
        <v>2489331107</v>
      </c>
      <c r="H130" s="5">
        <v>0</v>
      </c>
      <c r="I130" s="20">
        <v>402</v>
      </c>
      <c r="J130" s="6" t="s">
        <v>924</v>
      </c>
      <c r="K130" s="6" t="s">
        <v>925</v>
      </c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 t="s">
        <v>282</v>
      </c>
    </row>
    <row r="131" spans="2:25" s="19" customFormat="1" x14ac:dyDescent="0.2">
      <c r="B131" s="5" t="s">
        <v>1100</v>
      </c>
      <c r="C131" s="5" t="s">
        <v>640</v>
      </c>
      <c r="D131" s="5" t="s">
        <v>641</v>
      </c>
      <c r="E131" s="5" t="s">
        <v>641</v>
      </c>
      <c r="F131" s="5" t="s">
        <v>643</v>
      </c>
      <c r="G131" s="5">
        <v>2489331107</v>
      </c>
      <c r="H131" s="5">
        <v>0</v>
      </c>
      <c r="I131" s="20">
        <v>402</v>
      </c>
      <c r="J131" s="6" t="s">
        <v>924</v>
      </c>
      <c r="K131" s="6" t="s">
        <v>925</v>
      </c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 t="s">
        <v>282</v>
      </c>
    </row>
    <row r="132" spans="2:25" s="19" customFormat="1" x14ac:dyDescent="0.2">
      <c r="B132" s="5" t="s">
        <v>1100</v>
      </c>
      <c r="C132" s="5" t="s">
        <v>640</v>
      </c>
      <c r="D132" s="5" t="s">
        <v>641</v>
      </c>
      <c r="E132" s="5" t="s">
        <v>641</v>
      </c>
      <c r="F132" s="5" t="s">
        <v>643</v>
      </c>
      <c r="G132" s="5">
        <v>2489331107</v>
      </c>
      <c r="H132" s="5">
        <v>0</v>
      </c>
      <c r="I132" s="20">
        <v>403</v>
      </c>
      <c r="J132" s="6" t="s">
        <v>924</v>
      </c>
      <c r="K132" s="6" t="s">
        <v>57</v>
      </c>
      <c r="L132" s="6" t="s">
        <v>58</v>
      </c>
      <c r="M132" s="6" t="s">
        <v>58</v>
      </c>
      <c r="N132" s="6" t="s">
        <v>59</v>
      </c>
      <c r="O132" s="6">
        <v>3036356805</v>
      </c>
      <c r="P132" s="6"/>
      <c r="Q132" s="6" t="s">
        <v>1101</v>
      </c>
      <c r="R132" s="6" t="s">
        <v>172</v>
      </c>
      <c r="S132" s="6" t="s">
        <v>927</v>
      </c>
      <c r="T132" s="6">
        <v>80516</v>
      </c>
      <c r="U132" s="6" t="s">
        <v>1101</v>
      </c>
      <c r="V132" s="6" t="s">
        <v>172</v>
      </c>
      <c r="W132" s="6" t="s">
        <v>927</v>
      </c>
      <c r="X132" s="6">
        <v>80516</v>
      </c>
      <c r="Y132" s="6" t="s">
        <v>282</v>
      </c>
    </row>
    <row r="133" spans="2:25" s="19" customFormat="1" x14ac:dyDescent="0.2">
      <c r="B133" s="5" t="s">
        <v>1100</v>
      </c>
      <c r="C133" s="5" t="s">
        <v>640</v>
      </c>
      <c r="D133" s="5" t="s">
        <v>641</v>
      </c>
      <c r="E133" s="5" t="s">
        <v>641</v>
      </c>
      <c r="F133" s="5" t="s">
        <v>643</v>
      </c>
      <c r="G133" s="5">
        <v>2489331107</v>
      </c>
      <c r="H133" s="5">
        <v>0</v>
      </c>
      <c r="I133" s="20">
        <v>403</v>
      </c>
      <c r="J133" s="6" t="s">
        <v>924</v>
      </c>
      <c r="K133" s="6" t="s">
        <v>925</v>
      </c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 t="s">
        <v>282</v>
      </c>
    </row>
    <row r="134" spans="2:25" s="19" customFormat="1" x14ac:dyDescent="0.2">
      <c r="B134" s="5" t="s">
        <v>1100</v>
      </c>
      <c r="C134" s="5" t="s">
        <v>640</v>
      </c>
      <c r="D134" s="5" t="s">
        <v>641</v>
      </c>
      <c r="E134" s="5" t="s">
        <v>641</v>
      </c>
      <c r="F134" s="5" t="s">
        <v>643</v>
      </c>
      <c r="G134" s="5">
        <v>2489331107</v>
      </c>
      <c r="H134" s="5">
        <v>0</v>
      </c>
      <c r="I134" s="20">
        <v>404</v>
      </c>
      <c r="J134" s="6" t="s">
        <v>924</v>
      </c>
      <c r="K134" s="6" t="s">
        <v>1102</v>
      </c>
      <c r="L134" s="6" t="s">
        <v>1103</v>
      </c>
      <c r="M134" s="6" t="s">
        <v>1103</v>
      </c>
      <c r="N134" s="6" t="s">
        <v>1104</v>
      </c>
      <c r="O134" s="6">
        <v>3036382562</v>
      </c>
      <c r="P134" s="6"/>
      <c r="Q134" s="6" t="s">
        <v>1105</v>
      </c>
      <c r="R134" s="6" t="s">
        <v>172</v>
      </c>
      <c r="S134" s="6" t="s">
        <v>927</v>
      </c>
      <c r="T134" s="6">
        <v>80516</v>
      </c>
      <c r="U134" s="6" t="s">
        <v>1105</v>
      </c>
      <c r="V134" s="6" t="s">
        <v>172</v>
      </c>
      <c r="W134" s="6" t="s">
        <v>927</v>
      </c>
      <c r="X134" s="6">
        <v>80516</v>
      </c>
      <c r="Y134" s="6" t="s">
        <v>282</v>
      </c>
    </row>
    <row r="135" spans="2:25" s="19" customFormat="1" x14ac:dyDescent="0.2">
      <c r="B135" s="5" t="s">
        <v>1100</v>
      </c>
      <c r="C135" s="5" t="s">
        <v>640</v>
      </c>
      <c r="D135" s="5" t="s">
        <v>641</v>
      </c>
      <c r="E135" s="5" t="s">
        <v>641</v>
      </c>
      <c r="F135" s="5" t="s">
        <v>643</v>
      </c>
      <c r="G135" s="5">
        <v>2489331107</v>
      </c>
      <c r="H135" s="5">
        <v>0</v>
      </c>
      <c r="I135" s="20">
        <v>404</v>
      </c>
      <c r="J135" s="6" t="s">
        <v>924</v>
      </c>
      <c r="K135" s="6" t="s">
        <v>925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 t="s">
        <v>282</v>
      </c>
    </row>
    <row r="136" spans="2:25" s="19" customFormat="1" x14ac:dyDescent="0.2">
      <c r="B136" s="5" t="s">
        <v>1100</v>
      </c>
      <c r="C136" s="5" t="s">
        <v>640</v>
      </c>
      <c r="D136" s="5" t="s">
        <v>641</v>
      </c>
      <c r="E136" s="5" t="s">
        <v>641</v>
      </c>
      <c r="F136" s="5" t="s">
        <v>643</v>
      </c>
      <c r="G136" s="5">
        <v>2489331107</v>
      </c>
      <c r="H136" s="5">
        <v>0</v>
      </c>
      <c r="I136" s="20">
        <v>405</v>
      </c>
      <c r="J136" s="6" t="s">
        <v>924</v>
      </c>
      <c r="K136" s="6" t="s">
        <v>494</v>
      </c>
      <c r="L136" s="6" t="s">
        <v>500</v>
      </c>
      <c r="M136" s="6" t="s">
        <v>500</v>
      </c>
      <c r="N136" s="6" t="s">
        <v>1106</v>
      </c>
      <c r="O136" s="6">
        <v>3038289883</v>
      </c>
      <c r="P136" s="6"/>
      <c r="Q136" s="6" t="s">
        <v>1107</v>
      </c>
      <c r="R136" s="6" t="s">
        <v>177</v>
      </c>
      <c r="S136" s="6" t="s">
        <v>927</v>
      </c>
      <c r="T136" s="6">
        <v>80026</v>
      </c>
      <c r="U136" s="6" t="s">
        <v>1107</v>
      </c>
      <c r="V136" s="6" t="s">
        <v>177</v>
      </c>
      <c r="W136" s="6" t="s">
        <v>927</v>
      </c>
      <c r="X136" s="6">
        <v>80026</v>
      </c>
      <c r="Y136" s="6" t="s">
        <v>282</v>
      </c>
    </row>
    <row r="137" spans="2:25" s="19" customFormat="1" x14ac:dyDescent="0.2">
      <c r="B137" s="5" t="s">
        <v>1100</v>
      </c>
      <c r="C137" s="5" t="s">
        <v>640</v>
      </c>
      <c r="D137" s="5" t="s">
        <v>641</v>
      </c>
      <c r="E137" s="5" t="s">
        <v>641</v>
      </c>
      <c r="F137" s="5" t="s">
        <v>643</v>
      </c>
      <c r="G137" s="5">
        <v>2489331107</v>
      </c>
      <c r="H137" s="5">
        <v>0</v>
      </c>
      <c r="I137" s="20">
        <v>405</v>
      </c>
      <c r="J137" s="6" t="s">
        <v>924</v>
      </c>
      <c r="K137" s="6" t="s">
        <v>925</v>
      </c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 t="s">
        <v>282</v>
      </c>
    </row>
    <row r="138" spans="2:25" s="19" customFormat="1" x14ac:dyDescent="0.2">
      <c r="B138" s="5" t="s">
        <v>1100</v>
      </c>
      <c r="C138" s="5" t="s">
        <v>640</v>
      </c>
      <c r="D138" s="5" t="s">
        <v>641</v>
      </c>
      <c r="E138" s="5" t="s">
        <v>641</v>
      </c>
      <c r="F138" s="5" t="s">
        <v>643</v>
      </c>
      <c r="G138" s="5">
        <v>2489331107</v>
      </c>
      <c r="H138" s="5">
        <v>0</v>
      </c>
      <c r="I138" s="20">
        <v>406</v>
      </c>
      <c r="J138" s="6" t="s">
        <v>924</v>
      </c>
      <c r="K138" s="6" t="s">
        <v>640</v>
      </c>
      <c r="L138" s="6" t="s">
        <v>641</v>
      </c>
      <c r="M138" s="6" t="s">
        <v>641</v>
      </c>
      <c r="N138" s="6" t="s">
        <v>643</v>
      </c>
      <c r="O138" s="6">
        <v>2489331107</v>
      </c>
      <c r="P138" s="6"/>
      <c r="Q138" s="6" t="s">
        <v>1108</v>
      </c>
      <c r="R138" s="6" t="s">
        <v>172</v>
      </c>
      <c r="S138" s="6" t="s">
        <v>927</v>
      </c>
      <c r="T138" s="6">
        <v>80516</v>
      </c>
      <c r="U138" s="6" t="s">
        <v>1108</v>
      </c>
      <c r="V138" s="6" t="s">
        <v>172</v>
      </c>
      <c r="W138" s="6" t="s">
        <v>927</v>
      </c>
      <c r="X138" s="6">
        <v>80516</v>
      </c>
      <c r="Y138" s="6" t="s">
        <v>282</v>
      </c>
    </row>
    <row r="139" spans="2:25" s="19" customFormat="1" x14ac:dyDescent="0.2">
      <c r="B139" s="5" t="s">
        <v>1100</v>
      </c>
      <c r="C139" s="5" t="s">
        <v>640</v>
      </c>
      <c r="D139" s="5" t="s">
        <v>641</v>
      </c>
      <c r="E139" s="5" t="s">
        <v>641</v>
      </c>
      <c r="F139" s="5" t="s">
        <v>643</v>
      </c>
      <c r="G139" s="5">
        <v>2489331107</v>
      </c>
      <c r="H139" s="5">
        <v>0</v>
      </c>
      <c r="I139" s="20">
        <v>406</v>
      </c>
      <c r="J139" s="6" t="s">
        <v>924</v>
      </c>
      <c r="K139" s="6" t="s">
        <v>1109</v>
      </c>
      <c r="L139" s="6" t="s">
        <v>779</v>
      </c>
      <c r="M139" s="6" t="s">
        <v>779</v>
      </c>
      <c r="N139" s="6" t="s">
        <v>1110</v>
      </c>
      <c r="O139" s="6">
        <v>3035133434</v>
      </c>
      <c r="P139" s="6"/>
      <c r="Q139" s="6" t="s">
        <v>1111</v>
      </c>
      <c r="R139" s="6" t="s">
        <v>172</v>
      </c>
      <c r="S139" s="6" t="s">
        <v>927</v>
      </c>
      <c r="T139" s="6">
        <v>80516</v>
      </c>
      <c r="U139" s="6" t="s">
        <v>1111</v>
      </c>
      <c r="V139" s="6" t="s">
        <v>172</v>
      </c>
      <c r="W139" s="6" t="s">
        <v>927</v>
      </c>
      <c r="X139" s="6">
        <v>80516</v>
      </c>
      <c r="Y139" s="6" t="s">
        <v>282</v>
      </c>
    </row>
    <row r="140" spans="2:25" s="19" customFormat="1" x14ac:dyDescent="0.2">
      <c r="B140" s="5" t="s">
        <v>1100</v>
      </c>
      <c r="C140" s="5" t="s">
        <v>640</v>
      </c>
      <c r="D140" s="5" t="s">
        <v>641</v>
      </c>
      <c r="E140" s="5" t="s">
        <v>641</v>
      </c>
      <c r="F140" s="5" t="s">
        <v>643</v>
      </c>
      <c r="G140" s="5">
        <v>2489331107</v>
      </c>
      <c r="H140" s="5">
        <v>0</v>
      </c>
      <c r="I140" s="20">
        <v>407</v>
      </c>
      <c r="J140" s="6" t="s">
        <v>924</v>
      </c>
      <c r="K140" s="6" t="s">
        <v>676</v>
      </c>
      <c r="L140" s="6" t="s">
        <v>677</v>
      </c>
      <c r="M140" s="6" t="s">
        <v>677</v>
      </c>
      <c r="N140" s="6" t="s">
        <v>678</v>
      </c>
      <c r="O140" s="6">
        <v>3036016255</v>
      </c>
      <c r="P140" s="6"/>
      <c r="Q140" s="6" t="s">
        <v>1112</v>
      </c>
      <c r="R140" s="6" t="s">
        <v>180</v>
      </c>
      <c r="S140" s="6" t="s">
        <v>927</v>
      </c>
      <c r="T140" s="6">
        <v>80504</v>
      </c>
      <c r="U140" s="6" t="s">
        <v>1112</v>
      </c>
      <c r="V140" s="6" t="s">
        <v>180</v>
      </c>
      <c r="W140" s="6" t="s">
        <v>927</v>
      </c>
      <c r="X140" s="6">
        <v>80504</v>
      </c>
      <c r="Y140" s="6" t="s">
        <v>282</v>
      </c>
    </row>
    <row r="141" spans="2:25" s="19" customFormat="1" x14ac:dyDescent="0.2">
      <c r="B141" s="5" t="s">
        <v>1100</v>
      </c>
      <c r="C141" s="5" t="s">
        <v>640</v>
      </c>
      <c r="D141" s="5" t="s">
        <v>641</v>
      </c>
      <c r="E141" s="5" t="s">
        <v>641</v>
      </c>
      <c r="F141" s="5" t="s">
        <v>643</v>
      </c>
      <c r="G141" s="5">
        <v>2489331107</v>
      </c>
      <c r="H141" s="5">
        <v>0</v>
      </c>
      <c r="I141" s="20">
        <v>407</v>
      </c>
      <c r="J141" s="6" t="s">
        <v>924</v>
      </c>
      <c r="K141" s="6" t="s">
        <v>925</v>
      </c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 t="s">
        <v>282</v>
      </c>
    </row>
    <row r="142" spans="2:25" s="19" customFormat="1" x14ac:dyDescent="0.2">
      <c r="B142" s="5" t="s">
        <v>1100</v>
      </c>
      <c r="C142" s="5" t="s">
        <v>640</v>
      </c>
      <c r="D142" s="5" t="s">
        <v>641</v>
      </c>
      <c r="E142" s="5" t="s">
        <v>641</v>
      </c>
      <c r="F142" s="5" t="s">
        <v>643</v>
      </c>
      <c r="G142" s="5">
        <v>2489331107</v>
      </c>
      <c r="H142" s="5">
        <v>0</v>
      </c>
      <c r="I142" s="20">
        <v>408</v>
      </c>
      <c r="J142" s="6" t="s">
        <v>924</v>
      </c>
      <c r="K142" s="6" t="s">
        <v>925</v>
      </c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 t="s">
        <v>282</v>
      </c>
    </row>
    <row r="143" spans="2:25" s="19" customFormat="1" x14ac:dyDescent="0.2">
      <c r="B143" s="5" t="s">
        <v>1100</v>
      </c>
      <c r="C143" s="5" t="s">
        <v>640</v>
      </c>
      <c r="D143" s="5" t="s">
        <v>641</v>
      </c>
      <c r="E143" s="5" t="s">
        <v>641</v>
      </c>
      <c r="F143" s="5" t="s">
        <v>643</v>
      </c>
      <c r="G143" s="5">
        <v>2489331107</v>
      </c>
      <c r="H143" s="5">
        <v>0</v>
      </c>
      <c r="I143" s="20">
        <v>408</v>
      </c>
      <c r="J143" s="6" t="s">
        <v>924</v>
      </c>
      <c r="K143" s="6" t="s">
        <v>925</v>
      </c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 t="s">
        <v>282</v>
      </c>
    </row>
    <row r="144" spans="2:25" s="19" customFormat="1" x14ac:dyDescent="0.2">
      <c r="B144" s="5" t="s">
        <v>1113</v>
      </c>
      <c r="C144" s="5" t="s">
        <v>23</v>
      </c>
      <c r="D144" s="5" t="s">
        <v>24</v>
      </c>
      <c r="E144" s="5" t="s">
        <v>24</v>
      </c>
      <c r="F144" s="5" t="s">
        <v>25</v>
      </c>
      <c r="G144" s="5">
        <v>3039097201</v>
      </c>
      <c r="H144" s="5">
        <v>0</v>
      </c>
      <c r="I144" s="20">
        <v>506</v>
      </c>
      <c r="J144" s="6" t="s">
        <v>924</v>
      </c>
      <c r="K144" s="6" t="s">
        <v>1114</v>
      </c>
      <c r="L144" s="6" t="s">
        <v>1115</v>
      </c>
      <c r="M144" s="6" t="s">
        <v>1115</v>
      </c>
      <c r="N144" s="6" t="s">
        <v>1116</v>
      </c>
      <c r="O144" s="6">
        <v>7202365597</v>
      </c>
      <c r="P144" s="6"/>
      <c r="Q144" s="6" t="s">
        <v>1117</v>
      </c>
      <c r="R144" s="6" t="s">
        <v>160</v>
      </c>
      <c r="S144" s="6" t="s">
        <v>927</v>
      </c>
      <c r="T144" s="6">
        <v>80301</v>
      </c>
      <c r="U144" s="6" t="s">
        <v>1117</v>
      </c>
      <c r="V144" s="6" t="s">
        <v>160</v>
      </c>
      <c r="W144" s="6" t="s">
        <v>927</v>
      </c>
      <c r="X144" s="6">
        <v>80301</v>
      </c>
      <c r="Y144" s="6" t="s">
        <v>353</v>
      </c>
    </row>
    <row r="145" spans="2:25" s="19" customFormat="1" x14ac:dyDescent="0.2">
      <c r="B145" s="5" t="s">
        <v>1113</v>
      </c>
      <c r="C145" s="5" t="s">
        <v>23</v>
      </c>
      <c r="D145" s="5" t="s">
        <v>24</v>
      </c>
      <c r="E145" s="5" t="s">
        <v>24</v>
      </c>
      <c r="F145" s="5" t="s">
        <v>25</v>
      </c>
      <c r="G145" s="5">
        <v>3039097201</v>
      </c>
      <c r="H145" s="5">
        <v>0</v>
      </c>
      <c r="I145" s="20">
        <v>506</v>
      </c>
      <c r="J145" s="6" t="s">
        <v>924</v>
      </c>
      <c r="K145" s="6" t="s">
        <v>925</v>
      </c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 t="s">
        <v>353</v>
      </c>
    </row>
    <row r="146" spans="2:25" s="19" customFormat="1" x14ac:dyDescent="0.2">
      <c r="B146" s="5" t="s">
        <v>1113</v>
      </c>
      <c r="C146" s="5" t="s">
        <v>23</v>
      </c>
      <c r="D146" s="5" t="s">
        <v>24</v>
      </c>
      <c r="E146" s="5" t="s">
        <v>24</v>
      </c>
      <c r="F146" s="5" t="s">
        <v>25</v>
      </c>
      <c r="G146" s="5">
        <v>3039097201</v>
      </c>
      <c r="H146" s="5">
        <v>0</v>
      </c>
      <c r="I146" s="20">
        <v>507</v>
      </c>
      <c r="J146" s="6" t="s">
        <v>924</v>
      </c>
      <c r="K146" s="6" t="s">
        <v>1118</v>
      </c>
      <c r="L146" s="6" t="s">
        <v>1119</v>
      </c>
      <c r="M146" s="6" t="s">
        <v>1119</v>
      </c>
      <c r="N146" s="6" t="s">
        <v>1120</v>
      </c>
      <c r="O146" s="6">
        <v>3038176737</v>
      </c>
      <c r="P146" s="6"/>
      <c r="Q146" s="6" t="s">
        <v>1121</v>
      </c>
      <c r="R146" s="6" t="s">
        <v>160</v>
      </c>
      <c r="S146" s="6" t="s">
        <v>927</v>
      </c>
      <c r="T146" s="6">
        <v>80301</v>
      </c>
      <c r="U146" s="6" t="s">
        <v>1121</v>
      </c>
      <c r="V146" s="6" t="s">
        <v>160</v>
      </c>
      <c r="W146" s="6" t="s">
        <v>927</v>
      </c>
      <c r="X146" s="6">
        <v>80301</v>
      </c>
      <c r="Y146" s="6" t="s">
        <v>353</v>
      </c>
    </row>
    <row r="147" spans="2:25" s="19" customFormat="1" x14ac:dyDescent="0.2">
      <c r="B147" s="5" t="s">
        <v>1113</v>
      </c>
      <c r="C147" s="5" t="s">
        <v>23</v>
      </c>
      <c r="D147" s="5" t="s">
        <v>24</v>
      </c>
      <c r="E147" s="5" t="s">
        <v>24</v>
      </c>
      <c r="F147" s="5" t="s">
        <v>25</v>
      </c>
      <c r="G147" s="5">
        <v>3039097201</v>
      </c>
      <c r="H147" s="5">
        <v>0</v>
      </c>
      <c r="I147" s="20">
        <v>507</v>
      </c>
      <c r="J147" s="6" t="s">
        <v>924</v>
      </c>
      <c r="K147" s="6" t="s">
        <v>925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 t="s">
        <v>353</v>
      </c>
    </row>
    <row r="148" spans="2:25" s="19" customFormat="1" x14ac:dyDescent="0.2">
      <c r="B148" s="5" t="s">
        <v>1113</v>
      </c>
      <c r="C148" s="5" t="s">
        <v>23</v>
      </c>
      <c r="D148" s="5" t="s">
        <v>24</v>
      </c>
      <c r="E148" s="5" t="s">
        <v>24</v>
      </c>
      <c r="F148" s="5" t="s">
        <v>25</v>
      </c>
      <c r="G148" s="5">
        <v>3039097201</v>
      </c>
      <c r="H148" s="5">
        <v>0</v>
      </c>
      <c r="I148" s="20">
        <v>508</v>
      </c>
      <c r="J148" s="6" t="s">
        <v>924</v>
      </c>
      <c r="K148" s="6" t="s">
        <v>1122</v>
      </c>
      <c r="L148" s="6" t="s">
        <v>1123</v>
      </c>
      <c r="M148" s="6" t="s">
        <v>1123</v>
      </c>
      <c r="N148" s="6" t="s">
        <v>1124</v>
      </c>
      <c r="O148" s="6">
        <v>3037755482</v>
      </c>
      <c r="P148" s="6"/>
      <c r="Q148" s="6" t="s">
        <v>1125</v>
      </c>
      <c r="R148" s="6" t="s">
        <v>351</v>
      </c>
      <c r="S148" s="6" t="s">
        <v>927</v>
      </c>
      <c r="T148" s="6">
        <v>80503</v>
      </c>
      <c r="U148" s="6" t="s">
        <v>1125</v>
      </c>
      <c r="V148" s="6" t="s">
        <v>351</v>
      </c>
      <c r="W148" s="6" t="s">
        <v>927</v>
      </c>
      <c r="X148" s="6">
        <v>80503</v>
      </c>
      <c r="Y148" s="6" t="s">
        <v>353</v>
      </c>
    </row>
    <row r="149" spans="2:25" s="19" customFormat="1" x14ac:dyDescent="0.2">
      <c r="B149" s="5" t="s">
        <v>1113</v>
      </c>
      <c r="C149" s="5" t="s">
        <v>23</v>
      </c>
      <c r="D149" s="5" t="s">
        <v>24</v>
      </c>
      <c r="E149" s="5" t="s">
        <v>24</v>
      </c>
      <c r="F149" s="5" t="s">
        <v>25</v>
      </c>
      <c r="G149" s="5">
        <v>3039097201</v>
      </c>
      <c r="H149" s="5">
        <v>0</v>
      </c>
      <c r="I149" s="20">
        <v>508</v>
      </c>
      <c r="J149" s="6" t="s">
        <v>924</v>
      </c>
      <c r="K149" s="6" t="s">
        <v>631</v>
      </c>
      <c r="L149" s="6" t="s">
        <v>26</v>
      </c>
      <c r="M149" s="6" t="s">
        <v>26</v>
      </c>
      <c r="N149" s="6" t="s">
        <v>1126</v>
      </c>
      <c r="O149" s="6">
        <v>3035300507</v>
      </c>
      <c r="P149" s="6">
        <v>3033599236</v>
      </c>
      <c r="Q149" s="6" t="s">
        <v>1127</v>
      </c>
      <c r="R149" s="6" t="s">
        <v>180</v>
      </c>
      <c r="S149" s="6" t="s">
        <v>927</v>
      </c>
      <c r="T149" s="6">
        <v>80503</v>
      </c>
      <c r="U149" s="6" t="s">
        <v>1127</v>
      </c>
      <c r="V149" s="6" t="s">
        <v>180</v>
      </c>
      <c r="W149" s="6" t="s">
        <v>927</v>
      </c>
      <c r="X149" s="6">
        <v>80503</v>
      </c>
      <c r="Y149" s="6" t="s">
        <v>353</v>
      </c>
    </row>
    <row r="150" spans="2:25" s="19" customFormat="1" x14ac:dyDescent="0.2">
      <c r="B150" s="5" t="s">
        <v>1113</v>
      </c>
      <c r="C150" s="5" t="s">
        <v>23</v>
      </c>
      <c r="D150" s="5" t="s">
        <v>24</v>
      </c>
      <c r="E150" s="5" t="s">
        <v>24</v>
      </c>
      <c r="F150" s="5" t="s">
        <v>25</v>
      </c>
      <c r="G150" s="5">
        <v>3039097201</v>
      </c>
      <c r="H150" s="5">
        <v>0</v>
      </c>
      <c r="I150" s="20">
        <v>509</v>
      </c>
      <c r="J150" s="6" t="s">
        <v>924</v>
      </c>
      <c r="K150" s="6" t="s">
        <v>439</v>
      </c>
      <c r="L150" s="6" t="s">
        <v>440</v>
      </c>
      <c r="M150" s="6" t="s">
        <v>440</v>
      </c>
      <c r="N150" s="6" t="s">
        <v>441</v>
      </c>
      <c r="O150" s="6">
        <v>3034786612</v>
      </c>
      <c r="P150" s="6"/>
      <c r="Q150" s="6" t="s">
        <v>1128</v>
      </c>
      <c r="R150" s="6" t="s">
        <v>351</v>
      </c>
      <c r="S150" s="6" t="s">
        <v>927</v>
      </c>
      <c r="T150" s="6">
        <v>80503</v>
      </c>
      <c r="U150" s="6" t="s">
        <v>1128</v>
      </c>
      <c r="V150" s="6" t="s">
        <v>351</v>
      </c>
      <c r="W150" s="6" t="s">
        <v>927</v>
      </c>
      <c r="X150" s="6">
        <v>80503</v>
      </c>
      <c r="Y150" s="6" t="s">
        <v>353</v>
      </c>
    </row>
    <row r="151" spans="2:25" s="19" customFormat="1" x14ac:dyDescent="0.2">
      <c r="B151" s="5" t="s">
        <v>1113</v>
      </c>
      <c r="C151" s="5" t="s">
        <v>23</v>
      </c>
      <c r="D151" s="5" t="s">
        <v>24</v>
      </c>
      <c r="E151" s="5" t="s">
        <v>24</v>
      </c>
      <c r="F151" s="5" t="s">
        <v>25</v>
      </c>
      <c r="G151" s="5">
        <v>3039097201</v>
      </c>
      <c r="H151" s="5">
        <v>0</v>
      </c>
      <c r="I151" s="20">
        <v>509</v>
      </c>
      <c r="J151" s="6" t="s">
        <v>924</v>
      </c>
      <c r="K151" s="6" t="s">
        <v>472</v>
      </c>
      <c r="L151" s="6" t="s">
        <v>469</v>
      </c>
      <c r="M151" s="6" t="s">
        <v>473</v>
      </c>
      <c r="N151" s="6" t="s">
        <v>474</v>
      </c>
      <c r="O151" s="6">
        <v>7192515246</v>
      </c>
      <c r="P151" s="6"/>
      <c r="Q151" s="6" t="s">
        <v>1129</v>
      </c>
      <c r="R151" s="6" t="s">
        <v>351</v>
      </c>
      <c r="S151" s="6" t="s">
        <v>927</v>
      </c>
      <c r="T151" s="6">
        <v>80503</v>
      </c>
      <c r="U151" s="6" t="s">
        <v>1129</v>
      </c>
      <c r="V151" s="6" t="s">
        <v>351</v>
      </c>
      <c r="W151" s="6" t="s">
        <v>927</v>
      </c>
      <c r="X151" s="6">
        <v>80503</v>
      </c>
      <c r="Y151" s="6" t="s">
        <v>353</v>
      </c>
    </row>
    <row r="152" spans="2:25" s="19" customFormat="1" x14ac:dyDescent="0.2">
      <c r="B152" s="5" t="s">
        <v>1113</v>
      </c>
      <c r="C152" s="5" t="s">
        <v>23</v>
      </c>
      <c r="D152" s="5" t="s">
        <v>24</v>
      </c>
      <c r="E152" s="5" t="s">
        <v>24</v>
      </c>
      <c r="F152" s="5" t="s">
        <v>25</v>
      </c>
      <c r="G152" s="5">
        <v>3039097201</v>
      </c>
      <c r="H152" s="5">
        <v>0</v>
      </c>
      <c r="I152" s="20">
        <v>510</v>
      </c>
      <c r="J152" s="6" t="s">
        <v>924</v>
      </c>
      <c r="K152" s="6" t="s">
        <v>778</v>
      </c>
      <c r="L152" s="6" t="s">
        <v>779</v>
      </c>
      <c r="M152" s="6" t="s">
        <v>779</v>
      </c>
      <c r="N152" s="6" t="s">
        <v>780</v>
      </c>
      <c r="O152" s="6">
        <v>3036521199</v>
      </c>
      <c r="P152" s="6"/>
      <c r="Q152" s="6" t="s">
        <v>1130</v>
      </c>
      <c r="R152" s="6" t="s">
        <v>351</v>
      </c>
      <c r="S152" s="6" t="s">
        <v>927</v>
      </c>
      <c r="T152" s="6">
        <v>80503</v>
      </c>
      <c r="U152" s="6" t="s">
        <v>1130</v>
      </c>
      <c r="V152" s="6" t="s">
        <v>351</v>
      </c>
      <c r="W152" s="6" t="s">
        <v>927</v>
      </c>
      <c r="X152" s="6">
        <v>80503</v>
      </c>
      <c r="Y152" s="6" t="s">
        <v>353</v>
      </c>
    </row>
    <row r="153" spans="2:25" s="19" customFormat="1" x14ac:dyDescent="0.2">
      <c r="B153" s="5" t="s">
        <v>1113</v>
      </c>
      <c r="C153" s="5" t="s">
        <v>23</v>
      </c>
      <c r="D153" s="5" t="s">
        <v>24</v>
      </c>
      <c r="E153" s="5" t="s">
        <v>24</v>
      </c>
      <c r="F153" s="5" t="s">
        <v>25</v>
      </c>
      <c r="G153" s="5">
        <v>3039097201</v>
      </c>
      <c r="H153" s="5">
        <v>0</v>
      </c>
      <c r="I153" s="20">
        <v>510</v>
      </c>
      <c r="J153" s="6" t="s">
        <v>924</v>
      </c>
      <c r="K153" s="6" t="s">
        <v>925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 t="s">
        <v>353</v>
      </c>
    </row>
    <row r="154" spans="2:25" s="19" customFormat="1" x14ac:dyDescent="0.2">
      <c r="B154" s="5" t="s">
        <v>1113</v>
      </c>
      <c r="C154" s="5" t="s">
        <v>23</v>
      </c>
      <c r="D154" s="5" t="s">
        <v>24</v>
      </c>
      <c r="E154" s="5" t="s">
        <v>24</v>
      </c>
      <c r="F154" s="5" t="s">
        <v>25</v>
      </c>
      <c r="G154" s="5">
        <v>3039097201</v>
      </c>
      <c r="H154" s="5">
        <v>0</v>
      </c>
      <c r="I154" s="20">
        <v>800</v>
      </c>
      <c r="J154" s="6" t="s">
        <v>924</v>
      </c>
      <c r="K154" s="6" t="s">
        <v>1131</v>
      </c>
      <c r="L154" s="6" t="s">
        <v>1132</v>
      </c>
      <c r="M154" s="6" t="s">
        <v>1132</v>
      </c>
      <c r="N154" s="6" t="s">
        <v>1133</v>
      </c>
      <c r="O154" s="6">
        <v>3038753035</v>
      </c>
      <c r="P154" s="6"/>
      <c r="Q154" s="6" t="s">
        <v>1134</v>
      </c>
      <c r="R154" s="6" t="s">
        <v>160</v>
      </c>
      <c r="S154" s="6" t="s">
        <v>927</v>
      </c>
      <c r="T154" s="6">
        <v>80301</v>
      </c>
      <c r="U154" s="6" t="s">
        <v>1134</v>
      </c>
      <c r="V154" s="6" t="s">
        <v>160</v>
      </c>
      <c r="W154" s="6" t="s">
        <v>927</v>
      </c>
      <c r="X154" s="6">
        <v>80301</v>
      </c>
      <c r="Y154" s="6" t="s">
        <v>353</v>
      </c>
    </row>
    <row r="155" spans="2:25" s="19" customFormat="1" x14ac:dyDescent="0.2">
      <c r="B155" s="5" t="s">
        <v>1113</v>
      </c>
      <c r="C155" s="5" t="s">
        <v>23</v>
      </c>
      <c r="D155" s="5" t="s">
        <v>24</v>
      </c>
      <c r="E155" s="5" t="s">
        <v>24</v>
      </c>
      <c r="F155" s="5" t="s">
        <v>25</v>
      </c>
      <c r="G155" s="5">
        <v>3039097201</v>
      </c>
      <c r="H155" s="5">
        <v>0</v>
      </c>
      <c r="I155" s="20">
        <v>800</v>
      </c>
      <c r="J155" s="6" t="s">
        <v>924</v>
      </c>
      <c r="K155" s="6" t="s">
        <v>925</v>
      </c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 t="s">
        <v>353</v>
      </c>
    </row>
    <row r="156" spans="2:25" s="19" customFormat="1" x14ac:dyDescent="0.2">
      <c r="B156" s="5" t="s">
        <v>1113</v>
      </c>
      <c r="C156" s="5" t="s">
        <v>23</v>
      </c>
      <c r="D156" s="5" t="s">
        <v>24</v>
      </c>
      <c r="E156" s="5" t="s">
        <v>24</v>
      </c>
      <c r="F156" s="5" t="s">
        <v>25</v>
      </c>
      <c r="G156" s="5">
        <v>3039097201</v>
      </c>
      <c r="H156" s="5">
        <v>0</v>
      </c>
      <c r="I156" s="20">
        <v>801</v>
      </c>
      <c r="J156" s="6" t="s">
        <v>924</v>
      </c>
      <c r="K156" s="6" t="s">
        <v>807</v>
      </c>
      <c r="L156" s="6" t="s">
        <v>446</v>
      </c>
      <c r="M156" s="6" t="s">
        <v>446</v>
      </c>
      <c r="N156" s="6" t="s">
        <v>1135</v>
      </c>
      <c r="O156" s="6">
        <v>3035810783</v>
      </c>
      <c r="P156" s="6"/>
      <c r="Q156" s="6" t="s">
        <v>1136</v>
      </c>
      <c r="R156" s="6" t="s">
        <v>160</v>
      </c>
      <c r="S156" s="6" t="s">
        <v>927</v>
      </c>
      <c r="T156" s="6">
        <v>80301</v>
      </c>
      <c r="U156" s="6" t="s">
        <v>1136</v>
      </c>
      <c r="V156" s="6" t="s">
        <v>160</v>
      </c>
      <c r="W156" s="6" t="s">
        <v>927</v>
      </c>
      <c r="X156" s="6">
        <v>80301</v>
      </c>
      <c r="Y156" s="6" t="s">
        <v>353</v>
      </c>
    </row>
    <row r="157" spans="2:25" s="19" customFormat="1" x14ac:dyDescent="0.2">
      <c r="B157" s="5" t="s">
        <v>1113</v>
      </c>
      <c r="C157" s="5" t="s">
        <v>23</v>
      </c>
      <c r="D157" s="5" t="s">
        <v>24</v>
      </c>
      <c r="E157" s="5" t="s">
        <v>24</v>
      </c>
      <c r="F157" s="5" t="s">
        <v>25</v>
      </c>
      <c r="G157" s="5">
        <v>3039097201</v>
      </c>
      <c r="H157" s="5">
        <v>0</v>
      </c>
      <c r="I157" s="20">
        <v>801</v>
      </c>
      <c r="J157" s="6" t="s">
        <v>924</v>
      </c>
      <c r="K157" s="6" t="s">
        <v>925</v>
      </c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 t="s">
        <v>353</v>
      </c>
    </row>
    <row r="158" spans="2:25" s="19" customFormat="1" x14ac:dyDescent="0.2">
      <c r="B158" s="5" t="s">
        <v>1137</v>
      </c>
      <c r="C158" s="5" t="s">
        <v>27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20">
        <v>300</v>
      </c>
      <c r="J158" s="6" t="s">
        <v>924</v>
      </c>
      <c r="K158" s="6" t="s">
        <v>925</v>
      </c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 t="s">
        <v>304</v>
      </c>
    </row>
    <row r="159" spans="2:25" s="19" customFormat="1" x14ac:dyDescent="0.2">
      <c r="B159" s="5" t="s">
        <v>1137</v>
      </c>
      <c r="C159" s="5" t="s">
        <v>27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20">
        <v>300</v>
      </c>
      <c r="J159" s="6" t="s">
        <v>924</v>
      </c>
      <c r="K159" s="6" t="s">
        <v>925</v>
      </c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 t="s">
        <v>304</v>
      </c>
    </row>
    <row r="160" spans="2:25" s="19" customFormat="1" x14ac:dyDescent="0.2">
      <c r="B160" s="5" t="s">
        <v>1137</v>
      </c>
      <c r="C160" s="5" t="s">
        <v>27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20">
        <v>301</v>
      </c>
      <c r="J160" s="6" t="s">
        <v>924</v>
      </c>
      <c r="K160" s="6" t="s">
        <v>925</v>
      </c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 t="s">
        <v>304</v>
      </c>
    </row>
    <row r="161" spans="2:25" s="19" customFormat="1" x14ac:dyDescent="0.2">
      <c r="B161" s="5" t="s">
        <v>1137</v>
      </c>
      <c r="C161" s="5" t="s">
        <v>27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20">
        <v>301</v>
      </c>
      <c r="J161" s="6" t="s">
        <v>924</v>
      </c>
      <c r="K161" s="6" t="s">
        <v>925</v>
      </c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 t="s">
        <v>304</v>
      </c>
    </row>
    <row r="162" spans="2:25" s="19" customFormat="1" x14ac:dyDescent="0.2">
      <c r="B162" s="5" t="s">
        <v>1137</v>
      </c>
      <c r="C162" s="5" t="s">
        <v>27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20">
        <v>302</v>
      </c>
      <c r="J162" s="6" t="s">
        <v>924</v>
      </c>
      <c r="K162" s="6" t="s">
        <v>566</v>
      </c>
      <c r="L162" s="6" t="s">
        <v>567</v>
      </c>
      <c r="M162" s="6" t="s">
        <v>567</v>
      </c>
      <c r="N162" s="6" t="s">
        <v>569</v>
      </c>
      <c r="O162" s="6">
        <v>3038620789</v>
      </c>
      <c r="P162" s="6"/>
      <c r="Q162" s="6" t="s">
        <v>1138</v>
      </c>
      <c r="R162" s="6" t="s">
        <v>177</v>
      </c>
      <c r="S162" s="6" t="s">
        <v>927</v>
      </c>
      <c r="T162" s="6">
        <v>80026</v>
      </c>
      <c r="U162" s="6" t="s">
        <v>1138</v>
      </c>
      <c r="V162" s="6" t="s">
        <v>177</v>
      </c>
      <c r="W162" s="6" t="s">
        <v>927</v>
      </c>
      <c r="X162" s="6">
        <v>80026</v>
      </c>
      <c r="Y162" s="6" t="s">
        <v>304</v>
      </c>
    </row>
    <row r="163" spans="2:25" s="19" customFormat="1" x14ac:dyDescent="0.2">
      <c r="B163" s="5" t="s">
        <v>1137</v>
      </c>
      <c r="C163" s="5" t="s">
        <v>27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20">
        <v>302</v>
      </c>
      <c r="J163" s="6" t="s">
        <v>924</v>
      </c>
      <c r="K163" s="6" t="s">
        <v>588</v>
      </c>
      <c r="L163" s="6" t="s">
        <v>589</v>
      </c>
      <c r="M163" s="6" t="s">
        <v>589</v>
      </c>
      <c r="N163" s="6" t="s">
        <v>1139</v>
      </c>
      <c r="O163" s="6">
        <v>3038803570</v>
      </c>
      <c r="P163" s="6"/>
      <c r="Q163" s="6" t="s">
        <v>1140</v>
      </c>
      <c r="R163" s="6" t="s">
        <v>177</v>
      </c>
      <c r="S163" s="6" t="s">
        <v>927</v>
      </c>
      <c r="T163" s="6">
        <v>80026</v>
      </c>
      <c r="U163" s="6" t="s">
        <v>1140</v>
      </c>
      <c r="V163" s="6" t="s">
        <v>177</v>
      </c>
      <c r="W163" s="6" t="s">
        <v>927</v>
      </c>
      <c r="X163" s="6">
        <v>80026</v>
      </c>
      <c r="Y163" s="6" t="s">
        <v>304</v>
      </c>
    </row>
    <row r="164" spans="2:25" s="19" customFormat="1" x14ac:dyDescent="0.2">
      <c r="B164" s="5" t="s">
        <v>1137</v>
      </c>
      <c r="C164" s="5" t="s">
        <v>27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20">
        <v>303</v>
      </c>
      <c r="J164" s="6" t="s">
        <v>924</v>
      </c>
      <c r="K164" s="6" t="s">
        <v>925</v>
      </c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 t="s">
        <v>304</v>
      </c>
    </row>
    <row r="165" spans="2:25" s="19" customFormat="1" x14ac:dyDescent="0.2">
      <c r="B165" s="5" t="s">
        <v>1137</v>
      </c>
      <c r="C165" s="5" t="s">
        <v>27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20">
        <v>303</v>
      </c>
      <c r="J165" s="6" t="s">
        <v>924</v>
      </c>
      <c r="K165" s="6" t="s">
        <v>925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 t="s">
        <v>304</v>
      </c>
    </row>
    <row r="166" spans="2:25" s="19" customFormat="1" x14ac:dyDescent="0.2">
      <c r="B166" s="5" t="s">
        <v>1137</v>
      </c>
      <c r="C166" s="5" t="s">
        <v>27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20">
        <v>304</v>
      </c>
      <c r="J166" s="6" t="s">
        <v>924</v>
      </c>
      <c r="K166" s="6" t="s">
        <v>5</v>
      </c>
      <c r="L166" s="6" t="s">
        <v>6</v>
      </c>
      <c r="M166" s="6" t="s">
        <v>6</v>
      </c>
      <c r="N166" s="6" t="s">
        <v>7</v>
      </c>
      <c r="O166" s="6">
        <v>3039479447</v>
      </c>
      <c r="P166" s="6">
        <v>3036656797</v>
      </c>
      <c r="Q166" s="6" t="s">
        <v>1141</v>
      </c>
      <c r="R166" s="6" t="s">
        <v>177</v>
      </c>
      <c r="S166" s="6" t="s">
        <v>927</v>
      </c>
      <c r="T166" s="6">
        <v>80026</v>
      </c>
      <c r="U166" s="6" t="s">
        <v>1141</v>
      </c>
      <c r="V166" s="6" t="s">
        <v>177</v>
      </c>
      <c r="W166" s="6" t="s">
        <v>927</v>
      </c>
      <c r="X166" s="6">
        <v>80026</v>
      </c>
      <c r="Y166" s="6" t="s">
        <v>304</v>
      </c>
    </row>
    <row r="167" spans="2:25" s="19" customFormat="1" x14ac:dyDescent="0.2">
      <c r="B167" s="5" t="s">
        <v>1137</v>
      </c>
      <c r="C167" s="5" t="s">
        <v>27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20">
        <v>304</v>
      </c>
      <c r="J167" s="6" t="s">
        <v>924</v>
      </c>
      <c r="K167" s="6" t="s">
        <v>1142</v>
      </c>
      <c r="L167" s="6" t="s">
        <v>1143</v>
      </c>
      <c r="M167" s="6" t="s">
        <v>1143</v>
      </c>
      <c r="N167" s="6" t="s">
        <v>1144</v>
      </c>
      <c r="O167" s="6">
        <v>3039090014</v>
      </c>
      <c r="P167" s="6"/>
      <c r="Q167" s="6" t="s">
        <v>1141</v>
      </c>
      <c r="R167" s="6" t="s">
        <v>177</v>
      </c>
      <c r="S167" s="6" t="s">
        <v>927</v>
      </c>
      <c r="T167" s="6">
        <v>80026</v>
      </c>
      <c r="U167" s="6" t="s">
        <v>1141</v>
      </c>
      <c r="V167" s="6" t="s">
        <v>177</v>
      </c>
      <c r="W167" s="6" t="s">
        <v>927</v>
      </c>
      <c r="X167" s="6">
        <v>80026</v>
      </c>
      <c r="Y167" s="6" t="s">
        <v>304</v>
      </c>
    </row>
    <row r="168" spans="2:25" s="19" customFormat="1" x14ac:dyDescent="0.2">
      <c r="B168" s="5" t="s">
        <v>1137</v>
      </c>
      <c r="C168" s="5" t="s">
        <v>27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20">
        <v>305</v>
      </c>
      <c r="J168" s="6" t="s">
        <v>924</v>
      </c>
      <c r="K168" s="6" t="s">
        <v>1145</v>
      </c>
      <c r="L168" s="6" t="s">
        <v>1146</v>
      </c>
      <c r="M168" s="6" t="s">
        <v>1146</v>
      </c>
      <c r="N168" s="6" t="s">
        <v>1147</v>
      </c>
      <c r="O168" s="6">
        <v>3035893013</v>
      </c>
      <c r="P168" s="6"/>
      <c r="Q168" s="6" t="s">
        <v>1148</v>
      </c>
      <c r="R168" s="6" t="s">
        <v>177</v>
      </c>
      <c r="S168" s="6" t="s">
        <v>927</v>
      </c>
      <c r="T168" s="6">
        <v>80026</v>
      </c>
      <c r="U168" s="6" t="s">
        <v>1148</v>
      </c>
      <c r="V168" s="6" t="s">
        <v>177</v>
      </c>
      <c r="W168" s="6" t="s">
        <v>927</v>
      </c>
      <c r="X168" s="6">
        <v>80026</v>
      </c>
      <c r="Y168" s="6" t="s">
        <v>304</v>
      </c>
    </row>
    <row r="169" spans="2:25" s="19" customFormat="1" x14ac:dyDescent="0.2">
      <c r="B169" s="5" t="s">
        <v>1137</v>
      </c>
      <c r="C169" s="5" t="s">
        <v>27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20">
        <v>305</v>
      </c>
      <c r="J169" s="6" t="s">
        <v>924</v>
      </c>
      <c r="K169" s="6" t="s">
        <v>1149</v>
      </c>
      <c r="L169" s="6" t="s">
        <v>733</v>
      </c>
      <c r="M169" s="6" t="s">
        <v>733</v>
      </c>
      <c r="N169" s="6" t="s">
        <v>1150</v>
      </c>
      <c r="O169" s="6">
        <v>8023694140</v>
      </c>
      <c r="P169" s="6"/>
      <c r="Q169" s="6" t="s">
        <v>1151</v>
      </c>
      <c r="R169" s="6" t="s">
        <v>177</v>
      </c>
      <c r="S169" s="6" t="s">
        <v>927</v>
      </c>
      <c r="T169" s="6">
        <v>80026</v>
      </c>
      <c r="U169" s="6" t="s">
        <v>1151</v>
      </c>
      <c r="V169" s="6" t="s">
        <v>177</v>
      </c>
      <c r="W169" s="6" t="s">
        <v>927</v>
      </c>
      <c r="X169" s="6">
        <v>80026</v>
      </c>
      <c r="Y169" s="6" t="s">
        <v>304</v>
      </c>
    </row>
    <row r="170" spans="2:25" s="19" customFormat="1" x14ac:dyDescent="0.2">
      <c r="B170" s="5" t="s">
        <v>1137</v>
      </c>
      <c r="C170" s="5" t="s">
        <v>27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20">
        <v>306</v>
      </c>
      <c r="J170" s="6" t="s">
        <v>924</v>
      </c>
      <c r="K170" s="6" t="s">
        <v>925</v>
      </c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 t="s">
        <v>304</v>
      </c>
    </row>
    <row r="171" spans="2:25" s="19" customFormat="1" x14ac:dyDescent="0.2">
      <c r="B171" s="5" t="s">
        <v>1137</v>
      </c>
      <c r="C171" s="5" t="s">
        <v>27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20">
        <v>306</v>
      </c>
      <c r="J171" s="6" t="s">
        <v>924</v>
      </c>
      <c r="K171" s="6" t="s">
        <v>925</v>
      </c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 t="s">
        <v>304</v>
      </c>
    </row>
    <row r="172" spans="2:25" s="19" customFormat="1" x14ac:dyDescent="0.2">
      <c r="B172" s="5" t="s">
        <v>1137</v>
      </c>
      <c r="C172" s="5" t="s">
        <v>27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20">
        <v>307</v>
      </c>
      <c r="J172" s="6" t="s">
        <v>924</v>
      </c>
      <c r="K172" s="6" t="s">
        <v>925</v>
      </c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 t="s">
        <v>304</v>
      </c>
    </row>
    <row r="173" spans="2:25" s="19" customFormat="1" x14ac:dyDescent="0.2">
      <c r="B173" s="5" t="s">
        <v>1137</v>
      </c>
      <c r="C173" s="5" t="s">
        <v>27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20">
        <v>307</v>
      </c>
      <c r="J173" s="6" t="s">
        <v>924</v>
      </c>
      <c r="K173" s="6" t="s">
        <v>925</v>
      </c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 t="s">
        <v>304</v>
      </c>
    </row>
    <row r="174" spans="2:25" s="19" customFormat="1" x14ac:dyDescent="0.2">
      <c r="B174" s="5" t="s">
        <v>1137</v>
      </c>
      <c r="C174" s="5" t="s">
        <v>27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20">
        <v>308</v>
      </c>
      <c r="J174" s="6" t="s">
        <v>924</v>
      </c>
      <c r="K174" s="6" t="s">
        <v>37</v>
      </c>
      <c r="L174" s="6" t="s">
        <v>466</v>
      </c>
      <c r="M174" s="6" t="s">
        <v>466</v>
      </c>
      <c r="N174" s="6" t="s">
        <v>468</v>
      </c>
      <c r="O174" s="6">
        <v>3035508913</v>
      </c>
      <c r="P174" s="6"/>
      <c r="Q174" s="6" t="s">
        <v>1152</v>
      </c>
      <c r="R174" s="6" t="s">
        <v>177</v>
      </c>
      <c r="S174" s="6" t="s">
        <v>927</v>
      </c>
      <c r="T174" s="6">
        <v>80026</v>
      </c>
      <c r="U174" s="6" t="s">
        <v>1153</v>
      </c>
      <c r="V174" s="6" t="s">
        <v>177</v>
      </c>
      <c r="W174" s="6" t="s">
        <v>927</v>
      </c>
      <c r="X174" s="6">
        <v>80026</v>
      </c>
      <c r="Y174" s="6" t="s">
        <v>304</v>
      </c>
    </row>
    <row r="175" spans="2:25" s="19" customFormat="1" x14ac:dyDescent="0.2">
      <c r="B175" s="5" t="s">
        <v>1137</v>
      </c>
      <c r="C175" s="5" t="s">
        <v>27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20">
        <v>308</v>
      </c>
      <c r="J175" s="6" t="s">
        <v>924</v>
      </c>
      <c r="K175" s="6" t="s">
        <v>37</v>
      </c>
      <c r="L175" s="6" t="s">
        <v>469</v>
      </c>
      <c r="M175" s="6" t="s">
        <v>469</v>
      </c>
      <c r="N175" s="6" t="s">
        <v>471</v>
      </c>
      <c r="O175" s="6">
        <v>3035508982</v>
      </c>
      <c r="P175" s="6">
        <v>3035508982</v>
      </c>
      <c r="Q175" s="6" t="s">
        <v>1152</v>
      </c>
      <c r="R175" s="6" t="s">
        <v>177</v>
      </c>
      <c r="S175" s="6" t="s">
        <v>927</v>
      </c>
      <c r="T175" s="6">
        <v>80026</v>
      </c>
      <c r="U175" s="6" t="s">
        <v>1152</v>
      </c>
      <c r="V175" s="6" t="s">
        <v>177</v>
      </c>
      <c r="W175" s="6" t="s">
        <v>927</v>
      </c>
      <c r="X175" s="6">
        <v>80026</v>
      </c>
      <c r="Y175" s="6" t="s">
        <v>304</v>
      </c>
    </row>
    <row r="176" spans="2:25" s="19" customFormat="1" x14ac:dyDescent="0.2">
      <c r="B176" s="5" t="s">
        <v>1154</v>
      </c>
      <c r="C176" s="5" t="s">
        <v>27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20">
        <v>309</v>
      </c>
      <c r="J176" s="6" t="s">
        <v>924</v>
      </c>
      <c r="K176" s="6" t="s">
        <v>925</v>
      </c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 t="s">
        <v>317</v>
      </c>
    </row>
    <row r="177" spans="2:25" s="19" customFormat="1" x14ac:dyDescent="0.2">
      <c r="B177" s="5" t="s">
        <v>1154</v>
      </c>
      <c r="C177" s="5" t="s">
        <v>27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20">
        <v>309</v>
      </c>
      <c r="J177" s="6" t="s">
        <v>924</v>
      </c>
      <c r="K177" s="6" t="s">
        <v>925</v>
      </c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 t="s">
        <v>317</v>
      </c>
    </row>
    <row r="178" spans="2:25" s="19" customFormat="1" x14ac:dyDescent="0.2">
      <c r="B178" s="5" t="s">
        <v>1154</v>
      </c>
      <c r="C178" s="5" t="s">
        <v>27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20">
        <v>310</v>
      </c>
      <c r="J178" s="6" t="s">
        <v>924</v>
      </c>
      <c r="K178" s="6" t="s">
        <v>1155</v>
      </c>
      <c r="L178" s="6" t="s">
        <v>1156</v>
      </c>
      <c r="M178" s="6" t="s">
        <v>1156</v>
      </c>
      <c r="N178" s="6" t="s">
        <v>1157</v>
      </c>
      <c r="O178" s="6">
        <v>3038080117</v>
      </c>
      <c r="P178" s="6"/>
      <c r="Q178" s="6" t="s">
        <v>1158</v>
      </c>
      <c r="R178" s="6" t="s">
        <v>177</v>
      </c>
      <c r="S178" s="6" t="s">
        <v>927</v>
      </c>
      <c r="T178" s="6">
        <v>80026</v>
      </c>
      <c r="U178" s="6" t="s">
        <v>1159</v>
      </c>
      <c r="V178" s="6" t="s">
        <v>177</v>
      </c>
      <c r="W178" s="6" t="s">
        <v>927</v>
      </c>
      <c r="X178" s="6">
        <v>80026</v>
      </c>
      <c r="Y178" s="6" t="s">
        <v>317</v>
      </c>
    </row>
    <row r="179" spans="2:25" s="19" customFormat="1" x14ac:dyDescent="0.2">
      <c r="B179" s="5" t="s">
        <v>1154</v>
      </c>
      <c r="C179" s="5" t="s">
        <v>27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20">
        <v>310</v>
      </c>
      <c r="J179" s="6" t="s">
        <v>924</v>
      </c>
      <c r="K179" s="6" t="s">
        <v>814</v>
      </c>
      <c r="L179" s="6" t="s">
        <v>815</v>
      </c>
      <c r="M179" s="6" t="s">
        <v>815</v>
      </c>
      <c r="N179" s="6" t="s">
        <v>817</v>
      </c>
      <c r="O179" s="6"/>
      <c r="P179" s="6"/>
      <c r="Q179" s="6" t="s">
        <v>1160</v>
      </c>
      <c r="R179" s="6" t="s">
        <v>177</v>
      </c>
      <c r="S179" s="6" t="s">
        <v>927</v>
      </c>
      <c r="T179" s="6">
        <v>80026</v>
      </c>
      <c r="U179" s="6" t="s">
        <v>1160</v>
      </c>
      <c r="V179" s="6" t="s">
        <v>177</v>
      </c>
      <c r="W179" s="6" t="s">
        <v>927</v>
      </c>
      <c r="X179" s="6">
        <v>80026</v>
      </c>
      <c r="Y179" s="6" t="s">
        <v>317</v>
      </c>
    </row>
    <row r="180" spans="2:25" s="19" customFormat="1" x14ac:dyDescent="0.2">
      <c r="B180" s="5" t="s">
        <v>1154</v>
      </c>
      <c r="C180" s="5" t="s">
        <v>27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20">
        <v>311</v>
      </c>
      <c r="J180" s="6" t="s">
        <v>924</v>
      </c>
      <c r="K180" s="6" t="s">
        <v>925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 t="s">
        <v>317</v>
      </c>
    </row>
    <row r="181" spans="2:25" s="19" customFormat="1" x14ac:dyDescent="0.2">
      <c r="B181" s="5" t="s">
        <v>1154</v>
      </c>
      <c r="C181" s="5" t="s">
        <v>27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20">
        <v>311</v>
      </c>
      <c r="J181" s="6" t="s">
        <v>924</v>
      </c>
      <c r="K181" s="6" t="s">
        <v>925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 t="s">
        <v>317</v>
      </c>
    </row>
    <row r="182" spans="2:25" s="19" customFormat="1" x14ac:dyDescent="0.2">
      <c r="B182" s="5" t="s">
        <v>1154</v>
      </c>
      <c r="C182" s="5" t="s">
        <v>27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20">
        <v>312</v>
      </c>
      <c r="J182" s="6" t="s">
        <v>924</v>
      </c>
      <c r="K182" s="6" t="s">
        <v>560</v>
      </c>
      <c r="L182" s="6" t="s">
        <v>561</v>
      </c>
      <c r="M182" s="6" t="s">
        <v>561</v>
      </c>
      <c r="N182" s="6" t="s">
        <v>562</v>
      </c>
      <c r="O182" s="6">
        <v>3036668684</v>
      </c>
      <c r="P182" s="6">
        <v>7204722070</v>
      </c>
      <c r="Q182" s="6" t="s">
        <v>1161</v>
      </c>
      <c r="R182" s="6" t="s">
        <v>177</v>
      </c>
      <c r="S182" s="6" t="s">
        <v>927</v>
      </c>
      <c r="T182" s="6">
        <v>80026</v>
      </c>
      <c r="U182" s="6"/>
      <c r="V182" s="6"/>
      <c r="W182" s="6"/>
      <c r="X182" s="6">
        <v>80026</v>
      </c>
      <c r="Y182" s="6" t="s">
        <v>317</v>
      </c>
    </row>
    <row r="183" spans="2:25" s="19" customFormat="1" x14ac:dyDescent="0.2">
      <c r="B183" s="5" t="s">
        <v>1154</v>
      </c>
      <c r="C183" s="5" t="s">
        <v>27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20">
        <v>312</v>
      </c>
      <c r="J183" s="6" t="s">
        <v>924</v>
      </c>
      <c r="K183" s="6" t="s">
        <v>696</v>
      </c>
      <c r="L183" s="6" t="s">
        <v>635</v>
      </c>
      <c r="M183" s="6" t="s">
        <v>635</v>
      </c>
      <c r="N183" s="6" t="s">
        <v>697</v>
      </c>
      <c r="O183" s="6">
        <v>3033257862</v>
      </c>
      <c r="P183" s="6">
        <v>6303360606</v>
      </c>
      <c r="Q183" s="6" t="s">
        <v>1162</v>
      </c>
      <c r="R183" s="6" t="s">
        <v>177</v>
      </c>
      <c r="S183" s="6" t="s">
        <v>927</v>
      </c>
      <c r="T183" s="6">
        <v>80026</v>
      </c>
      <c r="U183" s="6" t="s">
        <v>1162</v>
      </c>
      <c r="V183" s="6" t="s">
        <v>177</v>
      </c>
      <c r="W183" s="6" t="s">
        <v>927</v>
      </c>
      <c r="X183" s="6">
        <v>80026</v>
      </c>
      <c r="Y183" s="6" t="s">
        <v>317</v>
      </c>
    </row>
    <row r="184" spans="2:25" s="19" customFormat="1" x14ac:dyDescent="0.2">
      <c r="B184" s="5" t="s">
        <v>1154</v>
      </c>
      <c r="C184" s="5" t="s">
        <v>27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20">
        <v>313</v>
      </c>
      <c r="J184" s="6" t="s">
        <v>924</v>
      </c>
      <c r="K184" s="6" t="s">
        <v>513</v>
      </c>
      <c r="L184" s="6" t="s">
        <v>1163</v>
      </c>
      <c r="M184" s="6" t="s">
        <v>1163</v>
      </c>
      <c r="N184" s="6" t="s">
        <v>1164</v>
      </c>
      <c r="O184" s="6">
        <v>3038193157</v>
      </c>
      <c r="P184" s="6"/>
      <c r="Q184" s="6" t="s">
        <v>1165</v>
      </c>
      <c r="R184" s="6" t="s">
        <v>177</v>
      </c>
      <c r="S184" s="6" t="s">
        <v>927</v>
      </c>
      <c r="T184" s="6">
        <v>80026</v>
      </c>
      <c r="U184" s="6" t="s">
        <v>1165</v>
      </c>
      <c r="V184" s="6" t="s">
        <v>177</v>
      </c>
      <c r="W184" s="6" t="s">
        <v>927</v>
      </c>
      <c r="X184" s="6">
        <v>80026</v>
      </c>
      <c r="Y184" s="6" t="s">
        <v>317</v>
      </c>
    </row>
    <row r="185" spans="2:25" s="19" customFormat="1" x14ac:dyDescent="0.2">
      <c r="B185" s="5" t="s">
        <v>1154</v>
      </c>
      <c r="C185" s="5" t="s">
        <v>27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20">
        <v>313</v>
      </c>
      <c r="J185" s="6" t="s">
        <v>924</v>
      </c>
      <c r="K185" s="6" t="s">
        <v>766</v>
      </c>
      <c r="L185" s="6" t="s">
        <v>1040</v>
      </c>
      <c r="M185" s="6" t="s">
        <v>1040</v>
      </c>
      <c r="N185" s="6" t="s">
        <v>768</v>
      </c>
      <c r="O185" s="6">
        <v>3034947144</v>
      </c>
      <c r="P185" s="6"/>
      <c r="Q185" s="6" t="s">
        <v>1166</v>
      </c>
      <c r="R185" s="6" t="s">
        <v>177</v>
      </c>
      <c r="S185" s="6" t="s">
        <v>927</v>
      </c>
      <c r="T185" s="6">
        <v>80026</v>
      </c>
      <c r="U185" s="6" t="s">
        <v>1166</v>
      </c>
      <c r="V185" s="6" t="s">
        <v>177</v>
      </c>
      <c r="W185" s="6" t="s">
        <v>927</v>
      </c>
      <c r="X185" s="6">
        <v>80026</v>
      </c>
      <c r="Y185" s="6" t="s">
        <v>317</v>
      </c>
    </row>
    <row r="186" spans="2:25" s="19" customFormat="1" x14ac:dyDescent="0.2">
      <c r="B186" s="5" t="s">
        <v>1154</v>
      </c>
      <c r="C186" s="5" t="s">
        <v>27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20">
        <v>314</v>
      </c>
      <c r="J186" s="6" t="s">
        <v>924</v>
      </c>
      <c r="K186" s="6" t="s">
        <v>690</v>
      </c>
      <c r="L186" s="6" t="s">
        <v>691</v>
      </c>
      <c r="M186" s="6" t="s">
        <v>691</v>
      </c>
      <c r="N186" s="6" t="s">
        <v>693</v>
      </c>
      <c r="O186" s="6">
        <v>3039260546</v>
      </c>
      <c r="P186" s="6"/>
      <c r="Q186" s="6" t="s">
        <v>1167</v>
      </c>
      <c r="R186" s="6" t="s">
        <v>177</v>
      </c>
      <c r="S186" s="6" t="s">
        <v>927</v>
      </c>
      <c r="T186" s="6">
        <v>80026</v>
      </c>
      <c r="U186" s="6" t="s">
        <v>1167</v>
      </c>
      <c r="V186" s="6" t="s">
        <v>177</v>
      </c>
      <c r="W186" s="6" t="s">
        <v>927</v>
      </c>
      <c r="X186" s="6">
        <v>80026</v>
      </c>
      <c r="Y186" s="6" t="s">
        <v>317</v>
      </c>
    </row>
    <row r="187" spans="2:25" s="19" customFormat="1" x14ac:dyDescent="0.2">
      <c r="B187" s="5" t="s">
        <v>1154</v>
      </c>
      <c r="C187" s="5" t="s">
        <v>27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20">
        <v>314</v>
      </c>
      <c r="J187" s="6" t="s">
        <v>924</v>
      </c>
      <c r="K187" s="6" t="s">
        <v>925</v>
      </c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 t="s">
        <v>317</v>
      </c>
    </row>
    <row r="188" spans="2:25" s="19" customFormat="1" x14ac:dyDescent="0.2">
      <c r="B188" s="5" t="s">
        <v>1154</v>
      </c>
      <c r="C188" s="5" t="s">
        <v>27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20">
        <v>315</v>
      </c>
      <c r="J188" s="6" t="s">
        <v>924</v>
      </c>
      <c r="K188" s="6" t="s">
        <v>1168</v>
      </c>
      <c r="L188" s="6" t="s">
        <v>1169</v>
      </c>
      <c r="M188" s="6" t="s">
        <v>1169</v>
      </c>
      <c r="N188" s="6" t="s">
        <v>1170</v>
      </c>
      <c r="O188" s="6">
        <v>7204802392</v>
      </c>
      <c r="P188" s="6"/>
      <c r="Q188" s="6" t="s">
        <v>1171</v>
      </c>
      <c r="R188" s="6" t="s">
        <v>177</v>
      </c>
      <c r="S188" s="6" t="s">
        <v>927</v>
      </c>
      <c r="T188" s="6">
        <v>80026</v>
      </c>
      <c r="U188" s="6" t="s">
        <v>1171</v>
      </c>
      <c r="V188" s="6" t="s">
        <v>177</v>
      </c>
      <c r="W188" s="6" t="s">
        <v>927</v>
      </c>
      <c r="X188" s="6">
        <v>80026</v>
      </c>
      <c r="Y188" s="6" t="s">
        <v>317</v>
      </c>
    </row>
    <row r="189" spans="2:25" s="19" customFormat="1" x14ac:dyDescent="0.2">
      <c r="B189" s="5" t="s">
        <v>1154</v>
      </c>
      <c r="C189" s="5" t="s">
        <v>27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20">
        <v>315</v>
      </c>
      <c r="J189" s="6" t="s">
        <v>924</v>
      </c>
      <c r="K189" s="6" t="s">
        <v>925</v>
      </c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 t="s">
        <v>317</v>
      </c>
    </row>
    <row r="190" spans="2:25" s="19" customFormat="1" x14ac:dyDescent="0.2">
      <c r="B190" s="5" t="s">
        <v>1154</v>
      </c>
      <c r="C190" s="5" t="s">
        <v>27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20">
        <v>316</v>
      </c>
      <c r="J190" s="6" t="s">
        <v>924</v>
      </c>
      <c r="K190" s="6" t="s">
        <v>925</v>
      </c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 t="s">
        <v>317</v>
      </c>
    </row>
    <row r="191" spans="2:25" s="19" customFormat="1" x14ac:dyDescent="0.2">
      <c r="B191" s="5" t="s">
        <v>1154</v>
      </c>
      <c r="C191" s="5" t="s">
        <v>27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20">
        <v>316</v>
      </c>
      <c r="J191" s="6" t="s">
        <v>924</v>
      </c>
      <c r="K191" s="6" t="s">
        <v>925</v>
      </c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 t="s">
        <v>317</v>
      </c>
    </row>
    <row r="192" spans="2:25" s="19" customFormat="1" x14ac:dyDescent="0.2">
      <c r="B192" s="5" t="s">
        <v>1154</v>
      </c>
      <c r="C192" s="5" t="s">
        <v>27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20">
        <v>500</v>
      </c>
      <c r="J192" s="6" t="s">
        <v>924</v>
      </c>
      <c r="K192" s="6" t="s">
        <v>42</v>
      </c>
      <c r="L192" s="6" t="s">
        <v>1172</v>
      </c>
      <c r="M192" s="6" t="s">
        <v>1172</v>
      </c>
      <c r="N192" s="6" t="s">
        <v>1173</v>
      </c>
      <c r="O192" s="6">
        <v>3034948052</v>
      </c>
      <c r="P192" s="6">
        <v>3039035682</v>
      </c>
      <c r="Q192" s="6" t="s">
        <v>1174</v>
      </c>
      <c r="R192" s="6" t="s">
        <v>160</v>
      </c>
      <c r="S192" s="6" t="s">
        <v>927</v>
      </c>
      <c r="T192" s="6">
        <v>80303</v>
      </c>
      <c r="U192" s="6" t="s">
        <v>1174</v>
      </c>
      <c r="V192" s="6" t="s">
        <v>160</v>
      </c>
      <c r="W192" s="6" t="s">
        <v>927</v>
      </c>
      <c r="X192" s="6">
        <v>80303</v>
      </c>
      <c r="Y192" s="6" t="s">
        <v>317</v>
      </c>
    </row>
    <row r="193" spans="2:25" s="19" customFormat="1" x14ac:dyDescent="0.2">
      <c r="B193" s="5" t="s">
        <v>1154</v>
      </c>
      <c r="C193" s="5" t="s">
        <v>27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20">
        <v>500</v>
      </c>
      <c r="J193" s="6" t="s">
        <v>924</v>
      </c>
      <c r="K193" s="6" t="s">
        <v>1175</v>
      </c>
      <c r="L193" s="6" t="s">
        <v>1176</v>
      </c>
      <c r="M193" s="6" t="s">
        <v>1176</v>
      </c>
      <c r="N193" s="6" t="s">
        <v>1177</v>
      </c>
      <c r="O193" s="6">
        <v>3036416772</v>
      </c>
      <c r="P193" s="6"/>
      <c r="Q193" s="6" t="s">
        <v>1178</v>
      </c>
      <c r="R193" s="6" t="s">
        <v>160</v>
      </c>
      <c r="S193" s="6" t="s">
        <v>927</v>
      </c>
      <c r="T193" s="6">
        <v>80303</v>
      </c>
      <c r="U193" s="6" t="s">
        <v>1178</v>
      </c>
      <c r="V193" s="6" t="s">
        <v>160</v>
      </c>
      <c r="W193" s="6" t="s">
        <v>927</v>
      </c>
      <c r="X193" s="6">
        <v>80303</v>
      </c>
      <c r="Y193" s="6" t="s">
        <v>317</v>
      </c>
    </row>
    <row r="194" spans="2:25" s="19" customFormat="1" x14ac:dyDescent="0.2">
      <c r="B194" s="5" t="s">
        <v>1154</v>
      </c>
      <c r="C194" s="5" t="s">
        <v>27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20">
        <v>501</v>
      </c>
      <c r="J194" s="6" t="s">
        <v>924</v>
      </c>
      <c r="K194" s="6" t="s">
        <v>595</v>
      </c>
      <c r="L194" s="6" t="s">
        <v>596</v>
      </c>
      <c r="M194" s="6" t="s">
        <v>596</v>
      </c>
      <c r="N194" s="6" t="s">
        <v>598</v>
      </c>
      <c r="O194" s="6">
        <v>3039976277</v>
      </c>
      <c r="P194" s="6"/>
      <c r="Q194" s="6" t="s">
        <v>1179</v>
      </c>
      <c r="R194" s="6" t="s">
        <v>160</v>
      </c>
      <c r="S194" s="6" t="s">
        <v>927</v>
      </c>
      <c r="T194" s="6">
        <v>80303</v>
      </c>
      <c r="U194" s="6" t="s">
        <v>1179</v>
      </c>
      <c r="V194" s="6" t="s">
        <v>160</v>
      </c>
      <c r="W194" s="6" t="s">
        <v>927</v>
      </c>
      <c r="X194" s="6">
        <v>80303</v>
      </c>
      <c r="Y194" s="6" t="s">
        <v>317</v>
      </c>
    </row>
    <row r="195" spans="2:25" s="19" customFormat="1" x14ac:dyDescent="0.2">
      <c r="B195" s="5" t="s">
        <v>1154</v>
      </c>
      <c r="C195" s="5" t="s">
        <v>27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20">
        <v>501</v>
      </c>
      <c r="J195" s="6" t="s">
        <v>924</v>
      </c>
      <c r="K195" s="6" t="s">
        <v>925</v>
      </c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 t="s">
        <v>317</v>
      </c>
    </row>
    <row r="196" spans="2:25" s="19" customFormat="1" x14ac:dyDescent="0.2">
      <c r="B196" s="5" t="s">
        <v>1154</v>
      </c>
      <c r="C196" s="5" t="s">
        <v>27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20">
        <v>502</v>
      </c>
      <c r="J196" s="6" t="s">
        <v>924</v>
      </c>
      <c r="K196" s="6" t="s">
        <v>925</v>
      </c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 t="s">
        <v>317</v>
      </c>
    </row>
    <row r="197" spans="2:25" s="19" customFormat="1" x14ac:dyDescent="0.2">
      <c r="B197" s="5" t="s">
        <v>1154</v>
      </c>
      <c r="C197" s="5" t="s">
        <v>27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20">
        <v>502</v>
      </c>
      <c r="J197" s="6" t="s">
        <v>924</v>
      </c>
      <c r="K197" s="6" t="s">
        <v>925</v>
      </c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 t="s">
        <v>317</v>
      </c>
    </row>
    <row r="198" spans="2:25" s="19" customFormat="1" x14ac:dyDescent="0.2">
      <c r="B198" s="5" t="s">
        <v>1180</v>
      </c>
      <c r="C198" s="5" t="s">
        <v>1181</v>
      </c>
      <c r="D198" s="5" t="s">
        <v>828</v>
      </c>
      <c r="E198" s="5" t="s">
        <v>828</v>
      </c>
      <c r="F198" s="5" t="s">
        <v>830</v>
      </c>
      <c r="G198" s="5">
        <v>3038273434</v>
      </c>
      <c r="H198" s="5">
        <v>4048226731</v>
      </c>
      <c r="I198" s="20">
        <v>600</v>
      </c>
      <c r="J198" s="6" t="s">
        <v>924</v>
      </c>
      <c r="K198" s="6" t="s">
        <v>1182</v>
      </c>
      <c r="L198" s="6" t="s">
        <v>567</v>
      </c>
      <c r="M198" s="6" t="s">
        <v>567</v>
      </c>
      <c r="N198" s="6" t="s">
        <v>1183</v>
      </c>
      <c r="O198" s="6">
        <v>7209844785</v>
      </c>
      <c r="P198" s="6"/>
      <c r="Q198" s="6" t="s">
        <v>1184</v>
      </c>
      <c r="R198" s="6" t="s">
        <v>180</v>
      </c>
      <c r="S198" s="6" t="s">
        <v>927</v>
      </c>
      <c r="T198" s="6">
        <v>80501</v>
      </c>
      <c r="U198" s="6" t="s">
        <v>1184</v>
      </c>
      <c r="V198" s="6" t="s">
        <v>180</v>
      </c>
      <c r="W198" s="6" t="s">
        <v>927</v>
      </c>
      <c r="X198" s="6">
        <v>80501</v>
      </c>
      <c r="Y198" s="6" t="s">
        <v>371</v>
      </c>
    </row>
    <row r="199" spans="2:25" s="19" customFormat="1" x14ac:dyDescent="0.2">
      <c r="B199" s="5" t="s">
        <v>1180</v>
      </c>
      <c r="C199" s="5" t="s">
        <v>1181</v>
      </c>
      <c r="D199" s="5" t="s">
        <v>828</v>
      </c>
      <c r="E199" s="5" t="s">
        <v>828</v>
      </c>
      <c r="F199" s="5" t="s">
        <v>830</v>
      </c>
      <c r="G199" s="5">
        <v>3038273434</v>
      </c>
      <c r="H199" s="5">
        <v>4048226731</v>
      </c>
      <c r="I199" s="20">
        <v>600</v>
      </c>
      <c r="J199" s="6" t="s">
        <v>924</v>
      </c>
      <c r="K199" s="6" t="s">
        <v>1185</v>
      </c>
      <c r="L199" s="6" t="s">
        <v>580</v>
      </c>
      <c r="M199" s="6" t="s">
        <v>580</v>
      </c>
      <c r="N199" s="6" t="s">
        <v>1186</v>
      </c>
      <c r="O199" s="6">
        <v>8478406457</v>
      </c>
      <c r="P199" s="6"/>
      <c r="Q199" s="6" t="s">
        <v>1187</v>
      </c>
      <c r="R199" s="6" t="s">
        <v>180</v>
      </c>
      <c r="S199" s="6" t="s">
        <v>927</v>
      </c>
      <c r="T199" s="6">
        <v>80501</v>
      </c>
      <c r="U199" s="6" t="s">
        <v>1187</v>
      </c>
      <c r="V199" s="6" t="s">
        <v>180</v>
      </c>
      <c r="W199" s="6" t="s">
        <v>927</v>
      </c>
      <c r="X199" s="6">
        <v>80501</v>
      </c>
      <c r="Y199" s="6" t="s">
        <v>371</v>
      </c>
    </row>
    <row r="200" spans="2:25" s="19" customFormat="1" x14ac:dyDescent="0.2">
      <c r="B200" s="5" t="s">
        <v>1180</v>
      </c>
      <c r="C200" s="5" t="s">
        <v>1181</v>
      </c>
      <c r="D200" s="5" t="s">
        <v>828</v>
      </c>
      <c r="E200" s="5" t="s">
        <v>828</v>
      </c>
      <c r="F200" s="5" t="s">
        <v>830</v>
      </c>
      <c r="G200" s="5">
        <v>3038273434</v>
      </c>
      <c r="H200" s="5">
        <v>4048226731</v>
      </c>
      <c r="I200" s="20">
        <v>601</v>
      </c>
      <c r="J200" s="6" t="s">
        <v>924</v>
      </c>
      <c r="K200" s="6" t="s">
        <v>925</v>
      </c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 t="s">
        <v>371</v>
      </c>
    </row>
    <row r="201" spans="2:25" s="19" customFormat="1" x14ac:dyDescent="0.2">
      <c r="B201" s="5" t="s">
        <v>1180</v>
      </c>
      <c r="C201" s="5" t="s">
        <v>1181</v>
      </c>
      <c r="D201" s="5" t="s">
        <v>828</v>
      </c>
      <c r="E201" s="5" t="s">
        <v>828</v>
      </c>
      <c r="F201" s="5" t="s">
        <v>830</v>
      </c>
      <c r="G201" s="5">
        <v>3038273434</v>
      </c>
      <c r="H201" s="5">
        <v>4048226731</v>
      </c>
      <c r="I201" s="20">
        <v>601</v>
      </c>
      <c r="J201" s="6" t="s">
        <v>924</v>
      </c>
      <c r="K201" s="6" t="s">
        <v>925</v>
      </c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 t="s">
        <v>371</v>
      </c>
    </row>
    <row r="202" spans="2:25" s="19" customFormat="1" x14ac:dyDescent="0.2">
      <c r="B202" s="5" t="s">
        <v>1180</v>
      </c>
      <c r="C202" s="5" t="s">
        <v>1181</v>
      </c>
      <c r="D202" s="5" t="s">
        <v>828</v>
      </c>
      <c r="E202" s="5" t="s">
        <v>828</v>
      </c>
      <c r="F202" s="5" t="s">
        <v>830</v>
      </c>
      <c r="G202" s="5">
        <v>3038273434</v>
      </c>
      <c r="H202" s="5">
        <v>4048226731</v>
      </c>
      <c r="I202" s="20">
        <v>602</v>
      </c>
      <c r="J202" s="6" t="s">
        <v>924</v>
      </c>
      <c r="K202" s="6" t="s">
        <v>1188</v>
      </c>
      <c r="L202" s="6" t="s">
        <v>487</v>
      </c>
      <c r="M202" s="6" t="s">
        <v>487</v>
      </c>
      <c r="N202" s="6" t="s">
        <v>1189</v>
      </c>
      <c r="O202" s="6">
        <v>8184970998</v>
      </c>
      <c r="P202" s="6"/>
      <c r="Q202" s="6" t="s">
        <v>1190</v>
      </c>
      <c r="R202" s="6" t="s">
        <v>180</v>
      </c>
      <c r="S202" s="6" t="s">
        <v>927</v>
      </c>
      <c r="T202" s="6">
        <v>80501</v>
      </c>
      <c r="U202" s="6" t="s">
        <v>1190</v>
      </c>
      <c r="V202" s="6" t="s">
        <v>180</v>
      </c>
      <c r="W202" s="6" t="s">
        <v>927</v>
      </c>
      <c r="X202" s="6">
        <v>80501</v>
      </c>
      <c r="Y202" s="6" t="s">
        <v>371</v>
      </c>
    </row>
    <row r="203" spans="2:25" s="19" customFormat="1" x14ac:dyDescent="0.2">
      <c r="B203" s="5" t="s">
        <v>1180</v>
      </c>
      <c r="C203" s="5" t="s">
        <v>1181</v>
      </c>
      <c r="D203" s="5" t="s">
        <v>828</v>
      </c>
      <c r="E203" s="5" t="s">
        <v>828</v>
      </c>
      <c r="F203" s="5" t="s">
        <v>830</v>
      </c>
      <c r="G203" s="5">
        <v>3038273434</v>
      </c>
      <c r="H203" s="5">
        <v>4048226731</v>
      </c>
      <c r="I203" s="20">
        <v>602</v>
      </c>
      <c r="J203" s="6" t="s">
        <v>924</v>
      </c>
      <c r="K203" s="6" t="s">
        <v>925</v>
      </c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 t="s">
        <v>371</v>
      </c>
    </row>
    <row r="204" spans="2:25" s="19" customFormat="1" x14ac:dyDescent="0.2">
      <c r="B204" s="5" t="s">
        <v>1180</v>
      </c>
      <c r="C204" s="5" t="s">
        <v>1181</v>
      </c>
      <c r="D204" s="5" t="s">
        <v>828</v>
      </c>
      <c r="E204" s="5" t="s">
        <v>828</v>
      </c>
      <c r="F204" s="5" t="s">
        <v>830</v>
      </c>
      <c r="G204" s="5">
        <v>3038273434</v>
      </c>
      <c r="H204" s="5">
        <v>4048226731</v>
      </c>
      <c r="I204" s="20">
        <v>603</v>
      </c>
      <c r="J204" s="6" t="s">
        <v>924</v>
      </c>
      <c r="K204" s="6" t="s">
        <v>1191</v>
      </c>
      <c r="L204" s="6" t="s">
        <v>1192</v>
      </c>
      <c r="M204" s="6" t="s">
        <v>1192</v>
      </c>
      <c r="N204" s="6" t="s">
        <v>1193</v>
      </c>
      <c r="O204" s="6"/>
      <c r="P204" s="6"/>
      <c r="Q204" s="6" t="s">
        <v>1194</v>
      </c>
      <c r="R204" s="6" t="s">
        <v>180</v>
      </c>
      <c r="S204" s="6" t="s">
        <v>927</v>
      </c>
      <c r="T204" s="6">
        <v>80504</v>
      </c>
      <c r="U204" s="6" t="s">
        <v>1194</v>
      </c>
      <c r="V204" s="6" t="s">
        <v>180</v>
      </c>
      <c r="W204" s="6" t="s">
        <v>927</v>
      </c>
      <c r="X204" s="6">
        <v>80504</v>
      </c>
      <c r="Y204" s="6" t="s">
        <v>371</v>
      </c>
    </row>
    <row r="205" spans="2:25" s="19" customFormat="1" x14ac:dyDescent="0.2">
      <c r="B205" s="5" t="s">
        <v>1180</v>
      </c>
      <c r="C205" s="5" t="s">
        <v>1181</v>
      </c>
      <c r="D205" s="5" t="s">
        <v>828</v>
      </c>
      <c r="E205" s="5" t="s">
        <v>828</v>
      </c>
      <c r="F205" s="5" t="s">
        <v>830</v>
      </c>
      <c r="G205" s="5">
        <v>3038273434</v>
      </c>
      <c r="H205" s="5">
        <v>4048226731</v>
      </c>
      <c r="I205" s="20">
        <v>603</v>
      </c>
      <c r="J205" s="6" t="s">
        <v>924</v>
      </c>
      <c r="K205" s="6" t="s">
        <v>706</v>
      </c>
      <c r="L205" s="6" t="s">
        <v>494</v>
      </c>
      <c r="M205" s="6" t="s">
        <v>494</v>
      </c>
      <c r="N205" s="6" t="s">
        <v>1195</v>
      </c>
      <c r="O205" s="6">
        <v>9703713047</v>
      </c>
      <c r="P205" s="6"/>
      <c r="Q205" s="6" t="s">
        <v>1196</v>
      </c>
      <c r="R205" s="6" t="s">
        <v>180</v>
      </c>
      <c r="S205" s="6" t="s">
        <v>927</v>
      </c>
      <c r="T205" s="6">
        <v>80504</v>
      </c>
      <c r="U205" s="6" t="s">
        <v>1196</v>
      </c>
      <c r="V205" s="6" t="s">
        <v>180</v>
      </c>
      <c r="W205" s="6" t="s">
        <v>927</v>
      </c>
      <c r="X205" s="6">
        <v>80504</v>
      </c>
      <c r="Y205" s="6" t="s">
        <v>371</v>
      </c>
    </row>
    <row r="206" spans="2:25" s="19" customFormat="1" x14ac:dyDescent="0.2">
      <c r="B206" s="5" t="s">
        <v>1180</v>
      </c>
      <c r="C206" s="5" t="s">
        <v>1181</v>
      </c>
      <c r="D206" s="5" t="s">
        <v>828</v>
      </c>
      <c r="E206" s="5" t="s">
        <v>828</v>
      </c>
      <c r="F206" s="5" t="s">
        <v>830</v>
      </c>
      <c r="G206" s="5">
        <v>3038273434</v>
      </c>
      <c r="H206" s="5">
        <v>4048226731</v>
      </c>
      <c r="I206" s="20">
        <v>604</v>
      </c>
      <c r="J206" s="6" t="s">
        <v>924</v>
      </c>
      <c r="K206" s="6" t="s">
        <v>552</v>
      </c>
      <c r="L206" s="6" t="s">
        <v>556</v>
      </c>
      <c r="M206" s="6" t="s">
        <v>556</v>
      </c>
      <c r="N206" s="6" t="s">
        <v>557</v>
      </c>
      <c r="O206" s="6">
        <v>3038273434</v>
      </c>
      <c r="P206" s="6"/>
      <c r="Q206" s="6" t="s">
        <v>1197</v>
      </c>
      <c r="R206" s="6" t="s">
        <v>180</v>
      </c>
      <c r="S206" s="6" t="s">
        <v>927</v>
      </c>
      <c r="T206" s="6">
        <v>80504</v>
      </c>
      <c r="U206" s="6" t="s">
        <v>1197</v>
      </c>
      <c r="V206" s="6" t="s">
        <v>180</v>
      </c>
      <c r="W206" s="6" t="s">
        <v>927</v>
      </c>
      <c r="X206" s="6">
        <v>80504</v>
      </c>
      <c r="Y206" s="6" t="s">
        <v>371</v>
      </c>
    </row>
    <row r="207" spans="2:25" s="19" customFormat="1" x14ac:dyDescent="0.2">
      <c r="B207" s="5" t="s">
        <v>1180</v>
      </c>
      <c r="C207" s="5" t="s">
        <v>1181</v>
      </c>
      <c r="D207" s="5" t="s">
        <v>828</v>
      </c>
      <c r="E207" s="5" t="s">
        <v>828</v>
      </c>
      <c r="F207" s="5" t="s">
        <v>830</v>
      </c>
      <c r="G207" s="5">
        <v>3038273434</v>
      </c>
      <c r="H207" s="5">
        <v>4048226731</v>
      </c>
      <c r="I207" s="20">
        <v>604</v>
      </c>
      <c r="J207" s="6" t="s">
        <v>924</v>
      </c>
      <c r="K207" s="6" t="s">
        <v>552</v>
      </c>
      <c r="L207" s="6" t="s">
        <v>553</v>
      </c>
      <c r="M207" s="6" t="s">
        <v>553</v>
      </c>
      <c r="N207" s="6" t="s">
        <v>555</v>
      </c>
      <c r="O207" s="6">
        <v>4048226731</v>
      </c>
      <c r="P207" s="6">
        <v>3038273434</v>
      </c>
      <c r="Q207" s="6" t="s">
        <v>1198</v>
      </c>
      <c r="R207" s="6" t="s">
        <v>180</v>
      </c>
      <c r="S207" s="6" t="s">
        <v>927</v>
      </c>
      <c r="T207" s="6">
        <v>80504</v>
      </c>
      <c r="U207" s="6" t="s">
        <v>1198</v>
      </c>
      <c r="V207" s="6" t="s">
        <v>180</v>
      </c>
      <c r="W207" s="6" t="s">
        <v>927</v>
      </c>
      <c r="X207" s="6">
        <v>80504</v>
      </c>
      <c r="Y207" s="6" t="s">
        <v>371</v>
      </c>
    </row>
    <row r="208" spans="2:25" s="19" customFormat="1" x14ac:dyDescent="0.2">
      <c r="B208" s="5" t="s">
        <v>1180</v>
      </c>
      <c r="C208" s="5" t="s">
        <v>1181</v>
      </c>
      <c r="D208" s="5" t="s">
        <v>828</v>
      </c>
      <c r="E208" s="5" t="s">
        <v>828</v>
      </c>
      <c r="F208" s="5" t="s">
        <v>830</v>
      </c>
      <c r="G208" s="5">
        <v>3038273434</v>
      </c>
      <c r="H208" s="5">
        <v>4048226731</v>
      </c>
      <c r="I208" s="20">
        <v>612</v>
      </c>
      <c r="J208" s="6" t="s">
        <v>924</v>
      </c>
      <c r="K208" s="6" t="s">
        <v>738</v>
      </c>
      <c r="L208" s="6" t="s">
        <v>739</v>
      </c>
      <c r="M208" s="6" t="s">
        <v>739</v>
      </c>
      <c r="N208" s="6" t="s">
        <v>741</v>
      </c>
      <c r="O208" s="6">
        <v>7202803949</v>
      </c>
      <c r="P208" s="6"/>
      <c r="Q208" s="6" t="s">
        <v>1199</v>
      </c>
      <c r="R208" s="6" t="s">
        <v>180</v>
      </c>
      <c r="S208" s="6" t="s">
        <v>927</v>
      </c>
      <c r="T208" s="6">
        <v>80501</v>
      </c>
      <c r="U208" s="6" t="s">
        <v>1199</v>
      </c>
      <c r="V208" s="6" t="s">
        <v>180</v>
      </c>
      <c r="W208" s="6" t="s">
        <v>927</v>
      </c>
      <c r="X208" s="6">
        <v>80501</v>
      </c>
      <c r="Y208" s="6" t="s">
        <v>371</v>
      </c>
    </row>
    <row r="209" spans="2:25" s="19" customFormat="1" x14ac:dyDescent="0.2">
      <c r="B209" s="5" t="s">
        <v>1180</v>
      </c>
      <c r="C209" s="5" t="s">
        <v>1181</v>
      </c>
      <c r="D209" s="5" t="s">
        <v>828</v>
      </c>
      <c r="E209" s="5" t="s">
        <v>828</v>
      </c>
      <c r="F209" s="5" t="s">
        <v>830</v>
      </c>
      <c r="G209" s="5">
        <v>3038273434</v>
      </c>
      <c r="H209" s="5">
        <v>4048226731</v>
      </c>
      <c r="I209" s="20">
        <v>612</v>
      </c>
      <c r="J209" s="6" t="s">
        <v>924</v>
      </c>
      <c r="K209" s="6" t="s">
        <v>925</v>
      </c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 t="s">
        <v>371</v>
      </c>
    </row>
    <row r="210" spans="2:25" s="19" customFormat="1" x14ac:dyDescent="0.2">
      <c r="B210" s="5" t="s">
        <v>1180</v>
      </c>
      <c r="C210" s="5" t="s">
        <v>1181</v>
      </c>
      <c r="D210" s="5" t="s">
        <v>828</v>
      </c>
      <c r="E210" s="5" t="s">
        <v>828</v>
      </c>
      <c r="F210" s="5" t="s">
        <v>830</v>
      </c>
      <c r="G210" s="5">
        <v>3038273434</v>
      </c>
      <c r="H210" s="5">
        <v>4048226731</v>
      </c>
      <c r="I210" s="20">
        <v>613</v>
      </c>
      <c r="J210" s="6" t="s">
        <v>924</v>
      </c>
      <c r="K210" s="6" t="s">
        <v>925</v>
      </c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 t="s">
        <v>371</v>
      </c>
    </row>
    <row r="211" spans="2:25" s="19" customFormat="1" x14ac:dyDescent="0.2">
      <c r="B211" s="5" t="s">
        <v>1180</v>
      </c>
      <c r="C211" s="5" t="s">
        <v>1181</v>
      </c>
      <c r="D211" s="5" t="s">
        <v>828</v>
      </c>
      <c r="E211" s="5" t="s">
        <v>828</v>
      </c>
      <c r="F211" s="5" t="s">
        <v>830</v>
      </c>
      <c r="G211" s="5">
        <v>3038273434</v>
      </c>
      <c r="H211" s="5">
        <v>4048226731</v>
      </c>
      <c r="I211" s="20">
        <v>613</v>
      </c>
      <c r="J211" s="6" t="s">
        <v>924</v>
      </c>
      <c r="K211" s="6" t="s">
        <v>925</v>
      </c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 t="s">
        <v>371</v>
      </c>
    </row>
    <row r="212" spans="2:25" s="19" customFormat="1" x14ac:dyDescent="0.2">
      <c r="B212" s="5" t="s">
        <v>1200</v>
      </c>
      <c r="C212" s="5" t="s">
        <v>68</v>
      </c>
      <c r="D212" s="5" t="s">
        <v>69</v>
      </c>
      <c r="E212" s="5" t="s">
        <v>69</v>
      </c>
      <c r="F212" s="5" t="s">
        <v>70</v>
      </c>
      <c r="G212" s="5">
        <v>3603897915</v>
      </c>
      <c r="H212" s="5">
        <v>3607151412</v>
      </c>
      <c r="I212" s="20">
        <v>605</v>
      </c>
      <c r="J212" s="6" t="s">
        <v>924</v>
      </c>
      <c r="K212" s="6" t="s">
        <v>800</v>
      </c>
      <c r="L212" s="6" t="s">
        <v>801</v>
      </c>
      <c r="M212" s="6" t="s">
        <v>801</v>
      </c>
      <c r="N212" s="6" t="s">
        <v>802</v>
      </c>
      <c r="O212" s="6">
        <v>3039104787</v>
      </c>
      <c r="P212" s="6"/>
      <c r="Q212" s="6" t="s">
        <v>1201</v>
      </c>
      <c r="R212" s="6" t="s">
        <v>180</v>
      </c>
      <c r="S212" s="6" t="s">
        <v>927</v>
      </c>
      <c r="T212" s="6">
        <v>80503</v>
      </c>
      <c r="U212" s="6" t="s">
        <v>1201</v>
      </c>
      <c r="V212" s="6" t="s">
        <v>180</v>
      </c>
      <c r="W212" s="6" t="s">
        <v>927</v>
      </c>
      <c r="X212" s="6">
        <v>80503</v>
      </c>
      <c r="Y212" s="6" t="s">
        <v>378</v>
      </c>
    </row>
    <row r="213" spans="2:25" s="19" customFormat="1" x14ac:dyDescent="0.2">
      <c r="B213" s="5" t="s">
        <v>1200</v>
      </c>
      <c r="C213" s="5" t="s">
        <v>68</v>
      </c>
      <c r="D213" s="5" t="s">
        <v>69</v>
      </c>
      <c r="E213" s="5" t="s">
        <v>69</v>
      </c>
      <c r="F213" s="5" t="s">
        <v>70</v>
      </c>
      <c r="G213" s="5">
        <v>3603897915</v>
      </c>
      <c r="H213" s="5">
        <v>3607151412</v>
      </c>
      <c r="I213" s="20">
        <v>605</v>
      </c>
      <c r="J213" s="6" t="s">
        <v>924</v>
      </c>
      <c r="K213" s="6" t="s">
        <v>925</v>
      </c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 t="s">
        <v>378</v>
      </c>
    </row>
    <row r="214" spans="2:25" s="19" customFormat="1" x14ac:dyDescent="0.2">
      <c r="B214" s="5" t="s">
        <v>1200</v>
      </c>
      <c r="C214" s="5" t="s">
        <v>68</v>
      </c>
      <c r="D214" s="5" t="s">
        <v>69</v>
      </c>
      <c r="E214" s="5" t="s">
        <v>69</v>
      </c>
      <c r="F214" s="5" t="s">
        <v>70</v>
      </c>
      <c r="G214" s="5">
        <v>3603897915</v>
      </c>
      <c r="H214" s="5">
        <v>3607151412</v>
      </c>
      <c r="I214" s="20">
        <v>606</v>
      </c>
      <c r="J214" s="6" t="s">
        <v>924</v>
      </c>
      <c r="K214" s="6" t="s">
        <v>1202</v>
      </c>
      <c r="L214" s="6" t="s">
        <v>626</v>
      </c>
      <c r="M214" s="6" t="s">
        <v>626</v>
      </c>
      <c r="N214" s="6" t="s">
        <v>1203</v>
      </c>
      <c r="O214" s="6">
        <v>8158143384</v>
      </c>
      <c r="P214" s="6">
        <v>3038349392</v>
      </c>
      <c r="Q214" s="6" t="s">
        <v>1204</v>
      </c>
      <c r="R214" s="6" t="s">
        <v>180</v>
      </c>
      <c r="S214" s="6" t="s">
        <v>927</v>
      </c>
      <c r="T214" s="6">
        <v>80503</v>
      </c>
      <c r="U214" s="6" t="s">
        <v>1204</v>
      </c>
      <c r="V214" s="6" t="s">
        <v>180</v>
      </c>
      <c r="W214" s="6" t="s">
        <v>927</v>
      </c>
      <c r="X214" s="6">
        <v>80503</v>
      </c>
      <c r="Y214" s="6" t="s">
        <v>378</v>
      </c>
    </row>
    <row r="215" spans="2:25" s="19" customFormat="1" x14ac:dyDescent="0.2">
      <c r="B215" s="5" t="s">
        <v>1200</v>
      </c>
      <c r="C215" s="5" t="s">
        <v>68</v>
      </c>
      <c r="D215" s="5" t="s">
        <v>69</v>
      </c>
      <c r="E215" s="5" t="s">
        <v>69</v>
      </c>
      <c r="F215" s="5" t="s">
        <v>70</v>
      </c>
      <c r="G215" s="5">
        <v>3603897915</v>
      </c>
      <c r="H215" s="5">
        <v>3607151412</v>
      </c>
      <c r="I215" s="20">
        <v>606</v>
      </c>
      <c r="J215" s="6" t="s">
        <v>924</v>
      </c>
      <c r="K215" s="6" t="s">
        <v>925</v>
      </c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 t="s">
        <v>378</v>
      </c>
    </row>
    <row r="216" spans="2:25" s="19" customFormat="1" x14ac:dyDescent="0.2">
      <c r="B216" s="5" t="s">
        <v>1200</v>
      </c>
      <c r="C216" s="5" t="s">
        <v>68</v>
      </c>
      <c r="D216" s="5" t="s">
        <v>69</v>
      </c>
      <c r="E216" s="5" t="s">
        <v>69</v>
      </c>
      <c r="F216" s="5" t="s">
        <v>70</v>
      </c>
      <c r="G216" s="5">
        <v>3603897915</v>
      </c>
      <c r="H216" s="5">
        <v>3607151412</v>
      </c>
      <c r="I216" s="20">
        <v>607</v>
      </c>
      <c r="J216" s="6" t="s">
        <v>924</v>
      </c>
      <c r="K216" s="6" t="s">
        <v>1205</v>
      </c>
      <c r="L216" s="6" t="s">
        <v>1206</v>
      </c>
      <c r="M216" s="6" t="s">
        <v>1206</v>
      </c>
      <c r="N216" s="6" t="s">
        <v>1207</v>
      </c>
      <c r="O216" s="6">
        <v>7207599021</v>
      </c>
      <c r="P216" s="6"/>
      <c r="Q216" s="6" t="s">
        <v>1208</v>
      </c>
      <c r="R216" s="6" t="s">
        <v>180</v>
      </c>
      <c r="S216" s="6" t="s">
        <v>927</v>
      </c>
      <c r="T216" s="6">
        <v>80503</v>
      </c>
      <c r="U216" s="6" t="s">
        <v>1209</v>
      </c>
      <c r="V216" s="6" t="s">
        <v>180</v>
      </c>
      <c r="W216" s="6" t="s">
        <v>927</v>
      </c>
      <c r="X216" s="6">
        <v>80503</v>
      </c>
      <c r="Y216" s="6" t="s">
        <v>378</v>
      </c>
    </row>
    <row r="217" spans="2:25" s="19" customFormat="1" x14ac:dyDescent="0.2">
      <c r="B217" s="5" t="s">
        <v>1200</v>
      </c>
      <c r="C217" s="5" t="s">
        <v>68</v>
      </c>
      <c r="D217" s="5" t="s">
        <v>69</v>
      </c>
      <c r="E217" s="5" t="s">
        <v>69</v>
      </c>
      <c r="F217" s="5" t="s">
        <v>70</v>
      </c>
      <c r="G217" s="5">
        <v>3603897915</v>
      </c>
      <c r="H217" s="5">
        <v>3607151412</v>
      </c>
      <c r="I217" s="20">
        <v>607</v>
      </c>
      <c r="J217" s="6" t="s">
        <v>924</v>
      </c>
      <c r="K217" s="6" t="s">
        <v>925</v>
      </c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 t="s">
        <v>378</v>
      </c>
    </row>
    <row r="218" spans="2:25" s="19" customFormat="1" x14ac:dyDescent="0.2">
      <c r="B218" s="5" t="s">
        <v>1200</v>
      </c>
      <c r="C218" s="5" t="s">
        <v>68</v>
      </c>
      <c r="D218" s="5" t="s">
        <v>69</v>
      </c>
      <c r="E218" s="5" t="s">
        <v>69</v>
      </c>
      <c r="F218" s="5" t="s">
        <v>70</v>
      </c>
      <c r="G218" s="5">
        <v>3603897915</v>
      </c>
      <c r="H218" s="5">
        <v>3607151412</v>
      </c>
      <c r="I218" s="20">
        <v>608</v>
      </c>
      <c r="J218" s="6" t="s">
        <v>924</v>
      </c>
      <c r="K218" s="6" t="s">
        <v>68</v>
      </c>
      <c r="L218" s="6" t="s">
        <v>69</v>
      </c>
      <c r="M218" s="6" t="s">
        <v>69</v>
      </c>
      <c r="N218" s="6" t="s">
        <v>70</v>
      </c>
      <c r="O218" s="6">
        <v>3603897915</v>
      </c>
      <c r="P218" s="6">
        <v>3607151412</v>
      </c>
      <c r="Q218" s="6" t="s">
        <v>1210</v>
      </c>
      <c r="R218" s="6" t="s">
        <v>180</v>
      </c>
      <c r="S218" s="6" t="s">
        <v>927</v>
      </c>
      <c r="T218" s="6">
        <v>80503</v>
      </c>
      <c r="U218" s="6" t="s">
        <v>1210</v>
      </c>
      <c r="V218" s="6" t="s">
        <v>180</v>
      </c>
      <c r="W218" s="6" t="s">
        <v>927</v>
      </c>
      <c r="X218" s="6">
        <v>80503</v>
      </c>
      <c r="Y218" s="6" t="s">
        <v>378</v>
      </c>
    </row>
    <row r="219" spans="2:25" s="19" customFormat="1" x14ac:dyDescent="0.2">
      <c r="B219" s="5" t="s">
        <v>1200</v>
      </c>
      <c r="C219" s="5" t="s">
        <v>68</v>
      </c>
      <c r="D219" s="5" t="s">
        <v>69</v>
      </c>
      <c r="E219" s="5" t="s">
        <v>69</v>
      </c>
      <c r="F219" s="5" t="s">
        <v>70</v>
      </c>
      <c r="G219" s="5">
        <v>3603897915</v>
      </c>
      <c r="H219" s="5">
        <v>3607151412</v>
      </c>
      <c r="I219" s="20">
        <v>608</v>
      </c>
      <c r="J219" s="6" t="s">
        <v>924</v>
      </c>
      <c r="K219" s="6" t="s">
        <v>925</v>
      </c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 t="s">
        <v>378</v>
      </c>
    </row>
    <row r="220" spans="2:25" s="19" customFormat="1" x14ac:dyDescent="0.2">
      <c r="B220" s="5" t="s">
        <v>1200</v>
      </c>
      <c r="C220" s="5" t="s">
        <v>68</v>
      </c>
      <c r="D220" s="5" t="s">
        <v>69</v>
      </c>
      <c r="E220" s="5" t="s">
        <v>69</v>
      </c>
      <c r="F220" s="5" t="s">
        <v>70</v>
      </c>
      <c r="G220" s="5">
        <v>3603897915</v>
      </c>
      <c r="H220" s="5">
        <v>3607151412</v>
      </c>
      <c r="I220" s="20">
        <v>609</v>
      </c>
      <c r="J220" s="6" t="s">
        <v>924</v>
      </c>
      <c r="K220" s="6" t="s">
        <v>925</v>
      </c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 t="s">
        <v>378</v>
      </c>
    </row>
    <row r="221" spans="2:25" s="19" customFormat="1" x14ac:dyDescent="0.2">
      <c r="B221" s="5" t="s">
        <v>1200</v>
      </c>
      <c r="C221" s="5" t="s">
        <v>68</v>
      </c>
      <c r="D221" s="5" t="s">
        <v>69</v>
      </c>
      <c r="E221" s="5" t="s">
        <v>69</v>
      </c>
      <c r="F221" s="5" t="s">
        <v>70</v>
      </c>
      <c r="G221" s="5">
        <v>3603897915</v>
      </c>
      <c r="H221" s="5">
        <v>3607151412</v>
      </c>
      <c r="I221" s="20">
        <v>609</v>
      </c>
      <c r="J221" s="6" t="s">
        <v>924</v>
      </c>
      <c r="K221" s="6" t="s">
        <v>925</v>
      </c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 t="s">
        <v>378</v>
      </c>
    </row>
    <row r="222" spans="2:25" s="19" customFormat="1" x14ac:dyDescent="0.2">
      <c r="B222" s="5" t="s">
        <v>1200</v>
      </c>
      <c r="C222" s="5" t="s">
        <v>68</v>
      </c>
      <c r="D222" s="5" t="s">
        <v>69</v>
      </c>
      <c r="E222" s="5" t="s">
        <v>69</v>
      </c>
      <c r="F222" s="5" t="s">
        <v>70</v>
      </c>
      <c r="G222" s="5">
        <v>3603897915</v>
      </c>
      <c r="H222" s="5">
        <v>3607151412</v>
      </c>
      <c r="I222" s="20">
        <v>610</v>
      </c>
      <c r="J222" s="6" t="s">
        <v>924</v>
      </c>
      <c r="K222" s="6" t="s">
        <v>769</v>
      </c>
      <c r="L222" s="6" t="s">
        <v>1211</v>
      </c>
      <c r="M222" s="6" t="s">
        <v>1211</v>
      </c>
      <c r="N222" s="6" t="s">
        <v>771</v>
      </c>
      <c r="O222" s="6">
        <v>3033288583</v>
      </c>
      <c r="P222" s="6"/>
      <c r="Q222" s="6" t="s">
        <v>1212</v>
      </c>
      <c r="R222" s="6" t="s">
        <v>180</v>
      </c>
      <c r="S222" s="6" t="s">
        <v>927</v>
      </c>
      <c r="T222" s="6">
        <v>80503</v>
      </c>
      <c r="U222" s="6" t="s">
        <v>1212</v>
      </c>
      <c r="V222" s="6" t="s">
        <v>180</v>
      </c>
      <c r="W222" s="6" t="s">
        <v>927</v>
      </c>
      <c r="X222" s="6">
        <v>80503</v>
      </c>
      <c r="Y222" s="6" t="s">
        <v>378</v>
      </c>
    </row>
    <row r="223" spans="2:25" s="19" customFormat="1" x14ac:dyDescent="0.2">
      <c r="B223" s="5" t="s">
        <v>1200</v>
      </c>
      <c r="C223" s="5" t="s">
        <v>68</v>
      </c>
      <c r="D223" s="5" t="s">
        <v>69</v>
      </c>
      <c r="E223" s="5" t="s">
        <v>69</v>
      </c>
      <c r="F223" s="5" t="s">
        <v>70</v>
      </c>
      <c r="G223" s="5">
        <v>3603897915</v>
      </c>
      <c r="H223" s="5">
        <v>3607151412</v>
      </c>
      <c r="I223" s="20">
        <v>610</v>
      </c>
      <c r="J223" s="6" t="s">
        <v>924</v>
      </c>
      <c r="K223" s="6" t="s">
        <v>925</v>
      </c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 t="s">
        <v>378</v>
      </c>
    </row>
    <row r="224" spans="2:25" s="19" customFormat="1" x14ac:dyDescent="0.2">
      <c r="B224" s="5" t="s">
        <v>1200</v>
      </c>
      <c r="C224" s="5" t="s">
        <v>68</v>
      </c>
      <c r="D224" s="5" t="s">
        <v>69</v>
      </c>
      <c r="E224" s="5" t="s">
        <v>69</v>
      </c>
      <c r="F224" s="5" t="s">
        <v>70</v>
      </c>
      <c r="G224" s="5">
        <v>3603897915</v>
      </c>
      <c r="H224" s="5">
        <v>3607151412</v>
      </c>
      <c r="I224" s="20">
        <v>611</v>
      </c>
      <c r="J224" s="6" t="s">
        <v>924</v>
      </c>
      <c r="K224" s="6" t="s">
        <v>1213</v>
      </c>
      <c r="L224" s="6" t="s">
        <v>1214</v>
      </c>
      <c r="M224" s="6" t="s">
        <v>1214</v>
      </c>
      <c r="N224" s="6" t="s">
        <v>1215</v>
      </c>
      <c r="O224" s="6">
        <v>3036781397</v>
      </c>
      <c r="P224" s="6">
        <v>7209793202</v>
      </c>
      <c r="Q224" s="6" t="s">
        <v>1216</v>
      </c>
      <c r="R224" s="6" t="s">
        <v>180</v>
      </c>
      <c r="S224" s="6" t="s">
        <v>927</v>
      </c>
      <c r="T224" s="6">
        <v>80501</v>
      </c>
      <c r="U224" s="6" t="s">
        <v>1216</v>
      </c>
      <c r="V224" s="6" t="s">
        <v>180</v>
      </c>
      <c r="W224" s="6" t="s">
        <v>927</v>
      </c>
      <c r="X224" s="6">
        <v>80501</v>
      </c>
      <c r="Y224" s="6" t="s">
        <v>378</v>
      </c>
    </row>
    <row r="225" spans="2:25" s="19" customFormat="1" x14ac:dyDescent="0.2">
      <c r="B225" s="5" t="s">
        <v>1200</v>
      </c>
      <c r="C225" s="5" t="s">
        <v>68</v>
      </c>
      <c r="D225" s="5" t="s">
        <v>69</v>
      </c>
      <c r="E225" s="5" t="s">
        <v>69</v>
      </c>
      <c r="F225" s="5" t="s">
        <v>70</v>
      </c>
      <c r="G225" s="5">
        <v>3603897915</v>
      </c>
      <c r="H225" s="5">
        <v>3607151412</v>
      </c>
      <c r="I225" s="20">
        <v>611</v>
      </c>
      <c r="J225" s="6" t="s">
        <v>924</v>
      </c>
      <c r="K225" s="6" t="s">
        <v>925</v>
      </c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 t="s">
        <v>378</v>
      </c>
    </row>
    <row r="226" spans="2:25" s="19" customFormat="1" x14ac:dyDescent="0.2">
      <c r="B226" s="5" t="s">
        <v>1217</v>
      </c>
      <c r="C226" s="5" t="s">
        <v>61</v>
      </c>
      <c r="D226" s="5" t="s">
        <v>62</v>
      </c>
      <c r="E226" s="5" t="s">
        <v>1218</v>
      </c>
      <c r="F226" s="5" t="s">
        <v>864</v>
      </c>
      <c r="G226" s="5">
        <v>3035884452</v>
      </c>
      <c r="H226" s="5">
        <v>0</v>
      </c>
      <c r="I226" s="20">
        <v>614</v>
      </c>
      <c r="J226" s="6" t="s">
        <v>924</v>
      </c>
      <c r="K226" s="6" t="s">
        <v>925</v>
      </c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 t="s">
        <v>385</v>
      </c>
    </row>
    <row r="227" spans="2:25" s="19" customFormat="1" x14ac:dyDescent="0.2">
      <c r="B227" s="5" t="s">
        <v>1217</v>
      </c>
      <c r="C227" s="5" t="s">
        <v>61</v>
      </c>
      <c r="D227" s="5" t="s">
        <v>62</v>
      </c>
      <c r="E227" s="5" t="s">
        <v>1218</v>
      </c>
      <c r="F227" s="5" t="s">
        <v>864</v>
      </c>
      <c r="G227" s="5">
        <v>3035884452</v>
      </c>
      <c r="H227" s="5">
        <v>0</v>
      </c>
      <c r="I227" s="20">
        <v>614</v>
      </c>
      <c r="J227" s="6" t="s">
        <v>924</v>
      </c>
      <c r="K227" s="6" t="s">
        <v>925</v>
      </c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 t="s">
        <v>385</v>
      </c>
    </row>
    <row r="228" spans="2:25" s="19" customFormat="1" x14ac:dyDescent="0.2">
      <c r="B228" s="5" t="s">
        <v>1217</v>
      </c>
      <c r="C228" s="5" t="s">
        <v>61</v>
      </c>
      <c r="D228" s="5" t="s">
        <v>62</v>
      </c>
      <c r="E228" s="5" t="s">
        <v>1218</v>
      </c>
      <c r="F228" s="5" t="s">
        <v>864</v>
      </c>
      <c r="G228" s="5">
        <v>3035884452</v>
      </c>
      <c r="H228" s="5">
        <v>0</v>
      </c>
      <c r="I228" s="20">
        <v>615</v>
      </c>
      <c r="J228" s="6" t="s">
        <v>924</v>
      </c>
      <c r="K228" s="6" t="s">
        <v>483</v>
      </c>
      <c r="L228" s="6" t="s">
        <v>446</v>
      </c>
      <c r="M228" s="6" t="s">
        <v>446</v>
      </c>
      <c r="N228" s="6" t="s">
        <v>485</v>
      </c>
      <c r="O228" s="6">
        <v>7204838133</v>
      </c>
      <c r="P228" s="6">
        <v>3038349213</v>
      </c>
      <c r="Q228" s="6" t="s">
        <v>1219</v>
      </c>
      <c r="R228" s="6" t="s">
        <v>180</v>
      </c>
      <c r="S228" s="6" t="s">
        <v>927</v>
      </c>
      <c r="T228" s="6">
        <v>80501</v>
      </c>
      <c r="U228" s="6" t="s">
        <v>1219</v>
      </c>
      <c r="V228" s="6" t="s">
        <v>180</v>
      </c>
      <c r="W228" s="6" t="s">
        <v>927</v>
      </c>
      <c r="X228" s="6">
        <v>80501</v>
      </c>
      <c r="Y228" s="6" t="s">
        <v>385</v>
      </c>
    </row>
    <row r="229" spans="2:25" s="19" customFormat="1" x14ac:dyDescent="0.2">
      <c r="B229" s="5" t="s">
        <v>1217</v>
      </c>
      <c r="C229" s="5" t="s">
        <v>61</v>
      </c>
      <c r="D229" s="5" t="s">
        <v>62</v>
      </c>
      <c r="E229" s="5" t="s">
        <v>1218</v>
      </c>
      <c r="F229" s="5" t="s">
        <v>864</v>
      </c>
      <c r="G229" s="5">
        <v>3035884452</v>
      </c>
      <c r="H229" s="5">
        <v>0</v>
      </c>
      <c r="I229" s="20">
        <v>615</v>
      </c>
      <c r="J229" s="6" t="s">
        <v>924</v>
      </c>
      <c r="K229" s="6" t="s">
        <v>859</v>
      </c>
      <c r="L229" s="6" t="s">
        <v>74</v>
      </c>
      <c r="M229" s="6" t="s">
        <v>74</v>
      </c>
      <c r="N229" s="6" t="s">
        <v>1220</v>
      </c>
      <c r="O229" s="6">
        <v>3037724812</v>
      </c>
      <c r="P229" s="6">
        <v>3038810816</v>
      </c>
      <c r="Q229" s="6" t="s">
        <v>1221</v>
      </c>
      <c r="R229" s="6" t="s">
        <v>180</v>
      </c>
      <c r="S229" s="6" t="s">
        <v>927</v>
      </c>
      <c r="T229" s="6">
        <v>80501</v>
      </c>
      <c r="U229" s="6" t="s">
        <v>1221</v>
      </c>
      <c r="V229" s="6" t="s">
        <v>180</v>
      </c>
      <c r="W229" s="6" t="s">
        <v>927</v>
      </c>
      <c r="X229" s="6">
        <v>80501</v>
      </c>
      <c r="Y229" s="6" t="s">
        <v>385</v>
      </c>
    </row>
    <row r="230" spans="2:25" s="19" customFormat="1" x14ac:dyDescent="0.2">
      <c r="B230" s="5" t="s">
        <v>1217</v>
      </c>
      <c r="C230" s="5" t="s">
        <v>61</v>
      </c>
      <c r="D230" s="5" t="s">
        <v>62</v>
      </c>
      <c r="E230" s="5" t="s">
        <v>1218</v>
      </c>
      <c r="F230" s="5" t="s">
        <v>864</v>
      </c>
      <c r="G230" s="5">
        <v>3035884452</v>
      </c>
      <c r="H230" s="5">
        <v>0</v>
      </c>
      <c r="I230" s="20">
        <v>616</v>
      </c>
      <c r="J230" s="6" t="s">
        <v>924</v>
      </c>
      <c r="K230" s="6" t="s">
        <v>672</v>
      </c>
      <c r="L230" s="6" t="s">
        <v>673</v>
      </c>
      <c r="M230" s="6" t="s">
        <v>673</v>
      </c>
      <c r="N230" s="6" t="s">
        <v>675</v>
      </c>
      <c r="O230" s="6">
        <v>7203416284</v>
      </c>
      <c r="P230" s="6"/>
      <c r="Q230" s="6" t="s">
        <v>1222</v>
      </c>
      <c r="R230" s="6" t="s">
        <v>180</v>
      </c>
      <c r="S230" s="6" t="s">
        <v>927</v>
      </c>
      <c r="T230" s="6">
        <v>80501</v>
      </c>
      <c r="U230" s="6" t="s">
        <v>1222</v>
      </c>
      <c r="V230" s="6" t="s">
        <v>180</v>
      </c>
      <c r="W230" s="6" t="s">
        <v>927</v>
      </c>
      <c r="X230" s="6">
        <v>80501</v>
      </c>
      <c r="Y230" s="6" t="s">
        <v>385</v>
      </c>
    </row>
    <row r="231" spans="2:25" s="19" customFormat="1" x14ac:dyDescent="0.2">
      <c r="B231" s="5" t="s">
        <v>1217</v>
      </c>
      <c r="C231" s="5" t="s">
        <v>61</v>
      </c>
      <c r="D231" s="5" t="s">
        <v>62</v>
      </c>
      <c r="E231" s="5" t="s">
        <v>1218</v>
      </c>
      <c r="F231" s="5" t="s">
        <v>864</v>
      </c>
      <c r="G231" s="5">
        <v>3035884452</v>
      </c>
      <c r="H231" s="5">
        <v>0</v>
      </c>
      <c r="I231" s="20">
        <v>616</v>
      </c>
      <c r="J231" s="6" t="s">
        <v>924</v>
      </c>
      <c r="K231" s="6" t="s">
        <v>24</v>
      </c>
      <c r="L231" s="6" t="s">
        <v>698</v>
      </c>
      <c r="M231" s="6" t="s">
        <v>698</v>
      </c>
      <c r="N231" s="6" t="s">
        <v>700</v>
      </c>
      <c r="O231" s="6">
        <v>9132718163</v>
      </c>
      <c r="P231" s="6"/>
      <c r="Q231" s="6" t="s">
        <v>1223</v>
      </c>
      <c r="R231" s="6" t="s">
        <v>180</v>
      </c>
      <c r="S231" s="6" t="s">
        <v>927</v>
      </c>
      <c r="T231" s="6">
        <v>80501</v>
      </c>
      <c r="U231" s="6" t="s">
        <v>1223</v>
      </c>
      <c r="V231" s="6" t="s">
        <v>180</v>
      </c>
      <c r="W231" s="6" t="s">
        <v>927</v>
      </c>
      <c r="X231" s="6">
        <v>80501</v>
      </c>
      <c r="Y231" s="6" t="s">
        <v>385</v>
      </c>
    </row>
    <row r="232" spans="2:25" s="19" customFormat="1" x14ac:dyDescent="0.2">
      <c r="B232" s="5" t="s">
        <v>1217</v>
      </c>
      <c r="C232" s="5" t="s">
        <v>61</v>
      </c>
      <c r="D232" s="5" t="s">
        <v>62</v>
      </c>
      <c r="E232" s="5" t="s">
        <v>1218</v>
      </c>
      <c r="F232" s="5" t="s">
        <v>864</v>
      </c>
      <c r="G232" s="5">
        <v>3035884452</v>
      </c>
      <c r="H232" s="5">
        <v>0</v>
      </c>
      <c r="I232" s="20">
        <v>624</v>
      </c>
      <c r="J232" s="6" t="s">
        <v>924</v>
      </c>
      <c r="K232" s="6" t="s">
        <v>605</v>
      </c>
      <c r="L232" s="6" t="s">
        <v>606</v>
      </c>
      <c r="M232" s="6" t="s">
        <v>606</v>
      </c>
      <c r="N232" s="6" t="s">
        <v>607</v>
      </c>
      <c r="O232" s="6">
        <v>7205441741</v>
      </c>
      <c r="P232" s="6"/>
      <c r="Q232" s="6" t="s">
        <v>1224</v>
      </c>
      <c r="R232" s="6" t="s">
        <v>180</v>
      </c>
      <c r="S232" s="6" t="s">
        <v>927</v>
      </c>
      <c r="T232" s="6">
        <v>80501</v>
      </c>
      <c r="U232" s="6" t="s">
        <v>1224</v>
      </c>
      <c r="V232" s="6" t="s">
        <v>180</v>
      </c>
      <c r="W232" s="6" t="s">
        <v>927</v>
      </c>
      <c r="X232" s="6">
        <v>80501</v>
      </c>
      <c r="Y232" s="6" t="s">
        <v>385</v>
      </c>
    </row>
    <row r="233" spans="2:25" s="19" customFormat="1" x14ac:dyDescent="0.2">
      <c r="B233" s="5" t="s">
        <v>1217</v>
      </c>
      <c r="C233" s="5" t="s">
        <v>61</v>
      </c>
      <c r="D233" s="5" t="s">
        <v>62</v>
      </c>
      <c r="E233" s="5" t="s">
        <v>1218</v>
      </c>
      <c r="F233" s="5" t="s">
        <v>864</v>
      </c>
      <c r="G233" s="5">
        <v>3035884452</v>
      </c>
      <c r="H233" s="5">
        <v>0</v>
      </c>
      <c r="I233" s="20">
        <v>624</v>
      </c>
      <c r="J233" s="6" t="s">
        <v>924</v>
      </c>
      <c r="K233" s="6" t="s">
        <v>1225</v>
      </c>
      <c r="L233" s="6" t="s">
        <v>1226</v>
      </c>
      <c r="M233" s="6" t="s">
        <v>1226</v>
      </c>
      <c r="N233" s="6" t="s">
        <v>1227</v>
      </c>
      <c r="O233" s="6">
        <v>7203639269</v>
      </c>
      <c r="P233" s="6"/>
      <c r="Q233" s="6" t="s">
        <v>1228</v>
      </c>
      <c r="R233" s="6" t="s">
        <v>180</v>
      </c>
      <c r="S233" s="6" t="s">
        <v>927</v>
      </c>
      <c r="T233" s="6">
        <v>80501</v>
      </c>
      <c r="U233" s="6" t="s">
        <v>1228</v>
      </c>
      <c r="V233" s="6" t="s">
        <v>180</v>
      </c>
      <c r="W233" s="6" t="s">
        <v>927</v>
      </c>
      <c r="X233" s="6">
        <v>80501</v>
      </c>
      <c r="Y233" s="6" t="s">
        <v>385</v>
      </c>
    </row>
    <row r="234" spans="2:25" s="19" customFormat="1" x14ac:dyDescent="0.2">
      <c r="B234" s="5" t="s">
        <v>1217</v>
      </c>
      <c r="C234" s="5" t="s">
        <v>61</v>
      </c>
      <c r="D234" s="5" t="s">
        <v>62</v>
      </c>
      <c r="E234" s="5" t="s">
        <v>1218</v>
      </c>
      <c r="F234" s="5" t="s">
        <v>864</v>
      </c>
      <c r="G234" s="5">
        <v>3035884452</v>
      </c>
      <c r="H234" s="5">
        <v>0</v>
      </c>
      <c r="I234" s="20">
        <v>625</v>
      </c>
      <c r="J234" s="6" t="s">
        <v>924</v>
      </c>
      <c r="K234" s="6" t="s">
        <v>1229</v>
      </c>
      <c r="L234" s="6" t="s">
        <v>1230</v>
      </c>
      <c r="M234" s="6" t="s">
        <v>1230</v>
      </c>
      <c r="N234" s="6" t="s">
        <v>1231</v>
      </c>
      <c r="O234" s="6">
        <v>7206008145</v>
      </c>
      <c r="P234" s="6">
        <v>3038814637</v>
      </c>
      <c r="Q234" s="6" t="s">
        <v>1232</v>
      </c>
      <c r="R234" s="6" t="s">
        <v>180</v>
      </c>
      <c r="S234" s="6" t="s">
        <v>927</v>
      </c>
      <c r="T234" s="6">
        <v>80501</v>
      </c>
      <c r="U234" s="6" t="s">
        <v>1232</v>
      </c>
      <c r="V234" s="6" t="s">
        <v>180</v>
      </c>
      <c r="W234" s="6" t="s">
        <v>927</v>
      </c>
      <c r="X234" s="6">
        <v>80501</v>
      </c>
      <c r="Y234" s="6" t="s">
        <v>385</v>
      </c>
    </row>
    <row r="235" spans="2:25" s="19" customFormat="1" x14ac:dyDescent="0.2">
      <c r="B235" s="5" t="s">
        <v>1217</v>
      </c>
      <c r="C235" s="5" t="s">
        <v>61</v>
      </c>
      <c r="D235" s="5" t="s">
        <v>62</v>
      </c>
      <c r="E235" s="5" t="s">
        <v>1218</v>
      </c>
      <c r="F235" s="5" t="s">
        <v>864</v>
      </c>
      <c r="G235" s="5">
        <v>3035884452</v>
      </c>
      <c r="H235" s="5">
        <v>0</v>
      </c>
      <c r="I235" s="20">
        <v>625</v>
      </c>
      <c r="J235" s="6" t="s">
        <v>924</v>
      </c>
      <c r="K235" s="6" t="s">
        <v>711</v>
      </c>
      <c r="L235" s="6" t="s">
        <v>712</v>
      </c>
      <c r="M235" s="6" t="s">
        <v>712</v>
      </c>
      <c r="N235" s="6" t="s">
        <v>1233</v>
      </c>
      <c r="O235" s="6">
        <v>5167240028</v>
      </c>
      <c r="P235" s="6"/>
      <c r="Q235" s="6" t="s">
        <v>1234</v>
      </c>
      <c r="R235" s="6" t="s">
        <v>180</v>
      </c>
      <c r="S235" s="6" t="s">
        <v>927</v>
      </c>
      <c r="T235" s="6">
        <v>80501</v>
      </c>
      <c r="U235" s="6" t="s">
        <v>1234</v>
      </c>
      <c r="V235" s="6" t="s">
        <v>180</v>
      </c>
      <c r="W235" s="6" t="s">
        <v>927</v>
      </c>
      <c r="X235" s="6">
        <v>80501</v>
      </c>
      <c r="Y235" s="6" t="s">
        <v>385</v>
      </c>
    </row>
    <row r="236" spans="2:25" s="19" customFormat="1" x14ac:dyDescent="0.2">
      <c r="B236" s="5" t="s">
        <v>1217</v>
      </c>
      <c r="C236" s="5" t="s">
        <v>61</v>
      </c>
      <c r="D236" s="5" t="s">
        <v>62</v>
      </c>
      <c r="E236" s="5" t="s">
        <v>1218</v>
      </c>
      <c r="F236" s="5" t="s">
        <v>864</v>
      </c>
      <c r="G236" s="5">
        <v>3035884452</v>
      </c>
      <c r="H236" s="5">
        <v>0</v>
      </c>
      <c r="I236" s="20">
        <v>630</v>
      </c>
      <c r="J236" s="6" t="s">
        <v>924</v>
      </c>
      <c r="K236" s="6" t="s">
        <v>1235</v>
      </c>
      <c r="L236" s="6" t="s">
        <v>1236</v>
      </c>
      <c r="M236" s="6" t="s">
        <v>1236</v>
      </c>
      <c r="N236" s="6" t="s">
        <v>1237</v>
      </c>
      <c r="O236" s="6">
        <v>3035256296</v>
      </c>
      <c r="P236" s="6">
        <v>3034473005</v>
      </c>
      <c r="Q236" s="6" t="s">
        <v>1238</v>
      </c>
      <c r="R236" s="6" t="s">
        <v>180</v>
      </c>
      <c r="S236" s="6" t="s">
        <v>927</v>
      </c>
      <c r="T236" s="6">
        <v>80501</v>
      </c>
      <c r="U236" s="6" t="s">
        <v>1238</v>
      </c>
      <c r="V236" s="6" t="s">
        <v>180</v>
      </c>
      <c r="W236" s="6" t="s">
        <v>927</v>
      </c>
      <c r="X236" s="6">
        <v>80501</v>
      </c>
      <c r="Y236" s="6" t="s">
        <v>385</v>
      </c>
    </row>
    <row r="237" spans="2:25" s="19" customFormat="1" x14ac:dyDescent="0.2">
      <c r="B237" s="5" t="s">
        <v>1217</v>
      </c>
      <c r="C237" s="5" t="s">
        <v>61</v>
      </c>
      <c r="D237" s="5" t="s">
        <v>62</v>
      </c>
      <c r="E237" s="5" t="s">
        <v>1218</v>
      </c>
      <c r="F237" s="5" t="s">
        <v>864</v>
      </c>
      <c r="G237" s="5">
        <v>3035884452</v>
      </c>
      <c r="H237" s="5">
        <v>0</v>
      </c>
      <c r="I237" s="20">
        <v>630</v>
      </c>
      <c r="J237" s="6" t="s">
        <v>924</v>
      </c>
      <c r="K237" s="6" t="s">
        <v>925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 t="s">
        <v>385</v>
      </c>
    </row>
    <row r="238" spans="2:25" s="19" customFormat="1" x14ac:dyDescent="0.2">
      <c r="B238" s="5" t="s">
        <v>1217</v>
      </c>
      <c r="C238" s="5" t="s">
        <v>61</v>
      </c>
      <c r="D238" s="5" t="s">
        <v>62</v>
      </c>
      <c r="E238" s="5" t="s">
        <v>1218</v>
      </c>
      <c r="F238" s="5" t="s">
        <v>864</v>
      </c>
      <c r="G238" s="5">
        <v>3035884452</v>
      </c>
      <c r="H238" s="5">
        <v>0</v>
      </c>
      <c r="I238" s="20">
        <v>631</v>
      </c>
      <c r="J238" s="6" t="s">
        <v>924</v>
      </c>
      <c r="K238" s="6" t="s">
        <v>925</v>
      </c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 t="s">
        <v>385</v>
      </c>
    </row>
    <row r="239" spans="2:25" s="19" customFormat="1" x14ac:dyDescent="0.2">
      <c r="B239" s="5" t="s">
        <v>1217</v>
      </c>
      <c r="C239" s="5" t="s">
        <v>61</v>
      </c>
      <c r="D239" s="5" t="s">
        <v>62</v>
      </c>
      <c r="E239" s="5" t="s">
        <v>1218</v>
      </c>
      <c r="F239" s="5" t="s">
        <v>864</v>
      </c>
      <c r="G239" s="5">
        <v>3035884452</v>
      </c>
      <c r="H239" s="5">
        <v>0</v>
      </c>
      <c r="I239" s="20">
        <v>631</v>
      </c>
      <c r="J239" s="6" t="s">
        <v>924</v>
      </c>
      <c r="K239" s="6" t="s">
        <v>925</v>
      </c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 t="s">
        <v>385</v>
      </c>
    </row>
    <row r="240" spans="2:25" s="19" customFormat="1" x14ac:dyDescent="0.2">
      <c r="B240" s="5" t="s">
        <v>1239</v>
      </c>
      <c r="C240" s="5" t="s">
        <v>874</v>
      </c>
      <c r="D240" s="5" t="s">
        <v>875</v>
      </c>
      <c r="E240" s="5" t="s">
        <v>875</v>
      </c>
      <c r="F240" s="5" t="s">
        <v>1240</v>
      </c>
      <c r="G240" s="5">
        <v>4108187383</v>
      </c>
      <c r="H240" s="5">
        <v>0</v>
      </c>
      <c r="I240" s="20">
        <v>2</v>
      </c>
      <c r="J240" s="6" t="s">
        <v>924</v>
      </c>
      <c r="K240" s="6" t="s">
        <v>925</v>
      </c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 t="s">
        <v>404</v>
      </c>
    </row>
    <row r="241" spans="2:25" s="19" customFormat="1" x14ac:dyDescent="0.2">
      <c r="B241" s="5" t="s">
        <v>1239</v>
      </c>
      <c r="C241" s="5" t="s">
        <v>874</v>
      </c>
      <c r="D241" s="5" t="s">
        <v>875</v>
      </c>
      <c r="E241" s="5" t="s">
        <v>875</v>
      </c>
      <c r="F241" s="5" t="s">
        <v>1240</v>
      </c>
      <c r="G241" s="5">
        <v>4108187383</v>
      </c>
      <c r="H241" s="5">
        <v>0</v>
      </c>
      <c r="I241" s="20">
        <v>2</v>
      </c>
      <c r="J241" s="6" t="s">
        <v>924</v>
      </c>
      <c r="K241" s="6" t="s">
        <v>925</v>
      </c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 t="s">
        <v>404</v>
      </c>
    </row>
    <row r="242" spans="2:25" s="19" customFormat="1" x14ac:dyDescent="0.2">
      <c r="B242" s="5" t="s">
        <v>1239</v>
      </c>
      <c r="C242" s="5" t="s">
        <v>874</v>
      </c>
      <c r="D242" s="5" t="s">
        <v>875</v>
      </c>
      <c r="E242" s="5" t="s">
        <v>875</v>
      </c>
      <c r="F242" s="5" t="s">
        <v>1240</v>
      </c>
      <c r="G242" s="5">
        <v>4108187383</v>
      </c>
      <c r="H242" s="5">
        <v>0</v>
      </c>
      <c r="I242" s="20">
        <v>618</v>
      </c>
      <c r="J242" s="6" t="s">
        <v>924</v>
      </c>
      <c r="K242" s="6" t="s">
        <v>1241</v>
      </c>
      <c r="L242" s="6" t="s">
        <v>528</v>
      </c>
      <c r="M242" s="6" t="s">
        <v>528</v>
      </c>
      <c r="N242" s="6" t="s">
        <v>1242</v>
      </c>
      <c r="O242" s="6">
        <v>7203230570</v>
      </c>
      <c r="P242" s="6"/>
      <c r="Q242" s="6" t="s">
        <v>1243</v>
      </c>
      <c r="R242" s="6" t="s">
        <v>180</v>
      </c>
      <c r="S242" s="6" t="s">
        <v>927</v>
      </c>
      <c r="T242" s="6">
        <v>80504</v>
      </c>
      <c r="U242" s="6" t="s">
        <v>1243</v>
      </c>
      <c r="V242" s="6" t="s">
        <v>180</v>
      </c>
      <c r="W242" s="6" t="s">
        <v>927</v>
      </c>
      <c r="X242" s="6">
        <v>80504</v>
      </c>
      <c r="Y242" s="6" t="s">
        <v>404</v>
      </c>
    </row>
    <row r="243" spans="2:25" s="19" customFormat="1" x14ac:dyDescent="0.2">
      <c r="B243" s="5" t="s">
        <v>1239</v>
      </c>
      <c r="C243" s="5" t="s">
        <v>874</v>
      </c>
      <c r="D243" s="5" t="s">
        <v>875</v>
      </c>
      <c r="E243" s="5" t="s">
        <v>875</v>
      </c>
      <c r="F243" s="5" t="s">
        <v>1240</v>
      </c>
      <c r="G243" s="5">
        <v>4108187383</v>
      </c>
      <c r="H243" s="5">
        <v>0</v>
      </c>
      <c r="I243" s="20">
        <v>618</v>
      </c>
      <c r="J243" s="6" t="s">
        <v>924</v>
      </c>
      <c r="K243" s="6" t="s">
        <v>925</v>
      </c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 t="s">
        <v>404</v>
      </c>
    </row>
    <row r="244" spans="2:25" s="19" customFormat="1" x14ac:dyDescent="0.2">
      <c r="B244" s="5" t="s">
        <v>1239</v>
      </c>
      <c r="C244" s="5" t="s">
        <v>874</v>
      </c>
      <c r="D244" s="5" t="s">
        <v>875</v>
      </c>
      <c r="E244" s="5" t="s">
        <v>875</v>
      </c>
      <c r="F244" s="5" t="s">
        <v>1240</v>
      </c>
      <c r="G244" s="5">
        <v>4108187383</v>
      </c>
      <c r="H244" s="5">
        <v>0</v>
      </c>
      <c r="I244" s="20">
        <v>619</v>
      </c>
      <c r="J244" s="6" t="s">
        <v>924</v>
      </c>
      <c r="K244" s="6" t="s">
        <v>840</v>
      </c>
      <c r="L244" s="6" t="s">
        <v>841</v>
      </c>
      <c r="M244" s="6" t="s">
        <v>841</v>
      </c>
      <c r="N244" s="6" t="s">
        <v>842</v>
      </c>
      <c r="O244" s="6">
        <v>9134493752</v>
      </c>
      <c r="P244" s="6">
        <v>9134848434</v>
      </c>
      <c r="Q244" s="6" t="s">
        <v>1244</v>
      </c>
      <c r="R244" s="6" t="s">
        <v>180</v>
      </c>
      <c r="S244" s="6" t="s">
        <v>927</v>
      </c>
      <c r="T244" s="6">
        <v>80504</v>
      </c>
      <c r="U244" s="6" t="s">
        <v>1244</v>
      </c>
      <c r="V244" s="6" t="s">
        <v>180</v>
      </c>
      <c r="W244" s="6" t="s">
        <v>927</v>
      </c>
      <c r="X244" s="6">
        <v>80504</v>
      </c>
      <c r="Y244" s="6" t="s">
        <v>404</v>
      </c>
    </row>
    <row r="245" spans="2:25" s="19" customFormat="1" x14ac:dyDescent="0.2">
      <c r="B245" s="5" t="s">
        <v>1239</v>
      </c>
      <c r="C245" s="5" t="s">
        <v>874</v>
      </c>
      <c r="D245" s="5" t="s">
        <v>875</v>
      </c>
      <c r="E245" s="5" t="s">
        <v>875</v>
      </c>
      <c r="F245" s="5" t="s">
        <v>1240</v>
      </c>
      <c r="G245" s="5">
        <v>4108187383</v>
      </c>
      <c r="H245" s="5">
        <v>0</v>
      </c>
      <c r="I245" s="20">
        <v>619</v>
      </c>
      <c r="J245" s="6" t="s">
        <v>924</v>
      </c>
      <c r="K245" s="6" t="s">
        <v>1245</v>
      </c>
      <c r="L245" s="6" t="s">
        <v>469</v>
      </c>
      <c r="M245" s="6" t="s">
        <v>469</v>
      </c>
      <c r="N245" s="6" t="s">
        <v>1246</v>
      </c>
      <c r="O245" s="6">
        <v>3038172022</v>
      </c>
      <c r="P245" s="6"/>
      <c r="Q245" s="6" t="s">
        <v>1247</v>
      </c>
      <c r="R245" s="6" t="s">
        <v>180</v>
      </c>
      <c r="S245" s="6" t="s">
        <v>927</v>
      </c>
      <c r="T245" s="6">
        <v>80504</v>
      </c>
      <c r="U245" s="6" t="s">
        <v>1247</v>
      </c>
      <c r="V245" s="6" t="s">
        <v>180</v>
      </c>
      <c r="W245" s="6" t="s">
        <v>927</v>
      </c>
      <c r="X245" s="6">
        <v>80504</v>
      </c>
      <c r="Y245" s="6" t="s">
        <v>404</v>
      </c>
    </row>
    <row r="246" spans="2:25" s="19" customFormat="1" x14ac:dyDescent="0.2">
      <c r="B246" s="5" t="s">
        <v>1239</v>
      </c>
      <c r="C246" s="5" t="s">
        <v>874</v>
      </c>
      <c r="D246" s="5" t="s">
        <v>875</v>
      </c>
      <c r="E246" s="5" t="s">
        <v>875</v>
      </c>
      <c r="F246" s="5" t="s">
        <v>1240</v>
      </c>
      <c r="G246" s="5">
        <v>4108187383</v>
      </c>
      <c r="H246" s="5">
        <v>0</v>
      </c>
      <c r="I246" s="20">
        <v>620</v>
      </c>
      <c r="J246" s="6" t="s">
        <v>924</v>
      </c>
      <c r="K246" s="6" t="s">
        <v>925</v>
      </c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 t="s">
        <v>404</v>
      </c>
    </row>
    <row r="247" spans="2:25" s="19" customFormat="1" x14ac:dyDescent="0.2">
      <c r="B247" s="5" t="s">
        <v>1239</v>
      </c>
      <c r="C247" s="5" t="s">
        <v>874</v>
      </c>
      <c r="D247" s="5" t="s">
        <v>875</v>
      </c>
      <c r="E247" s="5" t="s">
        <v>875</v>
      </c>
      <c r="F247" s="5" t="s">
        <v>1240</v>
      </c>
      <c r="G247" s="5">
        <v>4108187383</v>
      </c>
      <c r="H247" s="5">
        <v>0</v>
      </c>
      <c r="I247" s="20">
        <v>620</v>
      </c>
      <c r="J247" s="6" t="s">
        <v>924</v>
      </c>
      <c r="K247" s="6" t="s">
        <v>925</v>
      </c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 t="s">
        <v>404</v>
      </c>
    </row>
    <row r="248" spans="2:25" s="19" customFormat="1" x14ac:dyDescent="0.2">
      <c r="B248" s="5" t="s">
        <v>1239</v>
      </c>
      <c r="C248" s="5" t="s">
        <v>874</v>
      </c>
      <c r="D248" s="5" t="s">
        <v>875</v>
      </c>
      <c r="E248" s="5" t="s">
        <v>875</v>
      </c>
      <c r="F248" s="5" t="s">
        <v>1240</v>
      </c>
      <c r="G248" s="5">
        <v>4108187383</v>
      </c>
      <c r="H248" s="5">
        <v>0</v>
      </c>
      <c r="I248" s="20">
        <v>621</v>
      </c>
      <c r="J248" s="6" t="s">
        <v>924</v>
      </c>
      <c r="K248" s="6" t="s">
        <v>79</v>
      </c>
      <c r="L248" s="6" t="s">
        <v>6</v>
      </c>
      <c r="M248" s="6" t="s">
        <v>6</v>
      </c>
      <c r="N248" s="6" t="s">
        <v>80</v>
      </c>
      <c r="O248" s="6">
        <v>3034850046</v>
      </c>
      <c r="P248" s="6"/>
      <c r="Q248" s="6" t="s">
        <v>1248</v>
      </c>
      <c r="R248" s="6" t="s">
        <v>180</v>
      </c>
      <c r="S248" s="6" t="s">
        <v>927</v>
      </c>
      <c r="T248" s="6">
        <v>80504</v>
      </c>
      <c r="U248" s="6" t="s">
        <v>1248</v>
      </c>
      <c r="V248" s="6" t="s">
        <v>180</v>
      </c>
      <c r="W248" s="6" t="s">
        <v>927</v>
      </c>
      <c r="X248" s="6">
        <v>80504</v>
      </c>
      <c r="Y248" s="6" t="s">
        <v>404</v>
      </c>
    </row>
    <row r="249" spans="2:25" s="19" customFormat="1" x14ac:dyDescent="0.2">
      <c r="B249" s="5" t="s">
        <v>1239</v>
      </c>
      <c r="C249" s="5" t="s">
        <v>874</v>
      </c>
      <c r="D249" s="5" t="s">
        <v>875</v>
      </c>
      <c r="E249" s="5" t="s">
        <v>875</v>
      </c>
      <c r="F249" s="5" t="s">
        <v>1240</v>
      </c>
      <c r="G249" s="5">
        <v>4108187383</v>
      </c>
      <c r="H249" s="5">
        <v>0</v>
      </c>
      <c r="I249" s="20">
        <v>621</v>
      </c>
      <c r="J249" s="6" t="s">
        <v>924</v>
      </c>
      <c r="K249" s="6" t="s">
        <v>925</v>
      </c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 t="s">
        <v>404</v>
      </c>
    </row>
    <row r="250" spans="2:25" s="19" customFormat="1" x14ac:dyDescent="0.2">
      <c r="B250" s="5" t="s">
        <v>1239</v>
      </c>
      <c r="C250" s="5" t="s">
        <v>874</v>
      </c>
      <c r="D250" s="5" t="s">
        <v>875</v>
      </c>
      <c r="E250" s="5" t="s">
        <v>875</v>
      </c>
      <c r="F250" s="5" t="s">
        <v>1240</v>
      </c>
      <c r="G250" s="5">
        <v>4108187383</v>
      </c>
      <c r="H250" s="5">
        <v>0</v>
      </c>
      <c r="I250" s="20">
        <v>622</v>
      </c>
      <c r="J250" s="6" t="s">
        <v>924</v>
      </c>
      <c r="K250" s="6" t="s">
        <v>573</v>
      </c>
      <c r="L250" s="6" t="s">
        <v>574</v>
      </c>
      <c r="M250" s="6" t="s">
        <v>1249</v>
      </c>
      <c r="N250" s="6" t="s">
        <v>575</v>
      </c>
      <c r="O250" s="6">
        <v>7203533612</v>
      </c>
      <c r="P250" s="6">
        <v>3037721848</v>
      </c>
      <c r="Q250" s="6" t="s">
        <v>1250</v>
      </c>
      <c r="R250" s="6" t="s">
        <v>180</v>
      </c>
      <c r="S250" s="6" t="s">
        <v>927</v>
      </c>
      <c r="T250" s="6">
        <v>80504</v>
      </c>
      <c r="U250" s="6" t="s">
        <v>1250</v>
      </c>
      <c r="V250" s="6" t="s">
        <v>180</v>
      </c>
      <c r="W250" s="6" t="s">
        <v>927</v>
      </c>
      <c r="X250" s="6">
        <v>80504</v>
      </c>
      <c r="Y250" s="6" t="s">
        <v>404</v>
      </c>
    </row>
    <row r="251" spans="2:25" s="19" customFormat="1" x14ac:dyDescent="0.2">
      <c r="B251" s="5" t="s">
        <v>1239</v>
      </c>
      <c r="C251" s="5" t="s">
        <v>874</v>
      </c>
      <c r="D251" s="5" t="s">
        <v>875</v>
      </c>
      <c r="E251" s="5" t="s">
        <v>875</v>
      </c>
      <c r="F251" s="5" t="s">
        <v>1240</v>
      </c>
      <c r="G251" s="5">
        <v>4108187383</v>
      </c>
      <c r="H251" s="5">
        <v>0</v>
      </c>
      <c r="I251" s="20">
        <v>622</v>
      </c>
      <c r="J251" s="6" t="s">
        <v>924</v>
      </c>
      <c r="K251" s="6" t="s">
        <v>925</v>
      </c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 t="s">
        <v>404</v>
      </c>
    </row>
    <row r="252" spans="2:25" s="19" customFormat="1" x14ac:dyDescent="0.2">
      <c r="B252" s="5" t="s">
        <v>1239</v>
      </c>
      <c r="C252" s="5" t="s">
        <v>874</v>
      </c>
      <c r="D252" s="5" t="s">
        <v>875</v>
      </c>
      <c r="E252" s="5" t="s">
        <v>875</v>
      </c>
      <c r="F252" s="5" t="s">
        <v>1240</v>
      </c>
      <c r="G252" s="5">
        <v>4108187383</v>
      </c>
      <c r="H252" s="5">
        <v>0</v>
      </c>
      <c r="I252" s="20">
        <v>635</v>
      </c>
      <c r="J252" s="6" t="s">
        <v>924</v>
      </c>
      <c r="K252" s="6" t="s">
        <v>925</v>
      </c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 t="s">
        <v>404</v>
      </c>
    </row>
    <row r="253" spans="2:25" s="19" customFormat="1" x14ac:dyDescent="0.2">
      <c r="B253" s="5" t="s">
        <v>1239</v>
      </c>
      <c r="C253" s="5" t="s">
        <v>874</v>
      </c>
      <c r="D253" s="5" t="s">
        <v>875</v>
      </c>
      <c r="E253" s="5" t="s">
        <v>875</v>
      </c>
      <c r="F253" s="5" t="s">
        <v>1240</v>
      </c>
      <c r="G253" s="5">
        <v>4108187383</v>
      </c>
      <c r="H253" s="5">
        <v>0</v>
      </c>
      <c r="I253" s="20">
        <v>635</v>
      </c>
      <c r="J253" s="6" t="s">
        <v>924</v>
      </c>
      <c r="K253" s="6" t="s">
        <v>925</v>
      </c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 t="s">
        <v>404</v>
      </c>
    </row>
    <row r="254" spans="2:25" s="19" customFormat="1" x14ac:dyDescent="0.2">
      <c r="B254" s="5" t="s">
        <v>1239</v>
      </c>
      <c r="C254" s="5" t="s">
        <v>874</v>
      </c>
      <c r="D254" s="5" t="s">
        <v>875</v>
      </c>
      <c r="E254" s="5" t="s">
        <v>875</v>
      </c>
      <c r="F254" s="5" t="s">
        <v>1240</v>
      </c>
      <c r="G254" s="5">
        <v>4108187383</v>
      </c>
      <c r="H254" s="5">
        <v>0</v>
      </c>
      <c r="I254" s="20">
        <v>636</v>
      </c>
      <c r="J254" s="6" t="s">
        <v>924</v>
      </c>
      <c r="K254" s="6" t="s">
        <v>649</v>
      </c>
      <c r="L254" s="6" t="s">
        <v>67</v>
      </c>
      <c r="M254" s="6" t="s">
        <v>67</v>
      </c>
      <c r="N254" s="6" t="s">
        <v>651</v>
      </c>
      <c r="O254" s="6">
        <v>7206529150</v>
      </c>
      <c r="P254" s="6">
        <v>3038865283</v>
      </c>
      <c r="Q254" s="6" t="s">
        <v>1251</v>
      </c>
      <c r="R254" s="6" t="s">
        <v>180</v>
      </c>
      <c r="S254" s="6" t="s">
        <v>927</v>
      </c>
      <c r="T254" s="6">
        <v>80504</v>
      </c>
      <c r="U254" s="6" t="s">
        <v>1251</v>
      </c>
      <c r="V254" s="6" t="s">
        <v>180</v>
      </c>
      <c r="W254" s="6" t="s">
        <v>927</v>
      </c>
      <c r="X254" s="6">
        <v>80504</v>
      </c>
      <c r="Y254" s="6" t="s">
        <v>404</v>
      </c>
    </row>
    <row r="255" spans="2:25" s="19" customFormat="1" x14ac:dyDescent="0.2">
      <c r="B255" s="5" t="s">
        <v>1239</v>
      </c>
      <c r="C255" s="5" t="s">
        <v>874</v>
      </c>
      <c r="D255" s="5" t="s">
        <v>875</v>
      </c>
      <c r="E255" s="5" t="s">
        <v>875</v>
      </c>
      <c r="F255" s="5" t="s">
        <v>1240</v>
      </c>
      <c r="G255" s="5">
        <v>4108187383</v>
      </c>
      <c r="H255" s="5">
        <v>0</v>
      </c>
      <c r="I255" s="20">
        <v>636</v>
      </c>
      <c r="J255" s="6" t="s">
        <v>924</v>
      </c>
      <c r="K255" s="6" t="s">
        <v>925</v>
      </c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 t="s">
        <v>404</v>
      </c>
    </row>
    <row r="256" spans="2:25" s="19" customFormat="1" x14ac:dyDescent="0.2">
      <c r="B256" s="5" t="s">
        <v>1239</v>
      </c>
      <c r="C256" s="5" t="s">
        <v>874</v>
      </c>
      <c r="D256" s="5" t="s">
        <v>875</v>
      </c>
      <c r="E256" s="5" t="s">
        <v>875</v>
      </c>
      <c r="F256" s="5" t="s">
        <v>1240</v>
      </c>
      <c r="G256" s="5">
        <v>4108187383</v>
      </c>
      <c r="H256" s="5">
        <v>0</v>
      </c>
      <c r="I256" s="20">
        <v>637</v>
      </c>
      <c r="J256" s="6" t="s">
        <v>924</v>
      </c>
      <c r="K256" s="6" t="s">
        <v>1252</v>
      </c>
      <c r="L256" s="6" t="s">
        <v>1172</v>
      </c>
      <c r="M256" s="6" t="s">
        <v>1172</v>
      </c>
      <c r="N256" s="6" t="s">
        <v>1253</v>
      </c>
      <c r="O256" s="6">
        <v>3038828389</v>
      </c>
      <c r="P256" s="6"/>
      <c r="Q256" s="6" t="s">
        <v>1254</v>
      </c>
      <c r="R256" s="6" t="s">
        <v>180</v>
      </c>
      <c r="S256" s="6" t="s">
        <v>927</v>
      </c>
      <c r="T256" s="6">
        <v>80504</v>
      </c>
      <c r="U256" s="6" t="s">
        <v>1254</v>
      </c>
      <c r="V256" s="6" t="s">
        <v>180</v>
      </c>
      <c r="W256" s="6" t="s">
        <v>927</v>
      </c>
      <c r="X256" s="6">
        <v>80504</v>
      </c>
      <c r="Y256" s="6" t="s">
        <v>404</v>
      </c>
    </row>
    <row r="257" spans="2:25" s="19" customFormat="1" x14ac:dyDescent="0.2">
      <c r="B257" s="5" t="s">
        <v>1239</v>
      </c>
      <c r="C257" s="5" t="s">
        <v>874</v>
      </c>
      <c r="D257" s="5" t="s">
        <v>875</v>
      </c>
      <c r="E257" s="5" t="s">
        <v>875</v>
      </c>
      <c r="F257" s="5" t="s">
        <v>1240</v>
      </c>
      <c r="G257" s="5">
        <v>4108187383</v>
      </c>
      <c r="H257" s="5">
        <v>0</v>
      </c>
      <c r="I257" s="20">
        <v>637</v>
      </c>
      <c r="J257" s="6" t="s">
        <v>924</v>
      </c>
      <c r="K257" s="6" t="s">
        <v>925</v>
      </c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 t="s">
        <v>404</v>
      </c>
    </row>
    <row r="258" spans="2:25" s="19" customFormat="1" x14ac:dyDescent="0.2">
      <c r="B258" s="5" t="s">
        <v>1255</v>
      </c>
      <c r="C258" s="5" t="s">
        <v>81</v>
      </c>
      <c r="D258" s="5" t="s">
        <v>82</v>
      </c>
      <c r="E258" s="5" t="s">
        <v>82</v>
      </c>
      <c r="F258" s="5" t="s">
        <v>83</v>
      </c>
      <c r="G258" s="5">
        <v>3036817722</v>
      </c>
      <c r="H258" s="5">
        <v>0</v>
      </c>
      <c r="I258" s="20">
        <v>623</v>
      </c>
      <c r="J258" s="6" t="s">
        <v>924</v>
      </c>
      <c r="K258" s="6" t="s">
        <v>1256</v>
      </c>
      <c r="L258" s="6" t="s">
        <v>635</v>
      </c>
      <c r="M258" s="6" t="s">
        <v>635</v>
      </c>
      <c r="N258" s="6" t="s">
        <v>1257</v>
      </c>
      <c r="O258" s="6">
        <v>3039315904</v>
      </c>
      <c r="P258" s="6"/>
      <c r="Q258" s="6" t="s">
        <v>1258</v>
      </c>
      <c r="R258" s="6" t="s">
        <v>180</v>
      </c>
      <c r="S258" s="6" t="s">
        <v>927</v>
      </c>
      <c r="T258" s="6">
        <v>80504</v>
      </c>
      <c r="U258" s="6" t="s">
        <v>1258</v>
      </c>
      <c r="V258" s="6" t="s">
        <v>180</v>
      </c>
      <c r="W258" s="6" t="s">
        <v>927</v>
      </c>
      <c r="X258" s="6">
        <v>80504</v>
      </c>
      <c r="Y258" s="6" t="s">
        <v>390</v>
      </c>
    </row>
    <row r="259" spans="2:25" s="19" customFormat="1" x14ac:dyDescent="0.2">
      <c r="B259" s="5" t="s">
        <v>1255</v>
      </c>
      <c r="C259" s="5" t="s">
        <v>81</v>
      </c>
      <c r="D259" s="5" t="s">
        <v>82</v>
      </c>
      <c r="E259" s="5" t="s">
        <v>82</v>
      </c>
      <c r="F259" s="5" t="s">
        <v>83</v>
      </c>
      <c r="G259" s="5">
        <v>3036817722</v>
      </c>
      <c r="H259" s="5">
        <v>0</v>
      </c>
      <c r="I259" s="20">
        <v>623</v>
      </c>
      <c r="J259" s="6" t="s">
        <v>924</v>
      </c>
      <c r="K259" s="6" t="s">
        <v>925</v>
      </c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 t="s">
        <v>390</v>
      </c>
    </row>
    <row r="260" spans="2:25" s="19" customFormat="1" x14ac:dyDescent="0.2">
      <c r="B260" s="5" t="s">
        <v>1255</v>
      </c>
      <c r="C260" s="5" t="s">
        <v>81</v>
      </c>
      <c r="D260" s="5" t="s">
        <v>82</v>
      </c>
      <c r="E260" s="5" t="s">
        <v>82</v>
      </c>
      <c r="F260" s="5" t="s">
        <v>83</v>
      </c>
      <c r="G260" s="5">
        <v>3036817722</v>
      </c>
      <c r="H260" s="5">
        <v>0</v>
      </c>
      <c r="I260" s="20">
        <v>633</v>
      </c>
      <c r="J260" s="6" t="s">
        <v>924</v>
      </c>
      <c r="K260" s="6" t="s">
        <v>925</v>
      </c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 t="s">
        <v>390</v>
      </c>
    </row>
    <row r="261" spans="2:25" s="19" customFormat="1" x14ac:dyDescent="0.2">
      <c r="B261" s="5" t="s">
        <v>1255</v>
      </c>
      <c r="C261" s="5" t="s">
        <v>81</v>
      </c>
      <c r="D261" s="5" t="s">
        <v>82</v>
      </c>
      <c r="E261" s="5" t="s">
        <v>82</v>
      </c>
      <c r="F261" s="5" t="s">
        <v>83</v>
      </c>
      <c r="G261" s="5">
        <v>3036817722</v>
      </c>
      <c r="H261" s="5">
        <v>0</v>
      </c>
      <c r="I261" s="20">
        <v>633</v>
      </c>
      <c r="J261" s="6" t="s">
        <v>924</v>
      </c>
      <c r="K261" s="6" t="s">
        <v>925</v>
      </c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 t="s">
        <v>390</v>
      </c>
    </row>
    <row r="262" spans="2:25" s="19" customFormat="1" x14ac:dyDescent="0.2">
      <c r="B262" s="5" t="s">
        <v>1255</v>
      </c>
      <c r="C262" s="5" t="s">
        <v>81</v>
      </c>
      <c r="D262" s="5" t="s">
        <v>82</v>
      </c>
      <c r="E262" s="5" t="s">
        <v>82</v>
      </c>
      <c r="F262" s="5" t="s">
        <v>83</v>
      </c>
      <c r="G262" s="5">
        <v>3036817722</v>
      </c>
      <c r="H262" s="5">
        <v>0</v>
      </c>
      <c r="I262" s="20">
        <v>634</v>
      </c>
      <c r="J262" s="6" t="s">
        <v>924</v>
      </c>
      <c r="K262" s="6" t="s">
        <v>925</v>
      </c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 t="s">
        <v>390</v>
      </c>
    </row>
    <row r="263" spans="2:25" s="19" customFormat="1" x14ac:dyDescent="0.2">
      <c r="B263" s="5" t="s">
        <v>1255</v>
      </c>
      <c r="C263" s="5" t="s">
        <v>81</v>
      </c>
      <c r="D263" s="5" t="s">
        <v>82</v>
      </c>
      <c r="E263" s="5" t="s">
        <v>82</v>
      </c>
      <c r="F263" s="5" t="s">
        <v>83</v>
      </c>
      <c r="G263" s="5">
        <v>3036817722</v>
      </c>
      <c r="H263" s="5">
        <v>0</v>
      </c>
      <c r="I263" s="20">
        <v>634</v>
      </c>
      <c r="J263" s="6" t="s">
        <v>924</v>
      </c>
      <c r="K263" s="6" t="s">
        <v>925</v>
      </c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 t="s">
        <v>390</v>
      </c>
    </row>
    <row r="264" spans="2:25" s="19" customFormat="1" x14ac:dyDescent="0.2">
      <c r="B264" s="5" t="s">
        <v>1255</v>
      </c>
      <c r="C264" s="5" t="s">
        <v>81</v>
      </c>
      <c r="D264" s="5" t="s">
        <v>82</v>
      </c>
      <c r="E264" s="5" t="s">
        <v>82</v>
      </c>
      <c r="F264" s="5" t="s">
        <v>83</v>
      </c>
      <c r="G264" s="5">
        <v>3036817722</v>
      </c>
      <c r="H264" s="5">
        <v>0</v>
      </c>
      <c r="I264" s="20">
        <v>638</v>
      </c>
      <c r="J264" s="6" t="s">
        <v>924</v>
      </c>
      <c r="K264" s="6" t="s">
        <v>925</v>
      </c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 t="s">
        <v>390</v>
      </c>
    </row>
    <row r="265" spans="2:25" s="19" customFormat="1" x14ac:dyDescent="0.2">
      <c r="B265" s="5" t="s">
        <v>1255</v>
      </c>
      <c r="C265" s="5" t="s">
        <v>81</v>
      </c>
      <c r="D265" s="5" t="s">
        <v>82</v>
      </c>
      <c r="E265" s="5" t="s">
        <v>82</v>
      </c>
      <c r="F265" s="5" t="s">
        <v>83</v>
      </c>
      <c r="G265" s="5">
        <v>3036817722</v>
      </c>
      <c r="H265" s="5">
        <v>0</v>
      </c>
      <c r="I265" s="20">
        <v>638</v>
      </c>
      <c r="J265" s="6" t="s">
        <v>924</v>
      </c>
      <c r="K265" s="6" t="s">
        <v>925</v>
      </c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 t="s">
        <v>390</v>
      </c>
    </row>
    <row r="266" spans="2:25" s="19" customFormat="1" x14ac:dyDescent="0.2">
      <c r="B266" s="5" t="s">
        <v>1255</v>
      </c>
      <c r="C266" s="5" t="s">
        <v>81</v>
      </c>
      <c r="D266" s="5" t="s">
        <v>82</v>
      </c>
      <c r="E266" s="5" t="s">
        <v>82</v>
      </c>
      <c r="F266" s="5" t="s">
        <v>83</v>
      </c>
      <c r="G266" s="5">
        <v>3036817722</v>
      </c>
      <c r="H266" s="5">
        <v>0</v>
      </c>
      <c r="I266" s="20">
        <v>639</v>
      </c>
      <c r="J266" s="6" t="s">
        <v>924</v>
      </c>
      <c r="K266" s="6" t="s">
        <v>486</v>
      </c>
      <c r="L266" s="6" t="s">
        <v>589</v>
      </c>
      <c r="M266" s="6" t="s">
        <v>589</v>
      </c>
      <c r="N266" s="6" t="s">
        <v>844</v>
      </c>
      <c r="O266" s="6">
        <v>7203082474</v>
      </c>
      <c r="P266" s="6"/>
      <c r="Q266" s="6" t="s">
        <v>1259</v>
      </c>
      <c r="R266" s="6" t="s">
        <v>180</v>
      </c>
      <c r="S266" s="6" t="s">
        <v>927</v>
      </c>
      <c r="T266" s="6">
        <v>80504</v>
      </c>
      <c r="U266" s="6" t="s">
        <v>1259</v>
      </c>
      <c r="V266" s="6" t="s">
        <v>180</v>
      </c>
      <c r="W266" s="6" t="s">
        <v>927</v>
      </c>
      <c r="X266" s="6">
        <v>80504</v>
      </c>
      <c r="Y266" s="6" t="s">
        <v>390</v>
      </c>
    </row>
    <row r="267" spans="2:25" s="19" customFormat="1" x14ac:dyDescent="0.2">
      <c r="B267" s="5" t="s">
        <v>1255</v>
      </c>
      <c r="C267" s="5" t="s">
        <v>81</v>
      </c>
      <c r="D267" s="5" t="s">
        <v>82</v>
      </c>
      <c r="E267" s="5" t="s">
        <v>82</v>
      </c>
      <c r="F267" s="5" t="s">
        <v>83</v>
      </c>
      <c r="G267" s="5">
        <v>3036817722</v>
      </c>
      <c r="H267" s="5">
        <v>0</v>
      </c>
      <c r="I267" s="20">
        <v>639</v>
      </c>
      <c r="J267" s="6" t="s">
        <v>924</v>
      </c>
      <c r="K267" s="6" t="s">
        <v>1260</v>
      </c>
      <c r="L267" s="6" t="s">
        <v>1261</v>
      </c>
      <c r="M267" s="6" t="s">
        <v>1261</v>
      </c>
      <c r="N267" s="6" t="s">
        <v>1262</v>
      </c>
      <c r="O267" s="6">
        <v>3038158881</v>
      </c>
      <c r="P267" s="6">
        <v>3039069469</v>
      </c>
      <c r="Q267" s="6" t="s">
        <v>1263</v>
      </c>
      <c r="R267" s="6" t="s">
        <v>180</v>
      </c>
      <c r="S267" s="6" t="s">
        <v>927</v>
      </c>
      <c r="T267" s="6">
        <v>80504</v>
      </c>
      <c r="U267" s="6" t="s">
        <v>1263</v>
      </c>
      <c r="V267" s="6" t="s">
        <v>180</v>
      </c>
      <c r="W267" s="6" t="s">
        <v>927</v>
      </c>
      <c r="X267" s="6">
        <v>80504</v>
      </c>
      <c r="Y267" s="6" t="s">
        <v>390</v>
      </c>
    </row>
    <row r="268" spans="2:25" s="19" customFormat="1" x14ac:dyDescent="0.2">
      <c r="B268" s="5" t="s">
        <v>1255</v>
      </c>
      <c r="C268" s="5" t="s">
        <v>81</v>
      </c>
      <c r="D268" s="5" t="s">
        <v>82</v>
      </c>
      <c r="E268" s="5" t="s">
        <v>82</v>
      </c>
      <c r="F268" s="5" t="s">
        <v>83</v>
      </c>
      <c r="G268" s="5">
        <v>3036817722</v>
      </c>
      <c r="H268" s="5">
        <v>0</v>
      </c>
      <c r="I268" s="20">
        <v>640</v>
      </c>
      <c r="J268" s="6" t="s">
        <v>924</v>
      </c>
      <c r="K268" s="6" t="s">
        <v>1264</v>
      </c>
      <c r="L268" s="6" t="s">
        <v>1119</v>
      </c>
      <c r="M268" s="6" t="s">
        <v>1119</v>
      </c>
      <c r="N268" s="6" t="s">
        <v>1265</v>
      </c>
      <c r="O268" s="6">
        <v>8452391147</v>
      </c>
      <c r="P268" s="6">
        <v>9703371452</v>
      </c>
      <c r="Q268" s="6" t="s">
        <v>1266</v>
      </c>
      <c r="R268" s="6" t="s">
        <v>180</v>
      </c>
      <c r="S268" s="6" t="s">
        <v>927</v>
      </c>
      <c r="T268" s="6">
        <v>80501</v>
      </c>
      <c r="U268" s="6" t="s">
        <v>1266</v>
      </c>
      <c r="V268" s="6" t="s">
        <v>180</v>
      </c>
      <c r="W268" s="6" t="s">
        <v>927</v>
      </c>
      <c r="X268" s="6">
        <v>80501</v>
      </c>
      <c r="Y268" s="6" t="s">
        <v>390</v>
      </c>
    </row>
    <row r="269" spans="2:25" s="19" customFormat="1" x14ac:dyDescent="0.2">
      <c r="B269" s="5" t="s">
        <v>1255</v>
      </c>
      <c r="C269" s="5" t="s">
        <v>81</v>
      </c>
      <c r="D269" s="5" t="s">
        <v>82</v>
      </c>
      <c r="E269" s="5" t="s">
        <v>82</v>
      </c>
      <c r="F269" s="5" t="s">
        <v>83</v>
      </c>
      <c r="G269" s="5">
        <v>3036817722</v>
      </c>
      <c r="H269" s="5">
        <v>0</v>
      </c>
      <c r="I269" s="20">
        <v>640</v>
      </c>
      <c r="J269" s="6" t="s">
        <v>924</v>
      </c>
      <c r="K269" s="6" t="s">
        <v>728</v>
      </c>
      <c r="L269" s="6" t="s">
        <v>729</v>
      </c>
      <c r="M269" s="6" t="s">
        <v>729</v>
      </c>
      <c r="N269" s="6" t="s">
        <v>730</v>
      </c>
      <c r="O269" s="6">
        <v>7602673610</v>
      </c>
      <c r="P269" s="6"/>
      <c r="Q269" s="6" t="s">
        <v>1267</v>
      </c>
      <c r="R269" s="6" t="s">
        <v>180</v>
      </c>
      <c r="S269" s="6" t="s">
        <v>927</v>
      </c>
      <c r="T269" s="6">
        <v>80501</v>
      </c>
      <c r="U269" s="6" t="s">
        <v>1267</v>
      </c>
      <c r="V269" s="6" t="s">
        <v>180</v>
      </c>
      <c r="W269" s="6" t="s">
        <v>927</v>
      </c>
      <c r="X269" s="6">
        <v>80501</v>
      </c>
      <c r="Y269" s="6" t="s">
        <v>390</v>
      </c>
    </row>
    <row r="270" spans="2:25" s="19" customFormat="1" x14ac:dyDescent="0.2">
      <c r="B270" s="5" t="s">
        <v>1255</v>
      </c>
      <c r="C270" s="5" t="s">
        <v>81</v>
      </c>
      <c r="D270" s="5" t="s">
        <v>82</v>
      </c>
      <c r="E270" s="5" t="s">
        <v>82</v>
      </c>
      <c r="F270" s="5" t="s">
        <v>83</v>
      </c>
      <c r="G270" s="5">
        <v>3036817722</v>
      </c>
      <c r="H270" s="5">
        <v>0</v>
      </c>
      <c r="I270" s="20">
        <v>650</v>
      </c>
      <c r="J270" s="6" t="s">
        <v>924</v>
      </c>
      <c r="K270" s="6" t="s">
        <v>925</v>
      </c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 t="s">
        <v>390</v>
      </c>
    </row>
    <row r="271" spans="2:25" s="19" customFormat="1" x14ac:dyDescent="0.2">
      <c r="B271" s="5" t="s">
        <v>1255</v>
      </c>
      <c r="C271" s="5" t="s">
        <v>81</v>
      </c>
      <c r="D271" s="5" t="s">
        <v>82</v>
      </c>
      <c r="E271" s="5" t="s">
        <v>82</v>
      </c>
      <c r="F271" s="5" t="s">
        <v>83</v>
      </c>
      <c r="G271" s="5">
        <v>3036817722</v>
      </c>
      <c r="H271" s="5">
        <v>0</v>
      </c>
      <c r="I271" s="20">
        <v>650</v>
      </c>
      <c r="J271" s="6" t="s">
        <v>924</v>
      </c>
      <c r="K271" s="6" t="s">
        <v>925</v>
      </c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 t="s">
        <v>390</v>
      </c>
    </row>
    <row r="272" spans="2:25" s="19" customFormat="1" x14ac:dyDescent="0.2">
      <c r="B272" s="5" t="s">
        <v>1255</v>
      </c>
      <c r="C272" s="5" t="s">
        <v>81</v>
      </c>
      <c r="D272" s="5" t="s">
        <v>82</v>
      </c>
      <c r="E272" s="5" t="s">
        <v>82</v>
      </c>
      <c r="F272" s="5" t="s">
        <v>83</v>
      </c>
      <c r="G272" s="5">
        <v>3036817722</v>
      </c>
      <c r="H272" s="5">
        <v>0</v>
      </c>
      <c r="I272" s="20">
        <v>651</v>
      </c>
      <c r="J272" s="6" t="s">
        <v>924</v>
      </c>
      <c r="K272" s="6" t="s">
        <v>1268</v>
      </c>
      <c r="L272" s="6" t="s">
        <v>26</v>
      </c>
      <c r="M272" s="6" t="s">
        <v>26</v>
      </c>
      <c r="N272" s="6" t="s">
        <v>1269</v>
      </c>
      <c r="O272" s="6">
        <v>7203258470</v>
      </c>
      <c r="P272" s="6"/>
      <c r="Q272" s="6" t="s">
        <v>1270</v>
      </c>
      <c r="R272" s="6" t="s">
        <v>180</v>
      </c>
      <c r="S272" s="6" t="s">
        <v>927</v>
      </c>
      <c r="T272" s="6">
        <v>80504</v>
      </c>
      <c r="U272" s="6" t="s">
        <v>1270</v>
      </c>
      <c r="V272" s="6" t="s">
        <v>180</v>
      </c>
      <c r="W272" s="6" t="s">
        <v>927</v>
      </c>
      <c r="X272" s="6">
        <v>80504</v>
      </c>
      <c r="Y272" s="6" t="s">
        <v>390</v>
      </c>
    </row>
    <row r="273" spans="2:25" s="19" customFormat="1" x14ac:dyDescent="0.2">
      <c r="B273" s="5" t="s">
        <v>1255</v>
      </c>
      <c r="C273" s="5" t="s">
        <v>81</v>
      </c>
      <c r="D273" s="5" t="s">
        <v>82</v>
      </c>
      <c r="E273" s="5" t="s">
        <v>82</v>
      </c>
      <c r="F273" s="5" t="s">
        <v>83</v>
      </c>
      <c r="G273" s="5">
        <v>3036817722</v>
      </c>
      <c r="H273" s="5">
        <v>0</v>
      </c>
      <c r="I273" s="20">
        <v>651</v>
      </c>
      <c r="J273" s="6" t="s">
        <v>924</v>
      </c>
      <c r="K273" s="6" t="s">
        <v>925</v>
      </c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 t="s">
        <v>390</v>
      </c>
    </row>
    <row r="274" spans="2:25" s="19" customFormat="1" x14ac:dyDescent="0.2">
      <c r="B274" s="5" t="s">
        <v>1271</v>
      </c>
      <c r="C274" s="5" t="s">
        <v>63</v>
      </c>
      <c r="D274" s="5" t="s">
        <v>1272</v>
      </c>
      <c r="E274" s="5" t="s">
        <v>1272</v>
      </c>
      <c r="F274" s="5" t="s">
        <v>64</v>
      </c>
      <c r="G274" s="5">
        <v>3035946434</v>
      </c>
      <c r="H274" s="5">
        <v>0</v>
      </c>
      <c r="I274" s="20">
        <v>626</v>
      </c>
      <c r="J274" s="6" t="s">
        <v>924</v>
      </c>
      <c r="K274" s="6" t="s">
        <v>525</v>
      </c>
      <c r="L274" s="6" t="s">
        <v>526</v>
      </c>
      <c r="M274" s="6" t="s">
        <v>526</v>
      </c>
      <c r="N274" s="6" t="s">
        <v>1273</v>
      </c>
      <c r="O274" s="6">
        <v>3038950174</v>
      </c>
      <c r="P274" s="6"/>
      <c r="Q274" s="6" t="s">
        <v>1274</v>
      </c>
      <c r="R274" s="6" t="s">
        <v>180</v>
      </c>
      <c r="S274" s="6" t="s">
        <v>927</v>
      </c>
      <c r="T274" s="6">
        <v>80503</v>
      </c>
      <c r="U274" s="6" t="s">
        <v>1274</v>
      </c>
      <c r="V274" s="6" t="s">
        <v>180</v>
      </c>
      <c r="W274" s="6" t="s">
        <v>927</v>
      </c>
      <c r="X274" s="6">
        <v>80503</v>
      </c>
      <c r="Y274" s="6" t="s">
        <v>397</v>
      </c>
    </row>
    <row r="275" spans="2:25" s="19" customFormat="1" x14ac:dyDescent="0.2">
      <c r="B275" s="5" t="s">
        <v>1271</v>
      </c>
      <c r="C275" s="5" t="s">
        <v>63</v>
      </c>
      <c r="D275" s="5" t="s">
        <v>1272</v>
      </c>
      <c r="E275" s="5" t="s">
        <v>1272</v>
      </c>
      <c r="F275" s="5" t="s">
        <v>64</v>
      </c>
      <c r="G275" s="5">
        <v>3035946434</v>
      </c>
      <c r="H275" s="5">
        <v>0</v>
      </c>
      <c r="I275" s="20">
        <v>626</v>
      </c>
      <c r="J275" s="6" t="s">
        <v>924</v>
      </c>
      <c r="K275" s="6" t="s">
        <v>1275</v>
      </c>
      <c r="L275" s="6" t="s">
        <v>1276</v>
      </c>
      <c r="M275" s="6" t="s">
        <v>1276</v>
      </c>
      <c r="N275" s="6" t="s">
        <v>1277</v>
      </c>
      <c r="O275" s="6">
        <v>5757709848</v>
      </c>
      <c r="P275" s="6"/>
      <c r="Q275" s="6" t="s">
        <v>1278</v>
      </c>
      <c r="R275" s="6" t="s">
        <v>180</v>
      </c>
      <c r="S275" s="6" t="s">
        <v>927</v>
      </c>
      <c r="T275" s="6">
        <v>80503</v>
      </c>
      <c r="U275" s="6" t="s">
        <v>1278</v>
      </c>
      <c r="V275" s="6" t="s">
        <v>180</v>
      </c>
      <c r="W275" s="6" t="s">
        <v>927</v>
      </c>
      <c r="X275" s="6">
        <v>80503</v>
      </c>
      <c r="Y275" s="6" t="s">
        <v>397</v>
      </c>
    </row>
    <row r="276" spans="2:25" s="19" customFormat="1" x14ac:dyDescent="0.2">
      <c r="B276" s="5" t="s">
        <v>1271</v>
      </c>
      <c r="C276" s="5" t="s">
        <v>63</v>
      </c>
      <c r="D276" s="5" t="s">
        <v>1272</v>
      </c>
      <c r="E276" s="5" t="s">
        <v>1272</v>
      </c>
      <c r="F276" s="5" t="s">
        <v>64</v>
      </c>
      <c r="G276" s="5">
        <v>3035946434</v>
      </c>
      <c r="H276" s="5">
        <v>0</v>
      </c>
      <c r="I276" s="20">
        <v>627</v>
      </c>
      <c r="J276" s="6" t="s">
        <v>924</v>
      </c>
      <c r="K276" s="6" t="s">
        <v>527</v>
      </c>
      <c r="L276" s="6" t="s">
        <v>26</v>
      </c>
      <c r="M276" s="6" t="s">
        <v>26</v>
      </c>
      <c r="N276" s="6" t="s">
        <v>529</v>
      </c>
      <c r="O276" s="6">
        <v>2252290720</v>
      </c>
      <c r="P276" s="6"/>
      <c r="Q276" s="6" t="s">
        <v>1279</v>
      </c>
      <c r="R276" s="6" t="s">
        <v>180</v>
      </c>
      <c r="S276" s="6" t="s">
        <v>927</v>
      </c>
      <c r="T276" s="6">
        <v>80503</v>
      </c>
      <c r="U276" s="6" t="s">
        <v>1279</v>
      </c>
      <c r="V276" s="6" t="s">
        <v>180</v>
      </c>
      <c r="W276" s="6" t="s">
        <v>927</v>
      </c>
      <c r="X276" s="6">
        <v>80503</v>
      </c>
      <c r="Y276" s="6" t="s">
        <v>397</v>
      </c>
    </row>
    <row r="277" spans="2:25" s="19" customFormat="1" x14ac:dyDescent="0.2">
      <c r="B277" s="5" t="s">
        <v>1271</v>
      </c>
      <c r="C277" s="5" t="s">
        <v>63</v>
      </c>
      <c r="D277" s="5" t="s">
        <v>1272</v>
      </c>
      <c r="E277" s="5" t="s">
        <v>1272</v>
      </c>
      <c r="F277" s="5" t="s">
        <v>64</v>
      </c>
      <c r="G277" s="5">
        <v>3035946434</v>
      </c>
      <c r="H277" s="5">
        <v>0</v>
      </c>
      <c r="I277" s="20">
        <v>627</v>
      </c>
      <c r="J277" s="6" t="s">
        <v>924</v>
      </c>
      <c r="K277" s="6" t="s">
        <v>925</v>
      </c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 t="s">
        <v>397</v>
      </c>
    </row>
    <row r="278" spans="2:25" s="19" customFormat="1" x14ac:dyDescent="0.2">
      <c r="B278" s="5" t="s">
        <v>1271</v>
      </c>
      <c r="C278" s="5" t="s">
        <v>63</v>
      </c>
      <c r="D278" s="5" t="s">
        <v>1272</v>
      </c>
      <c r="E278" s="5" t="s">
        <v>1272</v>
      </c>
      <c r="F278" s="5" t="s">
        <v>64</v>
      </c>
      <c r="G278" s="5">
        <v>3035946434</v>
      </c>
      <c r="H278" s="5">
        <v>0</v>
      </c>
      <c r="I278" s="20">
        <v>628</v>
      </c>
      <c r="J278" s="6" t="s">
        <v>924</v>
      </c>
      <c r="K278" s="6" t="s">
        <v>925</v>
      </c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 t="s">
        <v>397</v>
      </c>
    </row>
    <row r="279" spans="2:25" s="19" customFormat="1" x14ac:dyDescent="0.2">
      <c r="B279" s="5" t="s">
        <v>1271</v>
      </c>
      <c r="C279" s="5" t="s">
        <v>63</v>
      </c>
      <c r="D279" s="5" t="s">
        <v>1272</v>
      </c>
      <c r="E279" s="5" t="s">
        <v>1272</v>
      </c>
      <c r="F279" s="5" t="s">
        <v>64</v>
      </c>
      <c r="G279" s="5">
        <v>3035946434</v>
      </c>
      <c r="H279" s="5">
        <v>0</v>
      </c>
      <c r="I279" s="20">
        <v>628</v>
      </c>
      <c r="J279" s="6" t="s">
        <v>924</v>
      </c>
      <c r="K279" s="6" t="s">
        <v>925</v>
      </c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 t="s">
        <v>397</v>
      </c>
    </row>
    <row r="280" spans="2:25" s="19" customFormat="1" x14ac:dyDescent="0.2">
      <c r="B280" s="5" t="s">
        <v>1271</v>
      </c>
      <c r="C280" s="5" t="s">
        <v>63</v>
      </c>
      <c r="D280" s="5" t="s">
        <v>1272</v>
      </c>
      <c r="E280" s="5" t="s">
        <v>1272</v>
      </c>
      <c r="F280" s="5" t="s">
        <v>64</v>
      </c>
      <c r="G280" s="5">
        <v>3035946434</v>
      </c>
      <c r="H280" s="5">
        <v>0</v>
      </c>
      <c r="I280" s="20">
        <v>629</v>
      </c>
      <c r="J280" s="6" t="s">
        <v>924</v>
      </c>
      <c r="K280" s="6" t="s">
        <v>63</v>
      </c>
      <c r="L280" s="6" t="s">
        <v>1272</v>
      </c>
      <c r="M280" s="6" t="s">
        <v>1272</v>
      </c>
      <c r="N280" s="6" t="s">
        <v>64</v>
      </c>
      <c r="O280" s="6">
        <v>3035946434</v>
      </c>
      <c r="P280" s="6"/>
      <c r="Q280" s="6" t="s">
        <v>1280</v>
      </c>
      <c r="R280" s="6" t="s">
        <v>180</v>
      </c>
      <c r="S280" s="6" t="s">
        <v>927</v>
      </c>
      <c r="T280" s="6">
        <v>80503</v>
      </c>
      <c r="U280" s="6" t="s">
        <v>1280</v>
      </c>
      <c r="V280" s="6" t="s">
        <v>180</v>
      </c>
      <c r="W280" s="6" t="s">
        <v>927</v>
      </c>
      <c r="X280" s="6">
        <v>80503</v>
      </c>
      <c r="Y280" s="6" t="s">
        <v>397</v>
      </c>
    </row>
    <row r="281" spans="2:25" s="19" customFormat="1" x14ac:dyDescent="0.2">
      <c r="B281" s="5" t="s">
        <v>1271</v>
      </c>
      <c r="C281" s="5" t="s">
        <v>63</v>
      </c>
      <c r="D281" s="5" t="s">
        <v>1272</v>
      </c>
      <c r="E281" s="5" t="s">
        <v>1272</v>
      </c>
      <c r="F281" s="5" t="s">
        <v>64</v>
      </c>
      <c r="G281" s="5">
        <v>3035946434</v>
      </c>
      <c r="H281" s="5">
        <v>0</v>
      </c>
      <c r="I281" s="20">
        <v>629</v>
      </c>
      <c r="J281" s="6" t="s">
        <v>924</v>
      </c>
      <c r="K281" s="6" t="s">
        <v>757</v>
      </c>
      <c r="L281" s="6" t="s">
        <v>758</v>
      </c>
      <c r="M281" s="6" t="s">
        <v>758</v>
      </c>
      <c r="N281" s="6" t="s">
        <v>1281</v>
      </c>
      <c r="O281" s="6">
        <v>3038754727</v>
      </c>
      <c r="P281" s="6"/>
      <c r="Q281" s="6" t="s">
        <v>1282</v>
      </c>
      <c r="R281" s="6" t="s">
        <v>180</v>
      </c>
      <c r="S281" s="6" t="s">
        <v>927</v>
      </c>
      <c r="T281" s="6">
        <v>80503</v>
      </c>
      <c r="U281" s="6" t="s">
        <v>1282</v>
      </c>
      <c r="V281" s="6" t="s">
        <v>180</v>
      </c>
      <c r="W281" s="6" t="s">
        <v>927</v>
      </c>
      <c r="X281" s="6">
        <v>80503</v>
      </c>
      <c r="Y281" s="6" t="s">
        <v>397</v>
      </c>
    </row>
    <row r="282" spans="2:25" s="19" customFormat="1" x14ac:dyDescent="0.2">
      <c r="B282" s="5" t="s">
        <v>1271</v>
      </c>
      <c r="C282" s="5" t="s">
        <v>63</v>
      </c>
      <c r="D282" s="5" t="s">
        <v>1272</v>
      </c>
      <c r="E282" s="5" t="s">
        <v>1272</v>
      </c>
      <c r="F282" s="5" t="s">
        <v>64</v>
      </c>
      <c r="G282" s="5">
        <v>3035946434</v>
      </c>
      <c r="H282" s="5">
        <v>0</v>
      </c>
      <c r="I282" s="20">
        <v>643</v>
      </c>
      <c r="J282" s="6" t="s">
        <v>924</v>
      </c>
      <c r="K282" s="6" t="s">
        <v>1283</v>
      </c>
      <c r="L282" s="6" t="s">
        <v>1284</v>
      </c>
      <c r="M282" s="6" t="s">
        <v>1284</v>
      </c>
      <c r="N282" s="6" t="s">
        <v>1285</v>
      </c>
      <c r="O282" s="6">
        <v>3037027301</v>
      </c>
      <c r="P282" s="6"/>
      <c r="Q282" s="6" t="s">
        <v>1286</v>
      </c>
      <c r="R282" s="6" t="s">
        <v>180</v>
      </c>
      <c r="S282" s="6" t="s">
        <v>927</v>
      </c>
      <c r="T282" s="6">
        <v>80503</v>
      </c>
      <c r="U282" s="6" t="s">
        <v>1286</v>
      </c>
      <c r="V282" s="6" t="s">
        <v>180</v>
      </c>
      <c r="W282" s="6" t="s">
        <v>927</v>
      </c>
      <c r="X282" s="6">
        <v>80503</v>
      </c>
      <c r="Y282" s="6" t="s">
        <v>397</v>
      </c>
    </row>
    <row r="283" spans="2:25" s="19" customFormat="1" x14ac:dyDescent="0.2">
      <c r="B283" s="5" t="s">
        <v>1271</v>
      </c>
      <c r="C283" s="5" t="s">
        <v>63</v>
      </c>
      <c r="D283" s="5" t="s">
        <v>1272</v>
      </c>
      <c r="E283" s="5" t="s">
        <v>1272</v>
      </c>
      <c r="F283" s="5" t="s">
        <v>64</v>
      </c>
      <c r="G283" s="5">
        <v>3035946434</v>
      </c>
      <c r="H283" s="5">
        <v>0</v>
      </c>
      <c r="I283" s="20">
        <v>643</v>
      </c>
      <c r="J283" s="6" t="s">
        <v>924</v>
      </c>
      <c r="K283" s="6" t="s">
        <v>1287</v>
      </c>
      <c r="L283" s="6" t="s">
        <v>1288</v>
      </c>
      <c r="M283" s="6" t="s">
        <v>1288</v>
      </c>
      <c r="N283" s="6" t="s">
        <v>1289</v>
      </c>
      <c r="O283" s="6">
        <v>6123259192</v>
      </c>
      <c r="P283" s="6"/>
      <c r="Q283" s="6" t="s">
        <v>1290</v>
      </c>
      <c r="R283" s="6" t="s">
        <v>180</v>
      </c>
      <c r="S283" s="6" t="s">
        <v>927</v>
      </c>
      <c r="T283" s="6">
        <v>80503</v>
      </c>
      <c r="U283" s="6" t="s">
        <v>1290</v>
      </c>
      <c r="V283" s="6" t="s">
        <v>180</v>
      </c>
      <c r="W283" s="6" t="s">
        <v>927</v>
      </c>
      <c r="X283" s="6">
        <v>80503</v>
      </c>
      <c r="Y283" s="6" t="s">
        <v>397</v>
      </c>
    </row>
    <row r="284" spans="2:25" s="19" customFormat="1" x14ac:dyDescent="0.2">
      <c r="B284" s="5" t="s">
        <v>1271</v>
      </c>
      <c r="C284" s="5" t="s">
        <v>63</v>
      </c>
      <c r="D284" s="5" t="s">
        <v>1272</v>
      </c>
      <c r="E284" s="5" t="s">
        <v>1272</v>
      </c>
      <c r="F284" s="5" t="s">
        <v>64</v>
      </c>
      <c r="G284" s="5">
        <v>3035946434</v>
      </c>
      <c r="H284" s="5">
        <v>0</v>
      </c>
      <c r="I284" s="20">
        <v>644</v>
      </c>
      <c r="J284" s="6" t="s">
        <v>924</v>
      </c>
      <c r="K284" s="6" t="s">
        <v>658</v>
      </c>
      <c r="L284" s="6" t="s">
        <v>659</v>
      </c>
      <c r="M284" s="6" t="s">
        <v>659</v>
      </c>
      <c r="N284" s="6" t="s">
        <v>661</v>
      </c>
      <c r="O284" s="6">
        <v>7204943064</v>
      </c>
      <c r="P284" s="6">
        <v>7203400436</v>
      </c>
      <c r="Q284" s="6" t="s">
        <v>1291</v>
      </c>
      <c r="R284" s="6" t="s">
        <v>180</v>
      </c>
      <c r="S284" s="6" t="s">
        <v>927</v>
      </c>
      <c r="T284" s="6">
        <v>80503</v>
      </c>
      <c r="U284" s="6" t="s">
        <v>1291</v>
      </c>
      <c r="V284" s="6" t="s">
        <v>180</v>
      </c>
      <c r="W284" s="6" t="s">
        <v>927</v>
      </c>
      <c r="X284" s="6">
        <v>80503</v>
      </c>
      <c r="Y284" s="6" t="s">
        <v>397</v>
      </c>
    </row>
    <row r="285" spans="2:25" s="19" customFormat="1" x14ac:dyDescent="0.2">
      <c r="B285" s="5" t="s">
        <v>1271</v>
      </c>
      <c r="C285" s="5" t="s">
        <v>63</v>
      </c>
      <c r="D285" s="5" t="s">
        <v>1272</v>
      </c>
      <c r="E285" s="5" t="s">
        <v>1272</v>
      </c>
      <c r="F285" s="5" t="s">
        <v>64</v>
      </c>
      <c r="G285" s="5">
        <v>3035946434</v>
      </c>
      <c r="H285" s="5">
        <v>0</v>
      </c>
      <c r="I285" s="20">
        <v>644</v>
      </c>
      <c r="J285" s="6" t="s">
        <v>924</v>
      </c>
      <c r="K285" s="6" t="s">
        <v>925</v>
      </c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 t="s">
        <v>397</v>
      </c>
    </row>
    <row r="286" spans="2:25" s="19" customFormat="1" x14ac:dyDescent="0.2">
      <c r="B286" s="5" t="s">
        <v>1271</v>
      </c>
      <c r="C286" s="5" t="s">
        <v>63</v>
      </c>
      <c r="D286" s="5" t="s">
        <v>1272</v>
      </c>
      <c r="E286" s="5" t="s">
        <v>1272</v>
      </c>
      <c r="F286" s="5" t="s">
        <v>64</v>
      </c>
      <c r="G286" s="5">
        <v>3035946434</v>
      </c>
      <c r="H286" s="5">
        <v>0</v>
      </c>
      <c r="I286" s="20">
        <v>645</v>
      </c>
      <c r="J286" s="6" t="s">
        <v>924</v>
      </c>
      <c r="K286" s="6" t="s">
        <v>1292</v>
      </c>
      <c r="L286" s="6" t="s">
        <v>855</v>
      </c>
      <c r="M286" s="6" t="s">
        <v>855</v>
      </c>
      <c r="N286" s="6" t="s">
        <v>1293</v>
      </c>
      <c r="O286" s="6">
        <v>8144098071</v>
      </c>
      <c r="P286" s="6"/>
      <c r="Q286" s="6" t="s">
        <v>1294</v>
      </c>
      <c r="R286" s="6" t="s">
        <v>180</v>
      </c>
      <c r="S286" s="6" t="s">
        <v>927</v>
      </c>
      <c r="T286" s="6">
        <v>80503</v>
      </c>
      <c r="U286" s="6" t="s">
        <v>1294</v>
      </c>
      <c r="V286" s="6" t="s">
        <v>180</v>
      </c>
      <c r="W286" s="6" t="s">
        <v>927</v>
      </c>
      <c r="X286" s="6">
        <v>80503</v>
      </c>
      <c r="Y286" s="6" t="s">
        <v>397</v>
      </c>
    </row>
    <row r="287" spans="2:25" s="19" customFormat="1" x14ac:dyDescent="0.2">
      <c r="B287" s="5" t="s">
        <v>1271</v>
      </c>
      <c r="C287" s="5" t="s">
        <v>63</v>
      </c>
      <c r="D287" s="5" t="s">
        <v>1272</v>
      </c>
      <c r="E287" s="5" t="s">
        <v>1272</v>
      </c>
      <c r="F287" s="5" t="s">
        <v>64</v>
      </c>
      <c r="G287" s="5">
        <v>3035946434</v>
      </c>
      <c r="H287" s="5">
        <v>0</v>
      </c>
      <c r="I287" s="20">
        <v>645</v>
      </c>
      <c r="J287" s="6" t="s">
        <v>924</v>
      </c>
      <c r="K287" s="6" t="s">
        <v>925</v>
      </c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 t="s">
        <v>397</v>
      </c>
    </row>
    <row r="288" spans="2:25" s="19" customFormat="1" x14ac:dyDescent="0.2">
      <c r="B288" s="5" t="s">
        <v>1271</v>
      </c>
      <c r="C288" s="5" t="s">
        <v>63</v>
      </c>
      <c r="D288" s="5" t="s">
        <v>1272</v>
      </c>
      <c r="E288" s="5" t="s">
        <v>1272</v>
      </c>
      <c r="F288" s="5" t="s">
        <v>64</v>
      </c>
      <c r="G288" s="5">
        <v>3035946434</v>
      </c>
      <c r="H288" s="5">
        <v>0</v>
      </c>
      <c r="I288" s="20">
        <v>646</v>
      </c>
      <c r="J288" s="6" t="s">
        <v>924</v>
      </c>
      <c r="K288" s="6" t="s">
        <v>925</v>
      </c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 t="s">
        <v>397</v>
      </c>
    </row>
    <row r="289" spans="2:25" s="19" customFormat="1" x14ac:dyDescent="0.2">
      <c r="B289" s="5" t="s">
        <v>1271</v>
      </c>
      <c r="C289" s="5" t="s">
        <v>63</v>
      </c>
      <c r="D289" s="5" t="s">
        <v>1272</v>
      </c>
      <c r="E289" s="5" t="s">
        <v>1272</v>
      </c>
      <c r="F289" s="5" t="s">
        <v>64</v>
      </c>
      <c r="G289" s="5">
        <v>3035946434</v>
      </c>
      <c r="H289" s="5">
        <v>0</v>
      </c>
      <c r="I289" s="20">
        <v>646</v>
      </c>
      <c r="J289" s="6" t="s">
        <v>924</v>
      </c>
      <c r="K289" s="6" t="s">
        <v>925</v>
      </c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 t="s">
        <v>397</v>
      </c>
    </row>
    <row r="290" spans="2:25" s="19" customFormat="1" x14ac:dyDescent="0.2">
      <c r="B290" s="5" t="s">
        <v>1295</v>
      </c>
      <c r="C290" s="5" t="s">
        <v>76</v>
      </c>
      <c r="D290" s="5" t="s">
        <v>77</v>
      </c>
      <c r="E290" s="5" t="s">
        <v>77</v>
      </c>
      <c r="F290" s="5" t="s">
        <v>1296</v>
      </c>
      <c r="G290" s="5">
        <v>3037757400</v>
      </c>
      <c r="H290" s="5">
        <v>0</v>
      </c>
      <c r="I290" s="20">
        <v>617</v>
      </c>
      <c r="J290" s="6" t="s">
        <v>924</v>
      </c>
      <c r="K290" s="6" t="s">
        <v>925</v>
      </c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 t="s">
        <v>410</v>
      </c>
    </row>
    <row r="291" spans="2:25" s="19" customFormat="1" x14ac:dyDescent="0.2">
      <c r="B291" s="5" t="s">
        <v>1295</v>
      </c>
      <c r="C291" s="5" t="s">
        <v>76</v>
      </c>
      <c r="D291" s="5" t="s">
        <v>77</v>
      </c>
      <c r="E291" s="5" t="s">
        <v>77</v>
      </c>
      <c r="F291" s="5" t="s">
        <v>1296</v>
      </c>
      <c r="G291" s="5">
        <v>3037757400</v>
      </c>
      <c r="H291" s="5">
        <v>0</v>
      </c>
      <c r="I291" s="20">
        <v>617</v>
      </c>
      <c r="J291" s="6" t="s">
        <v>924</v>
      </c>
      <c r="K291" s="6" t="s">
        <v>925</v>
      </c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 t="s">
        <v>410</v>
      </c>
    </row>
    <row r="292" spans="2:25" s="19" customFormat="1" x14ac:dyDescent="0.2">
      <c r="B292" s="5" t="s">
        <v>1295</v>
      </c>
      <c r="C292" s="5" t="s">
        <v>76</v>
      </c>
      <c r="D292" s="5" t="s">
        <v>77</v>
      </c>
      <c r="E292" s="5" t="s">
        <v>77</v>
      </c>
      <c r="F292" s="5" t="s">
        <v>1296</v>
      </c>
      <c r="G292" s="5">
        <v>3037757400</v>
      </c>
      <c r="H292" s="5">
        <v>0</v>
      </c>
      <c r="I292" s="20">
        <v>632</v>
      </c>
      <c r="J292" s="6" t="s">
        <v>924</v>
      </c>
      <c r="K292" s="6" t="s">
        <v>925</v>
      </c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 t="s">
        <v>410</v>
      </c>
    </row>
    <row r="293" spans="2:25" s="19" customFormat="1" x14ac:dyDescent="0.2">
      <c r="B293" s="5" t="s">
        <v>1295</v>
      </c>
      <c r="C293" s="5" t="s">
        <v>76</v>
      </c>
      <c r="D293" s="5" t="s">
        <v>77</v>
      </c>
      <c r="E293" s="5" t="s">
        <v>77</v>
      </c>
      <c r="F293" s="5" t="s">
        <v>1296</v>
      </c>
      <c r="G293" s="5">
        <v>3037757400</v>
      </c>
      <c r="H293" s="5">
        <v>0</v>
      </c>
      <c r="I293" s="20">
        <v>632</v>
      </c>
      <c r="J293" s="6" t="s">
        <v>924</v>
      </c>
      <c r="K293" s="6" t="s">
        <v>925</v>
      </c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 t="s">
        <v>410</v>
      </c>
    </row>
    <row r="294" spans="2:25" s="19" customFormat="1" x14ac:dyDescent="0.2">
      <c r="B294" s="5" t="s">
        <v>1295</v>
      </c>
      <c r="C294" s="5" t="s">
        <v>76</v>
      </c>
      <c r="D294" s="5" t="s">
        <v>77</v>
      </c>
      <c r="E294" s="5" t="s">
        <v>77</v>
      </c>
      <c r="F294" s="5" t="s">
        <v>1296</v>
      </c>
      <c r="G294" s="5">
        <v>3037757400</v>
      </c>
      <c r="H294" s="5">
        <v>0</v>
      </c>
      <c r="I294" s="20">
        <v>641</v>
      </c>
      <c r="J294" s="6" t="s">
        <v>924</v>
      </c>
      <c r="K294" s="6" t="s">
        <v>1297</v>
      </c>
      <c r="L294" s="6" t="s">
        <v>1298</v>
      </c>
      <c r="M294" s="6" t="s">
        <v>1298</v>
      </c>
      <c r="N294" s="6" t="s">
        <v>1299</v>
      </c>
      <c r="O294" s="6">
        <v>3036849087</v>
      </c>
      <c r="P294" s="6">
        <v>9048740432</v>
      </c>
      <c r="Q294" s="6" t="s">
        <v>1300</v>
      </c>
      <c r="R294" s="6" t="s">
        <v>180</v>
      </c>
      <c r="S294" s="6" t="s">
        <v>927</v>
      </c>
      <c r="T294" s="6">
        <v>80501</v>
      </c>
      <c r="U294" s="6" t="s">
        <v>1300</v>
      </c>
      <c r="V294" s="6" t="s">
        <v>180</v>
      </c>
      <c r="W294" s="6" t="s">
        <v>927</v>
      </c>
      <c r="X294" s="6">
        <v>80501</v>
      </c>
      <c r="Y294" s="6" t="s">
        <v>410</v>
      </c>
    </row>
    <row r="295" spans="2:25" s="19" customFormat="1" x14ac:dyDescent="0.2">
      <c r="B295" s="5" t="s">
        <v>1295</v>
      </c>
      <c r="C295" s="5" t="s">
        <v>76</v>
      </c>
      <c r="D295" s="5" t="s">
        <v>77</v>
      </c>
      <c r="E295" s="5" t="s">
        <v>77</v>
      </c>
      <c r="F295" s="5" t="s">
        <v>1296</v>
      </c>
      <c r="G295" s="5">
        <v>3037757400</v>
      </c>
      <c r="H295" s="5">
        <v>0</v>
      </c>
      <c r="I295" s="20">
        <v>641</v>
      </c>
      <c r="J295" s="6" t="s">
        <v>924</v>
      </c>
      <c r="K295" s="6" t="s">
        <v>925</v>
      </c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 t="s">
        <v>410</v>
      </c>
    </row>
    <row r="296" spans="2:25" s="19" customFormat="1" x14ac:dyDescent="0.2">
      <c r="B296" s="5" t="s">
        <v>1295</v>
      </c>
      <c r="C296" s="5" t="s">
        <v>76</v>
      </c>
      <c r="D296" s="5" t="s">
        <v>77</v>
      </c>
      <c r="E296" s="5" t="s">
        <v>77</v>
      </c>
      <c r="F296" s="5" t="s">
        <v>1296</v>
      </c>
      <c r="G296" s="5">
        <v>3037757400</v>
      </c>
      <c r="H296" s="5">
        <v>0</v>
      </c>
      <c r="I296" s="20">
        <v>642</v>
      </c>
      <c r="J296" s="6" t="s">
        <v>924</v>
      </c>
      <c r="K296" s="6" t="s">
        <v>494</v>
      </c>
      <c r="L296" s="6" t="s">
        <v>495</v>
      </c>
      <c r="M296" s="6" t="s">
        <v>495</v>
      </c>
      <c r="N296" s="6" t="s">
        <v>497</v>
      </c>
      <c r="O296" s="6">
        <v>3038754047</v>
      </c>
      <c r="P296" s="6"/>
      <c r="Q296" s="6" t="s">
        <v>1301</v>
      </c>
      <c r="R296" s="6" t="s">
        <v>180</v>
      </c>
      <c r="S296" s="6" t="s">
        <v>927</v>
      </c>
      <c r="T296" s="6">
        <v>80501</v>
      </c>
      <c r="U296" s="6" t="s">
        <v>1301</v>
      </c>
      <c r="V296" s="6" t="s">
        <v>180</v>
      </c>
      <c r="W296" s="6" t="s">
        <v>927</v>
      </c>
      <c r="X296" s="6">
        <v>80501</v>
      </c>
      <c r="Y296" s="6" t="s">
        <v>410</v>
      </c>
    </row>
    <row r="297" spans="2:25" s="19" customFormat="1" x14ac:dyDescent="0.2">
      <c r="B297" s="5" t="s">
        <v>1295</v>
      </c>
      <c r="C297" s="5" t="s">
        <v>76</v>
      </c>
      <c r="D297" s="5" t="s">
        <v>77</v>
      </c>
      <c r="E297" s="5" t="s">
        <v>77</v>
      </c>
      <c r="F297" s="5" t="s">
        <v>1296</v>
      </c>
      <c r="G297" s="5">
        <v>3037757400</v>
      </c>
      <c r="H297" s="5">
        <v>0</v>
      </c>
      <c r="I297" s="20">
        <v>642</v>
      </c>
      <c r="J297" s="6" t="s">
        <v>924</v>
      </c>
      <c r="K297" s="6" t="s">
        <v>925</v>
      </c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 t="s">
        <v>410</v>
      </c>
    </row>
    <row r="298" spans="2:25" s="19" customFormat="1" x14ac:dyDescent="0.2">
      <c r="B298" s="5" t="s">
        <v>1295</v>
      </c>
      <c r="C298" s="5" t="s">
        <v>76</v>
      </c>
      <c r="D298" s="5" t="s">
        <v>77</v>
      </c>
      <c r="E298" s="5" t="s">
        <v>77</v>
      </c>
      <c r="F298" s="5" t="s">
        <v>1296</v>
      </c>
      <c r="G298" s="5">
        <v>3037757400</v>
      </c>
      <c r="H298" s="5">
        <v>0</v>
      </c>
      <c r="I298" s="20">
        <v>647</v>
      </c>
      <c r="J298" s="6" t="s">
        <v>924</v>
      </c>
      <c r="K298" s="6" t="s">
        <v>925</v>
      </c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 t="s">
        <v>410</v>
      </c>
    </row>
    <row r="299" spans="2:25" s="19" customFormat="1" x14ac:dyDescent="0.2">
      <c r="B299" s="5" t="s">
        <v>1295</v>
      </c>
      <c r="C299" s="5" t="s">
        <v>76</v>
      </c>
      <c r="D299" s="5" t="s">
        <v>77</v>
      </c>
      <c r="E299" s="5" t="s">
        <v>77</v>
      </c>
      <c r="F299" s="5" t="s">
        <v>1296</v>
      </c>
      <c r="G299" s="5">
        <v>3037757400</v>
      </c>
      <c r="H299" s="5">
        <v>0</v>
      </c>
      <c r="I299" s="20">
        <v>647</v>
      </c>
      <c r="J299" s="6" t="s">
        <v>924</v>
      </c>
      <c r="K299" s="6" t="s">
        <v>925</v>
      </c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 t="s">
        <v>410</v>
      </c>
    </row>
    <row r="300" spans="2:25" s="19" customFormat="1" x14ac:dyDescent="0.2">
      <c r="B300" s="5" t="s">
        <v>1295</v>
      </c>
      <c r="C300" s="5" t="s">
        <v>76</v>
      </c>
      <c r="D300" s="5" t="s">
        <v>77</v>
      </c>
      <c r="E300" s="5" t="s">
        <v>77</v>
      </c>
      <c r="F300" s="5" t="s">
        <v>1296</v>
      </c>
      <c r="G300" s="5">
        <v>3037757400</v>
      </c>
      <c r="H300" s="5">
        <v>0</v>
      </c>
      <c r="I300" s="20">
        <v>648</v>
      </c>
      <c r="J300" s="6" t="s">
        <v>924</v>
      </c>
      <c r="K300" s="6" t="s">
        <v>772</v>
      </c>
      <c r="L300" s="6" t="s">
        <v>553</v>
      </c>
      <c r="M300" s="6" t="s">
        <v>553</v>
      </c>
      <c r="N300" s="6" t="s">
        <v>774</v>
      </c>
      <c r="O300" s="6">
        <v>3036510439</v>
      </c>
      <c r="P300" s="6"/>
      <c r="Q300" s="6" t="s">
        <v>1302</v>
      </c>
      <c r="R300" s="6" t="s">
        <v>180</v>
      </c>
      <c r="S300" s="6" t="s">
        <v>927</v>
      </c>
      <c r="T300" s="6">
        <v>80501</v>
      </c>
      <c r="U300" s="6" t="s">
        <v>1302</v>
      </c>
      <c r="V300" s="6" t="s">
        <v>180</v>
      </c>
      <c r="W300" s="6" t="s">
        <v>927</v>
      </c>
      <c r="X300" s="6">
        <v>80501</v>
      </c>
      <c r="Y300" s="6" t="s">
        <v>410</v>
      </c>
    </row>
    <row r="301" spans="2:25" s="19" customFormat="1" x14ac:dyDescent="0.2">
      <c r="B301" s="5" t="s">
        <v>1295</v>
      </c>
      <c r="C301" s="5" t="s">
        <v>76</v>
      </c>
      <c r="D301" s="5" t="s">
        <v>77</v>
      </c>
      <c r="E301" s="5" t="s">
        <v>77</v>
      </c>
      <c r="F301" s="5" t="s">
        <v>1296</v>
      </c>
      <c r="G301" s="5">
        <v>3037757400</v>
      </c>
      <c r="H301" s="5">
        <v>0</v>
      </c>
      <c r="I301" s="20">
        <v>648</v>
      </c>
      <c r="J301" s="6" t="s">
        <v>924</v>
      </c>
      <c r="K301" s="6" t="s">
        <v>925</v>
      </c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 t="s">
        <v>410</v>
      </c>
    </row>
    <row r="302" spans="2:25" s="19" customFormat="1" x14ac:dyDescent="0.2">
      <c r="B302" s="5" t="s">
        <v>1295</v>
      </c>
      <c r="C302" s="5" t="s">
        <v>76</v>
      </c>
      <c r="D302" s="5" t="s">
        <v>77</v>
      </c>
      <c r="E302" s="5" t="s">
        <v>77</v>
      </c>
      <c r="F302" s="5" t="s">
        <v>1296</v>
      </c>
      <c r="G302" s="5">
        <v>3037757400</v>
      </c>
      <c r="H302" s="5">
        <v>0</v>
      </c>
      <c r="I302" s="20">
        <v>649</v>
      </c>
      <c r="J302" s="6" t="s">
        <v>924</v>
      </c>
      <c r="K302" s="6" t="s">
        <v>591</v>
      </c>
      <c r="L302" s="6" t="s">
        <v>1303</v>
      </c>
      <c r="M302" s="6" t="s">
        <v>592</v>
      </c>
      <c r="N302" s="6" t="s">
        <v>594</v>
      </c>
      <c r="O302" s="6">
        <v>3038236728</v>
      </c>
      <c r="P302" s="6"/>
      <c r="Q302" s="6" t="s">
        <v>1304</v>
      </c>
      <c r="R302" s="6" t="s">
        <v>180</v>
      </c>
      <c r="S302" s="6" t="s">
        <v>927</v>
      </c>
      <c r="T302" s="6">
        <v>80501</v>
      </c>
      <c r="U302" s="6" t="s">
        <v>1304</v>
      </c>
      <c r="V302" s="6" t="s">
        <v>180</v>
      </c>
      <c r="W302" s="6" t="s">
        <v>927</v>
      </c>
      <c r="X302" s="6">
        <v>80501</v>
      </c>
      <c r="Y302" s="6" t="s">
        <v>410</v>
      </c>
    </row>
    <row r="303" spans="2:25" s="19" customFormat="1" x14ac:dyDescent="0.2">
      <c r="B303" s="5" t="s">
        <v>1295</v>
      </c>
      <c r="C303" s="5" t="s">
        <v>76</v>
      </c>
      <c r="D303" s="5" t="s">
        <v>77</v>
      </c>
      <c r="E303" s="5" t="s">
        <v>77</v>
      </c>
      <c r="F303" s="5" t="s">
        <v>1296</v>
      </c>
      <c r="G303" s="5">
        <v>3037757400</v>
      </c>
      <c r="H303" s="5">
        <v>0</v>
      </c>
      <c r="I303" s="20">
        <v>649</v>
      </c>
      <c r="J303" s="6" t="s">
        <v>924</v>
      </c>
      <c r="K303" s="6" t="s">
        <v>894</v>
      </c>
      <c r="L303" s="6" t="s">
        <v>895</v>
      </c>
      <c r="M303" s="6" t="s">
        <v>895</v>
      </c>
      <c r="N303" s="6" t="s">
        <v>897</v>
      </c>
      <c r="O303" s="6">
        <v>3034859427</v>
      </c>
      <c r="P303" s="6"/>
      <c r="Q303" s="6" t="s">
        <v>1304</v>
      </c>
      <c r="R303" s="6" t="s">
        <v>180</v>
      </c>
      <c r="S303" s="6" t="s">
        <v>927</v>
      </c>
      <c r="T303" s="6">
        <v>80501</v>
      </c>
      <c r="U303" s="6" t="s">
        <v>1304</v>
      </c>
      <c r="V303" s="6" t="s">
        <v>180</v>
      </c>
      <c r="W303" s="6" t="s">
        <v>927</v>
      </c>
      <c r="X303" s="6">
        <v>80501</v>
      </c>
      <c r="Y303" s="6" t="s">
        <v>410</v>
      </c>
    </row>
    <row r="304" spans="2:25" s="19" customFormat="1" x14ac:dyDescent="0.2">
      <c r="B304" s="5" t="s">
        <v>1295</v>
      </c>
      <c r="C304" s="5" t="s">
        <v>76</v>
      </c>
      <c r="D304" s="5" t="s">
        <v>77</v>
      </c>
      <c r="E304" s="5" t="s">
        <v>77</v>
      </c>
      <c r="F304" s="5" t="s">
        <v>1296</v>
      </c>
      <c r="G304" s="5">
        <v>3037757400</v>
      </c>
      <c r="H304" s="5">
        <v>0</v>
      </c>
      <c r="I304" s="20">
        <v>703</v>
      </c>
      <c r="J304" s="6" t="s">
        <v>924</v>
      </c>
      <c r="K304" s="6" t="s">
        <v>652</v>
      </c>
      <c r="L304" s="6" t="s">
        <v>635</v>
      </c>
      <c r="M304" s="6" t="s">
        <v>635</v>
      </c>
      <c r="N304" s="6" t="s">
        <v>654</v>
      </c>
      <c r="O304" s="6">
        <v>3036788249</v>
      </c>
      <c r="P304" s="6"/>
      <c r="Q304" s="6" t="s">
        <v>1305</v>
      </c>
      <c r="R304" s="6" t="s">
        <v>180</v>
      </c>
      <c r="S304" s="6" t="s">
        <v>927</v>
      </c>
      <c r="T304" s="6">
        <v>80503</v>
      </c>
      <c r="U304" s="6" t="s">
        <v>1305</v>
      </c>
      <c r="V304" s="6" t="s">
        <v>180</v>
      </c>
      <c r="W304" s="6" t="s">
        <v>927</v>
      </c>
      <c r="X304" s="6">
        <v>80503</v>
      </c>
      <c r="Y304" s="6" t="s">
        <v>410</v>
      </c>
    </row>
    <row r="305" spans="2:25" s="19" customFormat="1" x14ac:dyDescent="0.2">
      <c r="B305" s="5" t="s">
        <v>1295</v>
      </c>
      <c r="C305" s="5" t="s">
        <v>76</v>
      </c>
      <c r="D305" s="5" t="s">
        <v>77</v>
      </c>
      <c r="E305" s="5" t="s">
        <v>77</v>
      </c>
      <c r="F305" s="5" t="s">
        <v>1296</v>
      </c>
      <c r="G305" s="5">
        <v>3037757400</v>
      </c>
      <c r="H305" s="5">
        <v>0</v>
      </c>
      <c r="I305" s="20">
        <v>703</v>
      </c>
      <c r="J305" s="6" t="s">
        <v>924</v>
      </c>
      <c r="K305" s="6" t="s">
        <v>925</v>
      </c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 t="s">
        <v>410</v>
      </c>
    </row>
    <row r="306" spans="2:25" s="19" customFormat="1" x14ac:dyDescent="0.2">
      <c r="B306" s="5" t="s">
        <v>1295</v>
      </c>
      <c r="C306" s="5" t="s">
        <v>76</v>
      </c>
      <c r="D306" s="5" t="s">
        <v>77</v>
      </c>
      <c r="E306" s="5" t="s">
        <v>77</v>
      </c>
      <c r="F306" s="5" t="s">
        <v>1296</v>
      </c>
      <c r="G306" s="5">
        <v>3037757400</v>
      </c>
      <c r="H306" s="5">
        <v>0</v>
      </c>
      <c r="I306" s="20">
        <v>704</v>
      </c>
      <c r="J306" s="6" t="s">
        <v>924</v>
      </c>
      <c r="K306" s="6" t="s">
        <v>792</v>
      </c>
      <c r="L306" s="6" t="s">
        <v>779</v>
      </c>
      <c r="M306" s="6" t="s">
        <v>779</v>
      </c>
      <c r="N306" s="6" t="s">
        <v>794</v>
      </c>
      <c r="O306" s="6">
        <v>3035891976</v>
      </c>
      <c r="P306" s="6">
        <v>3035706948</v>
      </c>
      <c r="Q306" s="6" t="s">
        <v>1306</v>
      </c>
      <c r="R306" s="6" t="s">
        <v>180</v>
      </c>
      <c r="S306" s="6" t="s">
        <v>927</v>
      </c>
      <c r="T306" s="6">
        <v>80503</v>
      </c>
      <c r="U306" s="6" t="s">
        <v>1306</v>
      </c>
      <c r="V306" s="6" t="s">
        <v>180</v>
      </c>
      <c r="W306" s="6" t="s">
        <v>927</v>
      </c>
      <c r="X306" s="6">
        <v>80503</v>
      </c>
      <c r="Y306" s="6" t="s">
        <v>410</v>
      </c>
    </row>
    <row r="307" spans="2:25" s="19" customFormat="1" x14ac:dyDescent="0.2">
      <c r="B307" s="5" t="s">
        <v>1295</v>
      </c>
      <c r="C307" s="5" t="s">
        <v>76</v>
      </c>
      <c r="D307" s="5" t="s">
        <v>77</v>
      </c>
      <c r="E307" s="5" t="s">
        <v>77</v>
      </c>
      <c r="F307" s="5" t="s">
        <v>1296</v>
      </c>
      <c r="G307" s="5">
        <v>3037757400</v>
      </c>
      <c r="H307" s="5">
        <v>0</v>
      </c>
      <c r="I307" s="20">
        <v>704</v>
      </c>
      <c r="J307" s="6" t="s">
        <v>924</v>
      </c>
      <c r="K307" s="6" t="s">
        <v>925</v>
      </c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 t="s">
        <v>410</v>
      </c>
    </row>
    <row r="308" spans="2:25" s="19" customFormat="1" x14ac:dyDescent="0.2">
      <c r="B308" s="5" t="s">
        <v>1295</v>
      </c>
      <c r="C308" s="5" t="s">
        <v>76</v>
      </c>
      <c r="D308" s="5" t="s">
        <v>77</v>
      </c>
      <c r="E308" s="5" t="s">
        <v>77</v>
      </c>
      <c r="F308" s="5" t="s">
        <v>1296</v>
      </c>
      <c r="G308" s="5">
        <v>3037757400</v>
      </c>
      <c r="H308" s="5">
        <v>0</v>
      </c>
      <c r="I308" s="20">
        <v>705</v>
      </c>
      <c r="J308" s="6" t="s">
        <v>924</v>
      </c>
      <c r="K308" s="6" t="s">
        <v>76</v>
      </c>
      <c r="L308" s="6" t="s">
        <v>77</v>
      </c>
      <c r="M308" s="6" t="s">
        <v>77</v>
      </c>
      <c r="N308" s="6" t="s">
        <v>1307</v>
      </c>
      <c r="O308" s="6">
        <v>3037757400</v>
      </c>
      <c r="P308" s="6"/>
      <c r="Q308" s="6" t="s">
        <v>1308</v>
      </c>
      <c r="R308" s="6" t="s">
        <v>180</v>
      </c>
      <c r="S308" s="6" t="s">
        <v>927</v>
      </c>
      <c r="T308" s="6">
        <v>80504</v>
      </c>
      <c r="U308" s="6"/>
      <c r="V308" s="6"/>
      <c r="W308" s="6"/>
      <c r="X308" s="6">
        <v>80504</v>
      </c>
      <c r="Y308" s="6" t="s">
        <v>410</v>
      </c>
    </row>
    <row r="309" spans="2:25" s="19" customFormat="1" x14ac:dyDescent="0.2">
      <c r="B309" s="5" t="s">
        <v>1295</v>
      </c>
      <c r="C309" s="5" t="s">
        <v>76</v>
      </c>
      <c r="D309" s="5" t="s">
        <v>77</v>
      </c>
      <c r="E309" s="5" t="s">
        <v>77</v>
      </c>
      <c r="F309" s="5" t="s">
        <v>1296</v>
      </c>
      <c r="G309" s="5">
        <v>3037757400</v>
      </c>
      <c r="H309" s="5">
        <v>0</v>
      </c>
      <c r="I309" s="20">
        <v>705</v>
      </c>
      <c r="J309" s="6" t="s">
        <v>924</v>
      </c>
      <c r="K309" s="6" t="s">
        <v>784</v>
      </c>
      <c r="L309" s="6" t="s">
        <v>785</v>
      </c>
      <c r="M309" s="6" t="s">
        <v>785</v>
      </c>
      <c r="N309" s="6" t="s">
        <v>787</v>
      </c>
      <c r="O309" s="6">
        <v>3037253647</v>
      </c>
      <c r="P309" s="6"/>
      <c r="Q309" s="6" t="s">
        <v>1309</v>
      </c>
      <c r="R309" s="6" t="s">
        <v>180</v>
      </c>
      <c r="S309" s="6" t="s">
        <v>927</v>
      </c>
      <c r="T309" s="6">
        <v>80504</v>
      </c>
      <c r="U309" s="6" t="s">
        <v>1309</v>
      </c>
      <c r="V309" s="6" t="s">
        <v>180</v>
      </c>
      <c r="W309" s="6" t="s">
        <v>927</v>
      </c>
      <c r="X309" s="6">
        <v>80504</v>
      </c>
      <c r="Y309" s="6" t="s">
        <v>410</v>
      </c>
    </row>
    <row r="310" spans="2:25" s="19" customFormat="1" x14ac:dyDescent="0.2">
      <c r="B310" s="5" t="s">
        <v>1310</v>
      </c>
      <c r="C310" s="5" t="s">
        <v>37</v>
      </c>
      <c r="D310" s="5" t="s">
        <v>38</v>
      </c>
      <c r="E310" s="5" t="s">
        <v>38</v>
      </c>
      <c r="F310" s="5" t="s">
        <v>39</v>
      </c>
      <c r="G310" s="5">
        <v>3033497421</v>
      </c>
      <c r="H310" s="5">
        <v>3036516523</v>
      </c>
      <c r="I310" s="20">
        <v>200</v>
      </c>
      <c r="J310" s="6" t="s">
        <v>924</v>
      </c>
      <c r="K310" s="6" t="s">
        <v>623</v>
      </c>
      <c r="L310" s="6" t="s">
        <v>547</v>
      </c>
      <c r="M310" s="6" t="s">
        <v>547</v>
      </c>
      <c r="N310" s="6" t="s">
        <v>624</v>
      </c>
      <c r="O310" s="6">
        <v>7208901212</v>
      </c>
      <c r="P310" s="6"/>
      <c r="Q310" s="6" t="s">
        <v>1311</v>
      </c>
      <c r="R310" s="6" t="s">
        <v>145</v>
      </c>
      <c r="S310" s="6" t="s">
        <v>927</v>
      </c>
      <c r="T310" s="6">
        <v>80027</v>
      </c>
      <c r="U310" s="6" t="s">
        <v>1311</v>
      </c>
      <c r="V310" s="6" t="s">
        <v>145</v>
      </c>
      <c r="W310" s="6" t="s">
        <v>927</v>
      </c>
      <c r="X310" s="6">
        <v>80027</v>
      </c>
      <c r="Y310" s="6" t="s">
        <v>328</v>
      </c>
    </row>
    <row r="311" spans="2:25" s="19" customFormat="1" x14ac:dyDescent="0.2">
      <c r="B311" s="5" t="s">
        <v>1310</v>
      </c>
      <c r="C311" s="5" t="s">
        <v>37</v>
      </c>
      <c r="D311" s="5" t="s">
        <v>38</v>
      </c>
      <c r="E311" s="5" t="s">
        <v>38</v>
      </c>
      <c r="F311" s="5" t="s">
        <v>39</v>
      </c>
      <c r="G311" s="5">
        <v>3033497421</v>
      </c>
      <c r="H311" s="5">
        <v>3036516523</v>
      </c>
      <c r="I311" s="20">
        <v>200</v>
      </c>
      <c r="J311" s="6" t="s">
        <v>924</v>
      </c>
      <c r="K311" s="6" t="s">
        <v>84</v>
      </c>
      <c r="L311" s="6" t="s">
        <v>1312</v>
      </c>
      <c r="M311" s="6" t="s">
        <v>1312</v>
      </c>
      <c r="N311" s="6" t="s">
        <v>1313</v>
      </c>
      <c r="O311" s="6">
        <v>7204224755</v>
      </c>
      <c r="P311" s="6"/>
      <c r="Q311" s="6" t="s">
        <v>1314</v>
      </c>
      <c r="R311" s="6" t="s">
        <v>145</v>
      </c>
      <c r="S311" s="6" t="s">
        <v>927</v>
      </c>
      <c r="T311" s="6">
        <v>80027</v>
      </c>
      <c r="U311" s="6" t="s">
        <v>1314</v>
      </c>
      <c r="V311" s="6" t="s">
        <v>145</v>
      </c>
      <c r="W311" s="6" t="s">
        <v>927</v>
      </c>
      <c r="X311" s="6">
        <v>80027</v>
      </c>
      <c r="Y311" s="6" t="s">
        <v>328</v>
      </c>
    </row>
    <row r="312" spans="2:25" s="19" customFormat="1" x14ac:dyDescent="0.2">
      <c r="B312" s="5" t="s">
        <v>1310</v>
      </c>
      <c r="C312" s="5" t="s">
        <v>37</v>
      </c>
      <c r="D312" s="5" t="s">
        <v>38</v>
      </c>
      <c r="E312" s="5" t="s">
        <v>38</v>
      </c>
      <c r="F312" s="5" t="s">
        <v>39</v>
      </c>
      <c r="G312" s="5">
        <v>3033497421</v>
      </c>
      <c r="H312" s="5">
        <v>3036516523</v>
      </c>
      <c r="I312" s="20">
        <v>201</v>
      </c>
      <c r="J312" s="6" t="s">
        <v>924</v>
      </c>
      <c r="K312" s="6" t="s">
        <v>1315</v>
      </c>
      <c r="L312" s="6" t="s">
        <v>1316</v>
      </c>
      <c r="M312" s="6" t="s">
        <v>1316</v>
      </c>
      <c r="N312" s="6" t="s">
        <v>1317</v>
      </c>
      <c r="O312" s="6">
        <v>7192109151</v>
      </c>
      <c r="P312" s="6">
        <v>3036652201</v>
      </c>
      <c r="Q312" s="6" t="s">
        <v>1318</v>
      </c>
      <c r="R312" s="6" t="s">
        <v>145</v>
      </c>
      <c r="S312" s="6" t="s">
        <v>927</v>
      </c>
      <c r="T312" s="6">
        <v>80027</v>
      </c>
      <c r="U312" s="6" t="s">
        <v>1318</v>
      </c>
      <c r="V312" s="6" t="s">
        <v>145</v>
      </c>
      <c r="W312" s="6" t="s">
        <v>927</v>
      </c>
      <c r="X312" s="6">
        <v>80027</v>
      </c>
      <c r="Y312" s="6" t="s">
        <v>328</v>
      </c>
    </row>
    <row r="313" spans="2:25" s="19" customFormat="1" x14ac:dyDescent="0.2">
      <c r="B313" s="5" t="s">
        <v>1310</v>
      </c>
      <c r="C313" s="5" t="s">
        <v>37</v>
      </c>
      <c r="D313" s="5" t="s">
        <v>38</v>
      </c>
      <c r="E313" s="5" t="s">
        <v>38</v>
      </c>
      <c r="F313" s="5" t="s">
        <v>39</v>
      </c>
      <c r="G313" s="5">
        <v>3033497421</v>
      </c>
      <c r="H313" s="5">
        <v>3036516523</v>
      </c>
      <c r="I313" s="20">
        <v>201</v>
      </c>
      <c r="J313" s="6" t="s">
        <v>924</v>
      </c>
      <c r="K313" s="6" t="s">
        <v>925</v>
      </c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 t="s">
        <v>328</v>
      </c>
    </row>
    <row r="314" spans="2:25" s="19" customFormat="1" x14ac:dyDescent="0.2">
      <c r="B314" s="5" t="s">
        <v>1310</v>
      </c>
      <c r="C314" s="5" t="s">
        <v>37</v>
      </c>
      <c r="D314" s="5" t="s">
        <v>38</v>
      </c>
      <c r="E314" s="5" t="s">
        <v>38</v>
      </c>
      <c r="F314" s="5" t="s">
        <v>39</v>
      </c>
      <c r="G314" s="5">
        <v>3033497421</v>
      </c>
      <c r="H314" s="5">
        <v>3036516523</v>
      </c>
      <c r="I314" s="20">
        <v>202</v>
      </c>
      <c r="J314" s="6" t="s">
        <v>924</v>
      </c>
      <c r="K314" s="6" t="s">
        <v>925</v>
      </c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 t="s">
        <v>328</v>
      </c>
    </row>
    <row r="315" spans="2:25" s="19" customFormat="1" x14ac:dyDescent="0.2">
      <c r="B315" s="5" t="s">
        <v>1310</v>
      </c>
      <c r="C315" s="5" t="s">
        <v>37</v>
      </c>
      <c r="D315" s="5" t="s">
        <v>38</v>
      </c>
      <c r="E315" s="5" t="s">
        <v>38</v>
      </c>
      <c r="F315" s="5" t="s">
        <v>39</v>
      </c>
      <c r="G315" s="5">
        <v>3033497421</v>
      </c>
      <c r="H315" s="5">
        <v>3036516523</v>
      </c>
      <c r="I315" s="20">
        <v>202</v>
      </c>
      <c r="J315" s="6" t="s">
        <v>924</v>
      </c>
      <c r="K315" s="6" t="s">
        <v>925</v>
      </c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 t="s">
        <v>328</v>
      </c>
    </row>
    <row r="316" spans="2:25" s="19" customFormat="1" x14ac:dyDescent="0.2">
      <c r="B316" s="5" t="s">
        <v>1310</v>
      </c>
      <c r="C316" s="5" t="s">
        <v>37</v>
      </c>
      <c r="D316" s="5" t="s">
        <v>38</v>
      </c>
      <c r="E316" s="5" t="s">
        <v>38</v>
      </c>
      <c r="F316" s="5" t="s">
        <v>39</v>
      </c>
      <c r="G316" s="5">
        <v>3033497421</v>
      </c>
      <c r="H316" s="5">
        <v>3036516523</v>
      </c>
      <c r="I316" s="20">
        <v>203</v>
      </c>
      <c r="J316" s="6" t="s">
        <v>924</v>
      </c>
      <c r="K316" s="6" t="s">
        <v>809</v>
      </c>
      <c r="L316" s="6" t="s">
        <v>810</v>
      </c>
      <c r="M316" s="6" t="s">
        <v>810</v>
      </c>
      <c r="N316" s="6" t="s">
        <v>811</v>
      </c>
      <c r="O316" s="6">
        <v>7202335223</v>
      </c>
      <c r="P316" s="6"/>
      <c r="Q316" s="6" t="s">
        <v>1319</v>
      </c>
      <c r="R316" s="6" t="s">
        <v>145</v>
      </c>
      <c r="S316" s="6" t="s">
        <v>927</v>
      </c>
      <c r="T316" s="6">
        <v>80027</v>
      </c>
      <c r="U316" s="6" t="s">
        <v>1319</v>
      </c>
      <c r="V316" s="6" t="s">
        <v>145</v>
      </c>
      <c r="W316" s="6" t="s">
        <v>927</v>
      </c>
      <c r="X316" s="6">
        <v>80027</v>
      </c>
      <c r="Y316" s="6" t="s">
        <v>328</v>
      </c>
    </row>
    <row r="317" spans="2:25" s="19" customFormat="1" x14ac:dyDescent="0.2">
      <c r="B317" s="5" t="s">
        <v>1310</v>
      </c>
      <c r="C317" s="5" t="s">
        <v>37</v>
      </c>
      <c r="D317" s="5" t="s">
        <v>38</v>
      </c>
      <c r="E317" s="5" t="s">
        <v>38</v>
      </c>
      <c r="F317" s="5" t="s">
        <v>39</v>
      </c>
      <c r="G317" s="5">
        <v>3033497421</v>
      </c>
      <c r="H317" s="5">
        <v>3036516523</v>
      </c>
      <c r="I317" s="20">
        <v>203</v>
      </c>
      <c r="J317" s="6" t="s">
        <v>924</v>
      </c>
      <c r="K317" s="6" t="s">
        <v>925</v>
      </c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 t="s">
        <v>328</v>
      </c>
    </row>
    <row r="318" spans="2:25" s="19" customFormat="1" x14ac:dyDescent="0.2">
      <c r="B318" s="5" t="s">
        <v>1310</v>
      </c>
      <c r="C318" s="5" t="s">
        <v>37</v>
      </c>
      <c r="D318" s="5" t="s">
        <v>38</v>
      </c>
      <c r="E318" s="5" t="s">
        <v>38</v>
      </c>
      <c r="F318" s="5" t="s">
        <v>39</v>
      </c>
      <c r="G318" s="5">
        <v>3033497421</v>
      </c>
      <c r="H318" s="5">
        <v>3036516523</v>
      </c>
      <c r="I318" s="20">
        <v>204</v>
      </c>
      <c r="J318" s="6" t="s">
        <v>924</v>
      </c>
      <c r="K318" s="6" t="s">
        <v>456</v>
      </c>
      <c r="L318" s="6" t="s">
        <v>457</v>
      </c>
      <c r="M318" s="6" t="s">
        <v>457</v>
      </c>
      <c r="N318" s="6" t="s">
        <v>1320</v>
      </c>
      <c r="O318" s="6">
        <v>7209368210</v>
      </c>
      <c r="P318" s="6"/>
      <c r="Q318" s="6" t="s">
        <v>1321</v>
      </c>
      <c r="R318" s="6" t="s">
        <v>145</v>
      </c>
      <c r="S318" s="6" t="s">
        <v>927</v>
      </c>
      <c r="T318" s="6">
        <v>80027</v>
      </c>
      <c r="U318" s="6" t="s">
        <v>1321</v>
      </c>
      <c r="V318" s="6" t="s">
        <v>145</v>
      </c>
      <c r="W318" s="6" t="s">
        <v>927</v>
      </c>
      <c r="X318" s="6">
        <v>80027</v>
      </c>
      <c r="Y318" s="6" t="s">
        <v>328</v>
      </c>
    </row>
    <row r="319" spans="2:25" s="19" customFormat="1" x14ac:dyDescent="0.2">
      <c r="B319" s="5" t="s">
        <v>1310</v>
      </c>
      <c r="C319" s="5" t="s">
        <v>37</v>
      </c>
      <c r="D319" s="5" t="s">
        <v>38</v>
      </c>
      <c r="E319" s="5" t="s">
        <v>38</v>
      </c>
      <c r="F319" s="5" t="s">
        <v>39</v>
      </c>
      <c r="G319" s="5">
        <v>3033497421</v>
      </c>
      <c r="H319" s="5">
        <v>3036516523</v>
      </c>
      <c r="I319" s="20">
        <v>204</v>
      </c>
      <c r="J319" s="6" t="s">
        <v>924</v>
      </c>
      <c r="K319" s="6" t="s">
        <v>1322</v>
      </c>
      <c r="L319" s="6" t="s">
        <v>487</v>
      </c>
      <c r="M319" s="6" t="s">
        <v>487</v>
      </c>
      <c r="N319" s="6" t="s">
        <v>1323</v>
      </c>
      <c r="O319" s="6">
        <v>3035037209</v>
      </c>
      <c r="P319" s="6"/>
      <c r="Q319" s="6" t="s">
        <v>1324</v>
      </c>
      <c r="R319" s="6" t="s">
        <v>145</v>
      </c>
      <c r="S319" s="6" t="s">
        <v>927</v>
      </c>
      <c r="T319" s="6">
        <v>80027</v>
      </c>
      <c r="U319" s="6" t="s">
        <v>1324</v>
      </c>
      <c r="V319" s="6" t="s">
        <v>145</v>
      </c>
      <c r="W319" s="6" t="s">
        <v>927</v>
      </c>
      <c r="X319" s="6">
        <v>80027</v>
      </c>
      <c r="Y319" s="6" t="s">
        <v>328</v>
      </c>
    </row>
    <row r="320" spans="2:25" s="19" customFormat="1" x14ac:dyDescent="0.2">
      <c r="B320" s="5" t="s">
        <v>1310</v>
      </c>
      <c r="C320" s="5" t="s">
        <v>37</v>
      </c>
      <c r="D320" s="5" t="s">
        <v>38</v>
      </c>
      <c r="E320" s="5" t="s">
        <v>38</v>
      </c>
      <c r="F320" s="5" t="s">
        <v>39</v>
      </c>
      <c r="G320" s="5">
        <v>3033497421</v>
      </c>
      <c r="H320" s="5">
        <v>3036516523</v>
      </c>
      <c r="I320" s="20">
        <v>206</v>
      </c>
      <c r="J320" s="6" t="s">
        <v>924</v>
      </c>
      <c r="K320" s="6" t="s">
        <v>717</v>
      </c>
      <c r="L320" s="6" t="s">
        <v>1325</v>
      </c>
      <c r="M320" s="6" t="s">
        <v>1325</v>
      </c>
      <c r="N320" s="6" t="s">
        <v>719</v>
      </c>
      <c r="O320" s="6">
        <v>6199875434</v>
      </c>
      <c r="P320" s="6"/>
      <c r="Q320" s="6" t="s">
        <v>1326</v>
      </c>
      <c r="R320" s="6" t="s">
        <v>145</v>
      </c>
      <c r="S320" s="6" t="s">
        <v>927</v>
      </c>
      <c r="T320" s="6">
        <v>80027</v>
      </c>
      <c r="U320" s="6" t="s">
        <v>1326</v>
      </c>
      <c r="V320" s="6" t="s">
        <v>145</v>
      </c>
      <c r="W320" s="6" t="s">
        <v>927</v>
      </c>
      <c r="X320" s="6">
        <v>80027</v>
      </c>
      <c r="Y320" s="6" t="s">
        <v>328</v>
      </c>
    </row>
    <row r="321" spans="2:25" s="19" customFormat="1" x14ac:dyDescent="0.2">
      <c r="B321" s="5" t="s">
        <v>1310</v>
      </c>
      <c r="C321" s="5" t="s">
        <v>37</v>
      </c>
      <c r="D321" s="5" t="s">
        <v>38</v>
      </c>
      <c r="E321" s="5" t="s">
        <v>38</v>
      </c>
      <c r="F321" s="5" t="s">
        <v>39</v>
      </c>
      <c r="G321" s="5">
        <v>3033497421</v>
      </c>
      <c r="H321" s="5">
        <v>3036516523</v>
      </c>
      <c r="I321" s="20">
        <v>206</v>
      </c>
      <c r="J321" s="6" t="s">
        <v>924</v>
      </c>
      <c r="K321" s="6" t="s">
        <v>925</v>
      </c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 t="s">
        <v>328</v>
      </c>
    </row>
    <row r="322" spans="2:25" s="19" customFormat="1" x14ac:dyDescent="0.2">
      <c r="B322" s="5" t="s">
        <v>1310</v>
      </c>
      <c r="C322" s="5" t="s">
        <v>37</v>
      </c>
      <c r="D322" s="5" t="s">
        <v>38</v>
      </c>
      <c r="E322" s="5" t="s">
        <v>38</v>
      </c>
      <c r="F322" s="5" t="s">
        <v>39</v>
      </c>
      <c r="G322" s="5">
        <v>3033497421</v>
      </c>
      <c r="H322" s="5">
        <v>3036516523</v>
      </c>
      <c r="I322" s="20">
        <v>207</v>
      </c>
      <c r="J322" s="6" t="s">
        <v>924</v>
      </c>
      <c r="K322" s="6" t="s">
        <v>925</v>
      </c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 t="s">
        <v>328</v>
      </c>
    </row>
    <row r="323" spans="2:25" s="19" customFormat="1" x14ac:dyDescent="0.2">
      <c r="B323" s="5" t="s">
        <v>1310</v>
      </c>
      <c r="C323" s="5" t="s">
        <v>37</v>
      </c>
      <c r="D323" s="5" t="s">
        <v>38</v>
      </c>
      <c r="E323" s="5" t="s">
        <v>38</v>
      </c>
      <c r="F323" s="5" t="s">
        <v>39</v>
      </c>
      <c r="G323" s="5">
        <v>3033497421</v>
      </c>
      <c r="H323" s="5">
        <v>3036516523</v>
      </c>
      <c r="I323" s="20">
        <v>207</v>
      </c>
      <c r="J323" s="6" t="s">
        <v>924</v>
      </c>
      <c r="K323" s="6" t="s">
        <v>925</v>
      </c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 t="s">
        <v>328</v>
      </c>
    </row>
    <row r="324" spans="2:25" s="19" customFormat="1" x14ac:dyDescent="0.2">
      <c r="B324" s="5" t="s">
        <v>1327</v>
      </c>
      <c r="C324" s="5" t="s">
        <v>34</v>
      </c>
      <c r="D324" s="5" t="s">
        <v>35</v>
      </c>
      <c r="E324" s="5" t="s">
        <v>1328</v>
      </c>
      <c r="F324" s="5" t="s">
        <v>36</v>
      </c>
      <c r="G324" s="5">
        <v>7209349497</v>
      </c>
      <c r="H324" s="5">
        <v>0</v>
      </c>
      <c r="I324" s="20">
        <v>205</v>
      </c>
      <c r="J324" s="6" t="s">
        <v>924</v>
      </c>
      <c r="K324" s="6" t="s">
        <v>533</v>
      </c>
      <c r="L324" s="6" t="s">
        <v>534</v>
      </c>
      <c r="M324" s="6" t="s">
        <v>534</v>
      </c>
      <c r="N324" s="6" t="s">
        <v>535</v>
      </c>
      <c r="O324" s="6">
        <v>3035899823</v>
      </c>
      <c r="P324" s="6"/>
      <c r="Q324" s="6" t="s">
        <v>1329</v>
      </c>
      <c r="R324" s="6" t="s">
        <v>145</v>
      </c>
      <c r="S324" s="6" t="s">
        <v>927</v>
      </c>
      <c r="T324" s="6">
        <v>80027</v>
      </c>
      <c r="U324" s="6" t="s">
        <v>1329</v>
      </c>
      <c r="V324" s="6" t="s">
        <v>145</v>
      </c>
      <c r="W324" s="6" t="s">
        <v>927</v>
      </c>
      <c r="X324" s="6">
        <v>80027</v>
      </c>
      <c r="Y324" s="6" t="s">
        <v>333</v>
      </c>
    </row>
    <row r="325" spans="2:25" s="19" customFormat="1" x14ac:dyDescent="0.2">
      <c r="B325" s="5" t="s">
        <v>1327</v>
      </c>
      <c r="C325" s="5" t="s">
        <v>34</v>
      </c>
      <c r="D325" s="5" t="s">
        <v>35</v>
      </c>
      <c r="E325" s="5" t="s">
        <v>1328</v>
      </c>
      <c r="F325" s="5" t="s">
        <v>36</v>
      </c>
      <c r="G325" s="5">
        <v>7209349497</v>
      </c>
      <c r="H325" s="5">
        <v>0</v>
      </c>
      <c r="I325" s="20">
        <v>205</v>
      </c>
      <c r="J325" s="6" t="s">
        <v>924</v>
      </c>
      <c r="K325" s="6" t="s">
        <v>655</v>
      </c>
      <c r="L325" s="6" t="s">
        <v>656</v>
      </c>
      <c r="M325" s="6" t="s">
        <v>656</v>
      </c>
      <c r="N325" s="6" t="s">
        <v>657</v>
      </c>
      <c r="O325" s="6">
        <v>7203523679</v>
      </c>
      <c r="P325" s="6"/>
      <c r="Q325" s="6" t="s">
        <v>1330</v>
      </c>
      <c r="R325" s="6" t="s">
        <v>145</v>
      </c>
      <c r="S325" s="6" t="s">
        <v>927</v>
      </c>
      <c r="T325" s="6">
        <v>80027</v>
      </c>
      <c r="U325" s="6" t="s">
        <v>1330</v>
      </c>
      <c r="V325" s="6" t="s">
        <v>145</v>
      </c>
      <c r="W325" s="6" t="s">
        <v>927</v>
      </c>
      <c r="X325" s="6">
        <v>80027</v>
      </c>
      <c r="Y325" s="6" t="s">
        <v>333</v>
      </c>
    </row>
    <row r="326" spans="2:25" s="19" customFormat="1" x14ac:dyDescent="0.2">
      <c r="B326" s="5" t="s">
        <v>1327</v>
      </c>
      <c r="C326" s="5" t="s">
        <v>34</v>
      </c>
      <c r="D326" s="5" t="s">
        <v>35</v>
      </c>
      <c r="E326" s="5" t="s">
        <v>1328</v>
      </c>
      <c r="F326" s="5" t="s">
        <v>36</v>
      </c>
      <c r="G326" s="5">
        <v>7209349497</v>
      </c>
      <c r="H326" s="5">
        <v>0</v>
      </c>
      <c r="I326" s="20">
        <v>208</v>
      </c>
      <c r="J326" s="6" t="s">
        <v>924</v>
      </c>
      <c r="K326" s="6" t="s">
        <v>1331</v>
      </c>
      <c r="L326" s="6" t="s">
        <v>571</v>
      </c>
      <c r="M326" s="6" t="s">
        <v>571</v>
      </c>
      <c r="N326" s="6" t="s">
        <v>1332</v>
      </c>
      <c r="O326" s="6">
        <v>3039289762</v>
      </c>
      <c r="P326" s="6">
        <v>3036730429</v>
      </c>
      <c r="Q326" s="6" t="s">
        <v>1333</v>
      </c>
      <c r="R326" s="6" t="s">
        <v>145</v>
      </c>
      <c r="S326" s="6" t="s">
        <v>927</v>
      </c>
      <c r="T326" s="6">
        <v>80027</v>
      </c>
      <c r="U326" s="6" t="s">
        <v>1333</v>
      </c>
      <c r="V326" s="6" t="s">
        <v>145</v>
      </c>
      <c r="W326" s="6" t="s">
        <v>927</v>
      </c>
      <c r="X326" s="6">
        <v>80027</v>
      </c>
      <c r="Y326" s="6" t="s">
        <v>333</v>
      </c>
    </row>
    <row r="327" spans="2:25" s="19" customFormat="1" x14ac:dyDescent="0.2">
      <c r="B327" s="5" t="s">
        <v>1327</v>
      </c>
      <c r="C327" s="5" t="s">
        <v>34</v>
      </c>
      <c r="D327" s="5" t="s">
        <v>35</v>
      </c>
      <c r="E327" s="5" t="s">
        <v>1328</v>
      </c>
      <c r="F327" s="5" t="s">
        <v>36</v>
      </c>
      <c r="G327" s="5">
        <v>7209349497</v>
      </c>
      <c r="H327" s="5">
        <v>0</v>
      </c>
      <c r="I327" s="20">
        <v>208</v>
      </c>
      <c r="J327" s="6" t="s">
        <v>924</v>
      </c>
      <c r="K327" s="6" t="s">
        <v>805</v>
      </c>
      <c r="L327" s="6" t="s">
        <v>52</v>
      </c>
      <c r="M327" s="6" t="s">
        <v>52</v>
      </c>
      <c r="N327" s="6" t="s">
        <v>806</v>
      </c>
      <c r="O327" s="6">
        <v>3037253483</v>
      </c>
      <c r="P327" s="6"/>
      <c r="Q327" s="6" t="s">
        <v>1334</v>
      </c>
      <c r="R327" s="6" t="s">
        <v>145</v>
      </c>
      <c r="S327" s="6" t="s">
        <v>927</v>
      </c>
      <c r="T327" s="6">
        <v>80027</v>
      </c>
      <c r="U327" s="6" t="s">
        <v>1334</v>
      </c>
      <c r="V327" s="6" t="s">
        <v>145</v>
      </c>
      <c r="W327" s="6" t="s">
        <v>927</v>
      </c>
      <c r="X327" s="6">
        <v>80027</v>
      </c>
      <c r="Y327" s="6" t="s">
        <v>333</v>
      </c>
    </row>
    <row r="328" spans="2:25" s="19" customFormat="1" x14ac:dyDescent="0.2">
      <c r="B328" s="5" t="s">
        <v>1327</v>
      </c>
      <c r="C328" s="5" t="s">
        <v>34</v>
      </c>
      <c r="D328" s="5" t="s">
        <v>35</v>
      </c>
      <c r="E328" s="5" t="s">
        <v>1328</v>
      </c>
      <c r="F328" s="5" t="s">
        <v>36</v>
      </c>
      <c r="G328" s="5">
        <v>7209349497</v>
      </c>
      <c r="H328" s="5">
        <v>0</v>
      </c>
      <c r="I328" s="20">
        <v>209</v>
      </c>
      <c r="J328" s="6" t="s">
        <v>924</v>
      </c>
      <c r="K328" s="6" t="s">
        <v>763</v>
      </c>
      <c r="L328" s="6" t="s">
        <v>764</v>
      </c>
      <c r="M328" s="6" t="s">
        <v>1335</v>
      </c>
      <c r="N328" s="6" t="s">
        <v>765</v>
      </c>
      <c r="O328" s="6">
        <v>3035485482</v>
      </c>
      <c r="P328" s="6"/>
      <c r="Q328" s="6" t="s">
        <v>1336</v>
      </c>
      <c r="R328" s="6" t="s">
        <v>145</v>
      </c>
      <c r="S328" s="6" t="s">
        <v>927</v>
      </c>
      <c r="T328" s="6">
        <v>80027</v>
      </c>
      <c r="U328" s="6" t="s">
        <v>1336</v>
      </c>
      <c r="V328" s="6" t="s">
        <v>145</v>
      </c>
      <c r="W328" s="6" t="s">
        <v>927</v>
      </c>
      <c r="X328" s="6">
        <v>80027</v>
      </c>
      <c r="Y328" s="6" t="s">
        <v>333</v>
      </c>
    </row>
    <row r="329" spans="2:25" s="19" customFormat="1" x14ac:dyDescent="0.2">
      <c r="B329" s="5" t="s">
        <v>1327</v>
      </c>
      <c r="C329" s="5" t="s">
        <v>34</v>
      </c>
      <c r="D329" s="5" t="s">
        <v>35</v>
      </c>
      <c r="E329" s="5" t="s">
        <v>1328</v>
      </c>
      <c r="F329" s="5" t="s">
        <v>36</v>
      </c>
      <c r="G329" s="5">
        <v>7209349497</v>
      </c>
      <c r="H329" s="5">
        <v>0</v>
      </c>
      <c r="I329" s="20">
        <v>209</v>
      </c>
      <c r="J329" s="6" t="s">
        <v>924</v>
      </c>
      <c r="K329" s="6" t="s">
        <v>925</v>
      </c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 t="s">
        <v>333</v>
      </c>
    </row>
    <row r="330" spans="2:25" s="19" customFormat="1" x14ac:dyDescent="0.2">
      <c r="B330" s="5" t="s">
        <v>1327</v>
      </c>
      <c r="C330" s="5" t="s">
        <v>34</v>
      </c>
      <c r="D330" s="5" t="s">
        <v>35</v>
      </c>
      <c r="E330" s="5" t="s">
        <v>1328</v>
      </c>
      <c r="F330" s="5" t="s">
        <v>36</v>
      </c>
      <c r="G330" s="5">
        <v>7209349497</v>
      </c>
      <c r="H330" s="5">
        <v>0</v>
      </c>
      <c r="I330" s="20">
        <v>210</v>
      </c>
      <c r="J330" s="6" t="s">
        <v>924</v>
      </c>
      <c r="K330" s="6" t="s">
        <v>925</v>
      </c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 t="s">
        <v>333</v>
      </c>
    </row>
    <row r="331" spans="2:25" s="19" customFormat="1" x14ac:dyDescent="0.2">
      <c r="B331" s="5" t="s">
        <v>1327</v>
      </c>
      <c r="C331" s="5" t="s">
        <v>34</v>
      </c>
      <c r="D331" s="5" t="s">
        <v>35</v>
      </c>
      <c r="E331" s="5" t="s">
        <v>1328</v>
      </c>
      <c r="F331" s="5" t="s">
        <v>36</v>
      </c>
      <c r="G331" s="5">
        <v>7209349497</v>
      </c>
      <c r="H331" s="5">
        <v>0</v>
      </c>
      <c r="I331" s="20">
        <v>210</v>
      </c>
      <c r="J331" s="6" t="s">
        <v>924</v>
      </c>
      <c r="K331" s="6" t="s">
        <v>925</v>
      </c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 t="s">
        <v>333</v>
      </c>
    </row>
    <row r="332" spans="2:25" s="19" customFormat="1" x14ac:dyDescent="0.2">
      <c r="B332" s="5" t="s">
        <v>1327</v>
      </c>
      <c r="C332" s="5" t="s">
        <v>34</v>
      </c>
      <c r="D332" s="5" t="s">
        <v>35</v>
      </c>
      <c r="E332" s="5" t="s">
        <v>1328</v>
      </c>
      <c r="F332" s="5" t="s">
        <v>36</v>
      </c>
      <c r="G332" s="5">
        <v>7209349497</v>
      </c>
      <c r="H332" s="5">
        <v>0</v>
      </c>
      <c r="I332" s="20">
        <v>211</v>
      </c>
      <c r="J332" s="6" t="s">
        <v>924</v>
      </c>
      <c r="K332" s="6" t="s">
        <v>925</v>
      </c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 t="s">
        <v>333</v>
      </c>
    </row>
    <row r="333" spans="2:25" s="19" customFormat="1" x14ac:dyDescent="0.2">
      <c r="B333" s="5" t="s">
        <v>1327</v>
      </c>
      <c r="C333" s="5" t="s">
        <v>34</v>
      </c>
      <c r="D333" s="5" t="s">
        <v>35</v>
      </c>
      <c r="E333" s="5" t="s">
        <v>1328</v>
      </c>
      <c r="F333" s="5" t="s">
        <v>36</v>
      </c>
      <c r="G333" s="5">
        <v>7209349497</v>
      </c>
      <c r="H333" s="5">
        <v>0</v>
      </c>
      <c r="I333" s="20">
        <v>211</v>
      </c>
      <c r="J333" s="6" t="s">
        <v>924</v>
      </c>
      <c r="K333" s="6" t="s">
        <v>925</v>
      </c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 t="s">
        <v>333</v>
      </c>
    </row>
    <row r="334" spans="2:25" s="19" customFormat="1" x14ac:dyDescent="0.2">
      <c r="B334" s="5" t="s">
        <v>1327</v>
      </c>
      <c r="C334" s="5" t="s">
        <v>34</v>
      </c>
      <c r="D334" s="5" t="s">
        <v>35</v>
      </c>
      <c r="E334" s="5" t="s">
        <v>1328</v>
      </c>
      <c r="F334" s="5" t="s">
        <v>36</v>
      </c>
      <c r="G334" s="5">
        <v>7209349497</v>
      </c>
      <c r="H334" s="5">
        <v>0</v>
      </c>
      <c r="I334" s="20">
        <v>212</v>
      </c>
      <c r="J334" s="6" t="s">
        <v>924</v>
      </c>
      <c r="K334" s="6" t="s">
        <v>701</v>
      </c>
      <c r="L334" s="6" t="s">
        <v>702</v>
      </c>
      <c r="M334" s="6" t="s">
        <v>702</v>
      </c>
      <c r="N334" s="6" t="s">
        <v>1337</v>
      </c>
      <c r="O334" s="6">
        <v>3035790389</v>
      </c>
      <c r="P334" s="6"/>
      <c r="Q334" s="6" t="s">
        <v>1338</v>
      </c>
      <c r="R334" s="6" t="s">
        <v>145</v>
      </c>
      <c r="S334" s="6" t="s">
        <v>927</v>
      </c>
      <c r="T334" s="6">
        <v>80027</v>
      </c>
      <c r="U334" s="6" t="s">
        <v>1338</v>
      </c>
      <c r="V334" s="6" t="s">
        <v>145</v>
      </c>
      <c r="W334" s="6" t="s">
        <v>927</v>
      </c>
      <c r="X334" s="6">
        <v>80027</v>
      </c>
      <c r="Y334" s="6" t="s">
        <v>333</v>
      </c>
    </row>
    <row r="335" spans="2:25" s="19" customFormat="1" x14ac:dyDescent="0.2">
      <c r="B335" s="5" t="s">
        <v>1327</v>
      </c>
      <c r="C335" s="5" t="s">
        <v>34</v>
      </c>
      <c r="D335" s="5" t="s">
        <v>35</v>
      </c>
      <c r="E335" s="5" t="s">
        <v>1328</v>
      </c>
      <c r="F335" s="5" t="s">
        <v>36</v>
      </c>
      <c r="G335" s="5">
        <v>7209349497</v>
      </c>
      <c r="H335" s="5">
        <v>0</v>
      </c>
      <c r="I335" s="20">
        <v>212</v>
      </c>
      <c r="J335" s="6" t="s">
        <v>924</v>
      </c>
      <c r="K335" s="6" t="s">
        <v>925</v>
      </c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 t="s">
        <v>333</v>
      </c>
    </row>
    <row r="336" spans="2:25" s="19" customFormat="1" x14ac:dyDescent="0.2">
      <c r="B336" s="5" t="s">
        <v>1339</v>
      </c>
      <c r="C336" s="5" t="s">
        <v>41</v>
      </c>
      <c r="D336" s="5" t="s">
        <v>42</v>
      </c>
      <c r="E336" s="5" t="s">
        <v>42</v>
      </c>
      <c r="F336" s="5" t="s">
        <v>43</v>
      </c>
      <c r="G336" s="5">
        <v>3032583745</v>
      </c>
      <c r="H336" s="5">
        <v>0</v>
      </c>
      <c r="I336" s="20">
        <v>901</v>
      </c>
      <c r="J336" s="6" t="s">
        <v>924</v>
      </c>
      <c r="K336" s="6" t="s">
        <v>925</v>
      </c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 t="s">
        <v>346</v>
      </c>
    </row>
    <row r="337" spans="2:25" s="19" customFormat="1" x14ac:dyDescent="0.2">
      <c r="B337" s="5" t="s">
        <v>1339</v>
      </c>
      <c r="C337" s="5" t="s">
        <v>41</v>
      </c>
      <c r="D337" s="5" t="s">
        <v>42</v>
      </c>
      <c r="E337" s="5" t="s">
        <v>42</v>
      </c>
      <c r="F337" s="5" t="s">
        <v>43</v>
      </c>
      <c r="G337" s="5">
        <v>3032583745</v>
      </c>
      <c r="H337" s="5">
        <v>0</v>
      </c>
      <c r="I337" s="20">
        <v>901</v>
      </c>
      <c r="J337" s="6" t="s">
        <v>924</v>
      </c>
      <c r="K337" s="6" t="s">
        <v>925</v>
      </c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 t="s">
        <v>346</v>
      </c>
    </row>
    <row r="338" spans="2:25" s="19" customFormat="1" x14ac:dyDescent="0.2">
      <c r="B338" s="5" t="s">
        <v>1339</v>
      </c>
      <c r="C338" s="5" t="s">
        <v>41</v>
      </c>
      <c r="D338" s="5" t="s">
        <v>42</v>
      </c>
      <c r="E338" s="5" t="s">
        <v>42</v>
      </c>
      <c r="F338" s="5" t="s">
        <v>43</v>
      </c>
      <c r="G338" s="5">
        <v>3032583745</v>
      </c>
      <c r="H338" s="5">
        <v>0</v>
      </c>
      <c r="I338" s="20">
        <v>902</v>
      </c>
      <c r="J338" s="6" t="s">
        <v>924</v>
      </c>
      <c r="K338" s="6" t="s">
        <v>925</v>
      </c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 t="s">
        <v>346</v>
      </c>
    </row>
    <row r="339" spans="2:25" s="19" customFormat="1" x14ac:dyDescent="0.2">
      <c r="B339" s="5" t="s">
        <v>1339</v>
      </c>
      <c r="C339" s="5" t="s">
        <v>41</v>
      </c>
      <c r="D339" s="5" t="s">
        <v>42</v>
      </c>
      <c r="E339" s="5" t="s">
        <v>42</v>
      </c>
      <c r="F339" s="5" t="s">
        <v>43</v>
      </c>
      <c r="G339" s="5">
        <v>3032583745</v>
      </c>
      <c r="H339" s="5">
        <v>0</v>
      </c>
      <c r="I339" s="20">
        <v>902</v>
      </c>
      <c r="J339" s="6" t="s">
        <v>924</v>
      </c>
      <c r="K339" s="6" t="s">
        <v>925</v>
      </c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 t="s">
        <v>346</v>
      </c>
    </row>
    <row r="340" spans="2:25" s="19" customFormat="1" x14ac:dyDescent="0.2">
      <c r="B340" s="5" t="s">
        <v>1339</v>
      </c>
      <c r="C340" s="5" t="s">
        <v>41</v>
      </c>
      <c r="D340" s="5" t="s">
        <v>42</v>
      </c>
      <c r="E340" s="5" t="s">
        <v>42</v>
      </c>
      <c r="F340" s="5" t="s">
        <v>43</v>
      </c>
      <c r="G340" s="5">
        <v>3032583745</v>
      </c>
      <c r="H340" s="5">
        <v>0</v>
      </c>
      <c r="I340" s="20">
        <v>903</v>
      </c>
      <c r="J340" s="6" t="s">
        <v>924</v>
      </c>
      <c r="K340" s="6" t="s">
        <v>601</v>
      </c>
      <c r="L340" s="6" t="s">
        <v>602</v>
      </c>
      <c r="M340" s="6" t="s">
        <v>602</v>
      </c>
      <c r="N340" s="6" t="s">
        <v>604</v>
      </c>
      <c r="O340" s="6">
        <v>7202274416</v>
      </c>
      <c r="P340" s="6"/>
      <c r="Q340" s="6" t="s">
        <v>1340</v>
      </c>
      <c r="R340" s="6" t="s">
        <v>344</v>
      </c>
      <c r="S340" s="6" t="s">
        <v>927</v>
      </c>
      <c r="T340" s="6">
        <v>80466</v>
      </c>
      <c r="U340" s="6" t="s">
        <v>1340</v>
      </c>
      <c r="V340" s="6" t="s">
        <v>344</v>
      </c>
      <c r="W340" s="6" t="s">
        <v>927</v>
      </c>
      <c r="X340" s="6">
        <v>80466</v>
      </c>
      <c r="Y340" s="6" t="s">
        <v>346</v>
      </c>
    </row>
    <row r="341" spans="2:25" s="19" customFormat="1" x14ac:dyDescent="0.2">
      <c r="B341" s="5" t="s">
        <v>1339</v>
      </c>
      <c r="C341" s="5" t="s">
        <v>41</v>
      </c>
      <c r="D341" s="5" t="s">
        <v>42</v>
      </c>
      <c r="E341" s="5" t="s">
        <v>42</v>
      </c>
      <c r="F341" s="5" t="s">
        <v>43</v>
      </c>
      <c r="G341" s="5">
        <v>3032583745</v>
      </c>
      <c r="H341" s="5">
        <v>0</v>
      </c>
      <c r="I341" s="20">
        <v>903</v>
      </c>
      <c r="J341" s="6" t="s">
        <v>924</v>
      </c>
      <c r="K341" s="6" t="s">
        <v>41</v>
      </c>
      <c r="L341" s="6" t="s">
        <v>42</v>
      </c>
      <c r="M341" s="6" t="s">
        <v>42</v>
      </c>
      <c r="N341" s="6" t="s">
        <v>43</v>
      </c>
      <c r="O341" s="6">
        <v>3032583745</v>
      </c>
      <c r="P341" s="6"/>
      <c r="Q341" s="6" t="s">
        <v>1341</v>
      </c>
      <c r="R341" s="6" t="s">
        <v>344</v>
      </c>
      <c r="S341" s="6" t="s">
        <v>927</v>
      </c>
      <c r="T341" s="6">
        <v>80466</v>
      </c>
      <c r="U341" s="6" t="s">
        <v>1341</v>
      </c>
      <c r="V341" s="6" t="s">
        <v>344</v>
      </c>
      <c r="W341" s="6" t="s">
        <v>927</v>
      </c>
      <c r="X341" s="6">
        <v>80466</v>
      </c>
      <c r="Y341" s="6" t="s">
        <v>346</v>
      </c>
    </row>
    <row r="342" spans="2:25" s="19" customFormat="1" x14ac:dyDescent="0.2">
      <c r="B342" s="5" t="s">
        <v>1339</v>
      </c>
      <c r="C342" s="5" t="s">
        <v>41</v>
      </c>
      <c r="D342" s="5" t="s">
        <v>42</v>
      </c>
      <c r="E342" s="5" t="s">
        <v>42</v>
      </c>
      <c r="F342" s="5" t="s">
        <v>43</v>
      </c>
      <c r="G342" s="5">
        <v>3032583745</v>
      </c>
      <c r="H342" s="5">
        <v>0</v>
      </c>
      <c r="I342" s="20">
        <v>904</v>
      </c>
      <c r="J342" s="6" t="s">
        <v>924</v>
      </c>
      <c r="K342" s="6" t="s">
        <v>668</v>
      </c>
      <c r="L342" s="6" t="s">
        <v>669</v>
      </c>
      <c r="M342" s="6" t="s">
        <v>669</v>
      </c>
      <c r="N342" s="6" t="s">
        <v>670</v>
      </c>
      <c r="O342" s="6">
        <v>3039492843</v>
      </c>
      <c r="P342" s="6">
        <v>3035706948</v>
      </c>
      <c r="Q342" s="6" t="s">
        <v>1342</v>
      </c>
      <c r="R342" s="6" t="s">
        <v>344</v>
      </c>
      <c r="S342" s="6" t="s">
        <v>927</v>
      </c>
      <c r="T342" s="6">
        <v>80466</v>
      </c>
      <c r="U342" s="6" t="s">
        <v>1343</v>
      </c>
      <c r="V342" s="6" t="s">
        <v>344</v>
      </c>
      <c r="W342" s="6" t="s">
        <v>927</v>
      </c>
      <c r="X342" s="6">
        <v>80466</v>
      </c>
      <c r="Y342" s="6" t="s">
        <v>346</v>
      </c>
    </row>
    <row r="343" spans="2:25" s="19" customFormat="1" x14ac:dyDescent="0.2">
      <c r="B343" s="5" t="s">
        <v>1339</v>
      </c>
      <c r="C343" s="5" t="s">
        <v>41</v>
      </c>
      <c r="D343" s="5" t="s">
        <v>42</v>
      </c>
      <c r="E343" s="5" t="s">
        <v>42</v>
      </c>
      <c r="F343" s="5" t="s">
        <v>43</v>
      </c>
      <c r="G343" s="5">
        <v>3032583745</v>
      </c>
      <c r="H343" s="5">
        <v>0</v>
      </c>
      <c r="I343" s="20">
        <v>904</v>
      </c>
      <c r="J343" s="6" t="s">
        <v>924</v>
      </c>
      <c r="K343" s="6" t="s">
        <v>925</v>
      </c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 t="s">
        <v>346</v>
      </c>
    </row>
    <row r="344" spans="2:25" s="19" customFormat="1" x14ac:dyDescent="0.2">
      <c r="B344" s="5" t="s">
        <v>1339</v>
      </c>
      <c r="C344" s="5" t="s">
        <v>41</v>
      </c>
      <c r="D344" s="5" t="s">
        <v>42</v>
      </c>
      <c r="E344" s="5" t="s">
        <v>42</v>
      </c>
      <c r="F344" s="5" t="s">
        <v>43</v>
      </c>
      <c r="G344" s="5">
        <v>3032583745</v>
      </c>
      <c r="H344" s="5">
        <v>0</v>
      </c>
      <c r="I344" s="20">
        <v>905</v>
      </c>
      <c r="J344" s="6" t="s">
        <v>924</v>
      </c>
      <c r="K344" s="6" t="s">
        <v>925</v>
      </c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 t="s">
        <v>346</v>
      </c>
    </row>
    <row r="345" spans="2:25" s="19" customFormat="1" x14ac:dyDescent="0.2">
      <c r="B345" s="5" t="s">
        <v>1339</v>
      </c>
      <c r="C345" s="5" t="s">
        <v>41</v>
      </c>
      <c r="D345" s="5" t="s">
        <v>42</v>
      </c>
      <c r="E345" s="5" t="s">
        <v>42</v>
      </c>
      <c r="F345" s="5" t="s">
        <v>43</v>
      </c>
      <c r="G345" s="5">
        <v>3032583745</v>
      </c>
      <c r="H345" s="5">
        <v>0</v>
      </c>
      <c r="I345" s="20">
        <v>905</v>
      </c>
      <c r="J345" s="6" t="s">
        <v>924</v>
      </c>
      <c r="K345" s="6" t="s">
        <v>925</v>
      </c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 t="s">
        <v>346</v>
      </c>
    </row>
    <row r="346" spans="2:25" s="19" customFormat="1" x14ac:dyDescent="0.2">
      <c r="B346" s="5" t="s">
        <v>1339</v>
      </c>
      <c r="C346" s="5" t="s">
        <v>41</v>
      </c>
      <c r="D346" s="5" t="s">
        <v>42</v>
      </c>
      <c r="E346" s="5" t="s">
        <v>42</v>
      </c>
      <c r="F346" s="5" t="s">
        <v>43</v>
      </c>
      <c r="G346" s="5">
        <v>3032583745</v>
      </c>
      <c r="H346" s="5">
        <v>0</v>
      </c>
      <c r="I346" s="20">
        <v>907</v>
      </c>
      <c r="J346" s="6" t="s">
        <v>924</v>
      </c>
      <c r="K346" s="6" t="s">
        <v>862</v>
      </c>
      <c r="L346" s="6" t="s">
        <v>617</v>
      </c>
      <c r="M346" s="6" t="s">
        <v>617</v>
      </c>
      <c r="N346" s="6" t="s">
        <v>1344</v>
      </c>
      <c r="O346" s="6">
        <v>2144977899</v>
      </c>
      <c r="P346" s="6"/>
      <c r="Q346" s="6" t="s">
        <v>1345</v>
      </c>
      <c r="R346" s="6" t="s">
        <v>160</v>
      </c>
      <c r="S346" s="6" t="s">
        <v>927</v>
      </c>
      <c r="T346" s="6">
        <v>80302</v>
      </c>
      <c r="U346" s="6" t="s">
        <v>1345</v>
      </c>
      <c r="V346" s="6" t="s">
        <v>160</v>
      </c>
      <c r="W346" s="6" t="s">
        <v>927</v>
      </c>
      <c r="X346" s="6">
        <v>80302</v>
      </c>
      <c r="Y346" s="6" t="s">
        <v>346</v>
      </c>
    </row>
    <row r="347" spans="2:25" s="19" customFormat="1" x14ac:dyDescent="0.2">
      <c r="B347" s="5" t="s">
        <v>1339</v>
      </c>
      <c r="C347" s="5" t="s">
        <v>41</v>
      </c>
      <c r="D347" s="5" t="s">
        <v>42</v>
      </c>
      <c r="E347" s="5" t="s">
        <v>42</v>
      </c>
      <c r="F347" s="5" t="s">
        <v>43</v>
      </c>
      <c r="G347" s="5">
        <v>3032583745</v>
      </c>
      <c r="H347" s="5">
        <v>0</v>
      </c>
      <c r="I347" s="20">
        <v>907</v>
      </c>
      <c r="J347" s="6" t="s">
        <v>924</v>
      </c>
      <c r="K347" s="6" t="s">
        <v>925</v>
      </c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 t="s">
        <v>346</v>
      </c>
    </row>
    <row r="348" spans="2:25" s="19" customFormat="1" x14ac:dyDescent="0.2">
      <c r="B348" s="5" t="s">
        <v>1346</v>
      </c>
      <c r="C348" s="5" t="s">
        <v>20</v>
      </c>
      <c r="D348" s="5" t="s">
        <v>21</v>
      </c>
      <c r="E348" s="5" t="s">
        <v>21</v>
      </c>
      <c r="F348" s="5" t="s">
        <v>22</v>
      </c>
      <c r="G348" s="5">
        <v>3034423847</v>
      </c>
      <c r="H348" s="5">
        <v>3039479477</v>
      </c>
      <c r="I348" s="20">
        <v>908</v>
      </c>
      <c r="J348" s="6" t="s">
        <v>924</v>
      </c>
      <c r="K348" s="6" t="s">
        <v>1347</v>
      </c>
      <c r="L348" s="6" t="s">
        <v>1348</v>
      </c>
      <c r="M348" s="6" t="s">
        <v>1348</v>
      </c>
      <c r="N348" s="6" t="s">
        <v>1349</v>
      </c>
      <c r="O348" s="6">
        <v>7206330253</v>
      </c>
      <c r="P348" s="6"/>
      <c r="Q348" s="6" t="s">
        <v>1350</v>
      </c>
      <c r="R348" s="6" t="s">
        <v>1351</v>
      </c>
      <c r="S348" s="6" t="s">
        <v>927</v>
      </c>
      <c r="T348" s="6">
        <v>80481</v>
      </c>
      <c r="U348" s="6" t="s">
        <v>1352</v>
      </c>
      <c r="V348" s="6" t="s">
        <v>1351</v>
      </c>
      <c r="W348" s="6" t="s">
        <v>927</v>
      </c>
      <c r="X348" s="6">
        <v>80481</v>
      </c>
      <c r="Y348" s="6" t="s">
        <v>262</v>
      </c>
    </row>
    <row r="349" spans="2:25" s="19" customFormat="1" x14ac:dyDescent="0.2">
      <c r="B349" s="5" t="s">
        <v>1346</v>
      </c>
      <c r="C349" s="5" t="s">
        <v>20</v>
      </c>
      <c r="D349" s="5" t="s">
        <v>21</v>
      </c>
      <c r="E349" s="5" t="s">
        <v>21</v>
      </c>
      <c r="F349" s="5" t="s">
        <v>22</v>
      </c>
      <c r="G349" s="5">
        <v>3034423847</v>
      </c>
      <c r="H349" s="5">
        <v>3039479477</v>
      </c>
      <c r="I349" s="20">
        <v>908</v>
      </c>
      <c r="J349" s="6" t="s">
        <v>924</v>
      </c>
      <c r="K349" s="6" t="s">
        <v>686</v>
      </c>
      <c r="L349" s="6" t="s">
        <v>687</v>
      </c>
      <c r="M349" s="6" t="s">
        <v>687</v>
      </c>
      <c r="N349" s="6" t="s">
        <v>1353</v>
      </c>
      <c r="O349" s="6">
        <v>3033191169</v>
      </c>
      <c r="P349" s="6">
        <v>3034593333</v>
      </c>
      <c r="Q349" s="6" t="s">
        <v>1354</v>
      </c>
      <c r="R349" s="6" t="s">
        <v>301</v>
      </c>
      <c r="S349" s="6" t="s">
        <v>927</v>
      </c>
      <c r="T349" s="6">
        <v>80455</v>
      </c>
      <c r="U349" s="6" t="s">
        <v>1354</v>
      </c>
      <c r="V349" s="6" t="s">
        <v>301</v>
      </c>
      <c r="W349" s="6" t="s">
        <v>927</v>
      </c>
      <c r="X349" s="6">
        <v>80455</v>
      </c>
      <c r="Y349" s="6" t="s">
        <v>262</v>
      </c>
    </row>
    <row r="350" spans="2:25" s="19" customFormat="1" x14ac:dyDescent="0.2">
      <c r="B350" s="5" t="s">
        <v>1346</v>
      </c>
      <c r="C350" s="5" t="s">
        <v>20</v>
      </c>
      <c r="D350" s="5" t="s">
        <v>21</v>
      </c>
      <c r="E350" s="5" t="s">
        <v>21</v>
      </c>
      <c r="F350" s="5" t="s">
        <v>22</v>
      </c>
      <c r="G350" s="5">
        <v>3034423847</v>
      </c>
      <c r="H350" s="5">
        <v>3039479477</v>
      </c>
      <c r="I350" s="20">
        <v>909</v>
      </c>
      <c r="J350" s="6" t="s">
        <v>924</v>
      </c>
      <c r="K350" s="6" t="s">
        <v>20</v>
      </c>
      <c r="L350" s="6" t="s">
        <v>21</v>
      </c>
      <c r="M350" s="6" t="s">
        <v>21</v>
      </c>
      <c r="N350" s="6" t="s">
        <v>22</v>
      </c>
      <c r="O350" s="6">
        <v>2035255261</v>
      </c>
      <c r="P350" s="6"/>
      <c r="Q350" s="6" t="s">
        <v>1355</v>
      </c>
      <c r="R350" s="6" t="s">
        <v>160</v>
      </c>
      <c r="S350" s="6" t="s">
        <v>927</v>
      </c>
      <c r="T350" s="6">
        <v>80302</v>
      </c>
      <c r="U350" s="6" t="s">
        <v>1355</v>
      </c>
      <c r="V350" s="6" t="s">
        <v>160</v>
      </c>
      <c r="W350" s="6" t="s">
        <v>927</v>
      </c>
      <c r="X350" s="6">
        <v>80302</v>
      </c>
      <c r="Y350" s="6" t="s">
        <v>262</v>
      </c>
    </row>
    <row r="351" spans="2:25" s="19" customFormat="1" x14ac:dyDescent="0.2">
      <c r="B351" s="5" t="s">
        <v>1346</v>
      </c>
      <c r="C351" s="5" t="s">
        <v>20</v>
      </c>
      <c r="D351" s="5" t="s">
        <v>21</v>
      </c>
      <c r="E351" s="5" t="s">
        <v>21</v>
      </c>
      <c r="F351" s="5" t="s">
        <v>22</v>
      </c>
      <c r="G351" s="5">
        <v>3034423847</v>
      </c>
      <c r="H351" s="5">
        <v>3039479477</v>
      </c>
      <c r="I351" s="20">
        <v>909</v>
      </c>
      <c r="J351" s="6" t="s">
        <v>924</v>
      </c>
      <c r="K351" s="6" t="s">
        <v>925</v>
      </c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 t="s">
        <v>262</v>
      </c>
    </row>
    <row r="352" spans="2:25" s="19" customFormat="1" x14ac:dyDescent="0.2">
      <c r="B352" s="5" t="s">
        <v>1346</v>
      </c>
      <c r="C352" s="5" t="s">
        <v>20</v>
      </c>
      <c r="D352" s="5" t="s">
        <v>21</v>
      </c>
      <c r="E352" s="5" t="s">
        <v>21</v>
      </c>
      <c r="F352" s="5" t="s">
        <v>22</v>
      </c>
      <c r="G352" s="5">
        <v>3034423847</v>
      </c>
      <c r="H352" s="5">
        <v>3039479477</v>
      </c>
      <c r="I352" s="20">
        <v>910</v>
      </c>
      <c r="J352" s="6" t="s">
        <v>924</v>
      </c>
      <c r="K352" s="6" t="s">
        <v>1356</v>
      </c>
      <c r="L352" s="6" t="s">
        <v>54</v>
      </c>
      <c r="M352" s="6" t="s">
        <v>54</v>
      </c>
      <c r="N352" s="6" t="s">
        <v>1357</v>
      </c>
      <c r="O352" s="6">
        <v>6094575268</v>
      </c>
      <c r="P352" s="6"/>
      <c r="Q352" s="6" t="s">
        <v>1358</v>
      </c>
      <c r="R352" s="6" t="s">
        <v>160</v>
      </c>
      <c r="S352" s="6" t="s">
        <v>927</v>
      </c>
      <c r="T352" s="6">
        <v>80302</v>
      </c>
      <c r="U352" s="6" t="s">
        <v>1358</v>
      </c>
      <c r="V352" s="6" t="s">
        <v>160</v>
      </c>
      <c r="W352" s="6" t="s">
        <v>927</v>
      </c>
      <c r="X352" s="6">
        <v>80302</v>
      </c>
      <c r="Y352" s="6" t="s">
        <v>262</v>
      </c>
    </row>
    <row r="353" spans="2:25" s="19" customFormat="1" x14ac:dyDescent="0.2">
      <c r="B353" s="5" t="s">
        <v>1346</v>
      </c>
      <c r="C353" s="5" t="s">
        <v>20</v>
      </c>
      <c r="D353" s="5" t="s">
        <v>21</v>
      </c>
      <c r="E353" s="5" t="s">
        <v>21</v>
      </c>
      <c r="F353" s="5" t="s">
        <v>22</v>
      </c>
      <c r="G353" s="5">
        <v>3034423847</v>
      </c>
      <c r="H353" s="5">
        <v>3039479477</v>
      </c>
      <c r="I353" s="20">
        <v>910</v>
      </c>
      <c r="J353" s="6" t="s">
        <v>924</v>
      </c>
      <c r="K353" s="6" t="s">
        <v>925</v>
      </c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 t="s">
        <v>262</v>
      </c>
    </row>
    <row r="354" spans="2:25" s="19" customFormat="1" x14ac:dyDescent="0.2">
      <c r="B354" s="5" t="s">
        <v>1346</v>
      </c>
      <c r="C354" s="5" t="s">
        <v>20</v>
      </c>
      <c r="D354" s="5" t="s">
        <v>21</v>
      </c>
      <c r="E354" s="5" t="s">
        <v>21</v>
      </c>
      <c r="F354" s="5" t="s">
        <v>22</v>
      </c>
      <c r="G354" s="5">
        <v>3034423847</v>
      </c>
      <c r="H354" s="5">
        <v>3039479477</v>
      </c>
      <c r="I354" s="20">
        <v>911</v>
      </c>
      <c r="J354" s="6" t="s">
        <v>924</v>
      </c>
      <c r="K354" s="6" t="s">
        <v>1359</v>
      </c>
      <c r="L354" s="6" t="s">
        <v>1074</v>
      </c>
      <c r="M354" s="6" t="s">
        <v>1074</v>
      </c>
      <c r="N354" s="6" t="s">
        <v>1360</v>
      </c>
      <c r="O354" s="6">
        <v>3034422133</v>
      </c>
      <c r="P354" s="6"/>
      <c r="Q354" s="6" t="s">
        <v>1361</v>
      </c>
      <c r="R354" s="6" t="s">
        <v>160</v>
      </c>
      <c r="S354" s="6" t="s">
        <v>927</v>
      </c>
      <c r="T354" s="6">
        <v>80304</v>
      </c>
      <c r="U354" s="6" t="s">
        <v>1361</v>
      </c>
      <c r="V354" s="6" t="s">
        <v>160</v>
      </c>
      <c r="W354" s="6" t="s">
        <v>927</v>
      </c>
      <c r="X354" s="6">
        <v>80304</v>
      </c>
      <c r="Y354" s="6" t="s">
        <v>262</v>
      </c>
    </row>
    <row r="355" spans="2:25" s="19" customFormat="1" x14ac:dyDescent="0.2">
      <c r="B355" s="5" t="s">
        <v>1346</v>
      </c>
      <c r="C355" s="5" t="s">
        <v>20</v>
      </c>
      <c r="D355" s="5" t="s">
        <v>21</v>
      </c>
      <c r="E355" s="5" t="s">
        <v>21</v>
      </c>
      <c r="F355" s="5" t="s">
        <v>22</v>
      </c>
      <c r="G355" s="5">
        <v>3034423847</v>
      </c>
      <c r="H355" s="5">
        <v>3039479477</v>
      </c>
      <c r="I355" s="20">
        <v>911</v>
      </c>
      <c r="J355" s="6" t="s">
        <v>924</v>
      </c>
      <c r="K355" s="6" t="s">
        <v>515</v>
      </c>
      <c r="L355" s="6" t="s">
        <v>516</v>
      </c>
      <c r="M355" s="6" t="s">
        <v>516</v>
      </c>
      <c r="N355" s="6" t="s">
        <v>517</v>
      </c>
      <c r="O355" s="6">
        <v>6509068422</v>
      </c>
      <c r="P355" s="6"/>
      <c r="Q355" s="6" t="s">
        <v>1362</v>
      </c>
      <c r="R355" s="6" t="s">
        <v>160</v>
      </c>
      <c r="S355" s="6" t="s">
        <v>927</v>
      </c>
      <c r="T355" s="6">
        <v>80305</v>
      </c>
      <c r="U355" s="6" t="s">
        <v>1362</v>
      </c>
      <c r="V355" s="6" t="s">
        <v>160</v>
      </c>
      <c r="W355" s="6" t="s">
        <v>927</v>
      </c>
      <c r="X355" s="6">
        <v>80305</v>
      </c>
      <c r="Y355" s="6" t="s">
        <v>262</v>
      </c>
    </row>
    <row r="356" spans="2:25" s="19" customFormat="1" x14ac:dyDescent="0.2">
      <c r="B356" s="5" t="s">
        <v>1346</v>
      </c>
      <c r="C356" s="5" t="s">
        <v>20</v>
      </c>
      <c r="D356" s="5" t="s">
        <v>21</v>
      </c>
      <c r="E356" s="5" t="s">
        <v>21</v>
      </c>
      <c r="F356" s="5" t="s">
        <v>22</v>
      </c>
      <c r="G356" s="5">
        <v>3034423847</v>
      </c>
      <c r="H356" s="5">
        <v>3039479477</v>
      </c>
      <c r="I356" s="20">
        <v>912</v>
      </c>
      <c r="J356" s="6" t="s">
        <v>924</v>
      </c>
      <c r="K356" s="6" t="s">
        <v>1363</v>
      </c>
      <c r="L356" s="6" t="s">
        <v>1226</v>
      </c>
      <c r="M356" s="6" t="s">
        <v>1364</v>
      </c>
      <c r="N356" s="6" t="s">
        <v>1365</v>
      </c>
      <c r="O356" s="6">
        <v>7206664631</v>
      </c>
      <c r="P356" s="6"/>
      <c r="Q356" s="6" t="s">
        <v>1366</v>
      </c>
      <c r="R356" s="6" t="s">
        <v>160</v>
      </c>
      <c r="S356" s="6" t="s">
        <v>927</v>
      </c>
      <c r="T356" s="6">
        <v>80302</v>
      </c>
      <c r="U356" s="6" t="s">
        <v>1366</v>
      </c>
      <c r="V356" s="6" t="s">
        <v>160</v>
      </c>
      <c r="W356" s="6" t="s">
        <v>927</v>
      </c>
      <c r="X356" s="6">
        <v>80302</v>
      </c>
      <c r="Y356" s="6" t="s">
        <v>262</v>
      </c>
    </row>
    <row r="357" spans="2:25" s="19" customFormat="1" x14ac:dyDescent="0.2">
      <c r="B357" s="5" t="s">
        <v>1346</v>
      </c>
      <c r="C357" s="5" t="s">
        <v>20</v>
      </c>
      <c r="D357" s="5" t="s">
        <v>21</v>
      </c>
      <c r="E357" s="5" t="s">
        <v>21</v>
      </c>
      <c r="F357" s="5" t="s">
        <v>22</v>
      </c>
      <c r="G357" s="5">
        <v>3034423847</v>
      </c>
      <c r="H357" s="5">
        <v>3039479477</v>
      </c>
      <c r="I357" s="20">
        <v>912</v>
      </c>
      <c r="J357" s="6" t="s">
        <v>924</v>
      </c>
      <c r="K357" s="6" t="s">
        <v>925</v>
      </c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 t="s">
        <v>262</v>
      </c>
    </row>
    <row r="358" spans="2:25" s="19" customFormat="1" x14ac:dyDescent="0.2">
      <c r="B358" s="5" t="s">
        <v>1346</v>
      </c>
      <c r="C358" s="5" t="s">
        <v>20</v>
      </c>
      <c r="D358" s="5" t="s">
        <v>21</v>
      </c>
      <c r="E358" s="5" t="s">
        <v>21</v>
      </c>
      <c r="F358" s="5" t="s">
        <v>22</v>
      </c>
      <c r="G358" s="5">
        <v>3034423847</v>
      </c>
      <c r="H358" s="5">
        <v>3039479477</v>
      </c>
      <c r="I358" s="20">
        <v>913</v>
      </c>
      <c r="J358" s="6" t="s">
        <v>924</v>
      </c>
      <c r="K358" s="6" t="s">
        <v>925</v>
      </c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 t="s">
        <v>262</v>
      </c>
    </row>
    <row r="359" spans="2:25" s="19" customFormat="1" x14ac:dyDescent="0.2">
      <c r="B359" s="5" t="s">
        <v>1346</v>
      </c>
      <c r="C359" s="5" t="s">
        <v>20</v>
      </c>
      <c r="D359" s="5" t="s">
        <v>21</v>
      </c>
      <c r="E359" s="5" t="s">
        <v>21</v>
      </c>
      <c r="F359" s="5" t="s">
        <v>22</v>
      </c>
      <c r="G359" s="5">
        <v>3034423847</v>
      </c>
      <c r="H359" s="5">
        <v>3039479477</v>
      </c>
      <c r="I359" s="20">
        <v>913</v>
      </c>
      <c r="J359" s="6" t="s">
        <v>924</v>
      </c>
      <c r="K359" s="6" t="s">
        <v>925</v>
      </c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 t="s">
        <v>262</v>
      </c>
    </row>
    <row r="360" spans="2:25" s="19" customFormat="1" x14ac:dyDescent="0.2">
      <c r="B360" s="5" t="s">
        <v>1367</v>
      </c>
      <c r="C360" s="5" t="s">
        <v>65</v>
      </c>
      <c r="D360" s="5" t="s">
        <v>899</v>
      </c>
      <c r="E360" s="5" t="s">
        <v>899</v>
      </c>
      <c r="F360" s="5" t="s">
        <v>66</v>
      </c>
      <c r="G360" s="5">
        <v>3038232448</v>
      </c>
      <c r="H360" s="5">
        <v>0</v>
      </c>
      <c r="I360" s="20">
        <v>700</v>
      </c>
      <c r="J360" s="6" t="s">
        <v>924</v>
      </c>
      <c r="K360" s="6" t="s">
        <v>925</v>
      </c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 t="s">
        <v>240</v>
      </c>
    </row>
    <row r="361" spans="2:25" s="19" customFormat="1" x14ac:dyDescent="0.2">
      <c r="B361" s="5" t="s">
        <v>1367</v>
      </c>
      <c r="C361" s="5" t="s">
        <v>65</v>
      </c>
      <c r="D361" s="5" t="s">
        <v>899</v>
      </c>
      <c r="E361" s="5" t="s">
        <v>899</v>
      </c>
      <c r="F361" s="5" t="s">
        <v>66</v>
      </c>
      <c r="G361" s="5">
        <v>3038232448</v>
      </c>
      <c r="H361" s="5">
        <v>0</v>
      </c>
      <c r="I361" s="20">
        <v>700</v>
      </c>
      <c r="J361" s="6" t="s">
        <v>924</v>
      </c>
      <c r="K361" s="6" t="s">
        <v>925</v>
      </c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 t="s">
        <v>240</v>
      </c>
    </row>
    <row r="362" spans="2:25" s="19" customFormat="1" x14ac:dyDescent="0.2">
      <c r="B362" s="5" t="s">
        <v>1367</v>
      </c>
      <c r="C362" s="5" t="s">
        <v>65</v>
      </c>
      <c r="D362" s="5" t="s">
        <v>899</v>
      </c>
      <c r="E362" s="5" t="s">
        <v>899</v>
      </c>
      <c r="F362" s="5" t="s">
        <v>66</v>
      </c>
      <c r="G362" s="5">
        <v>3038232448</v>
      </c>
      <c r="H362" s="5">
        <v>0</v>
      </c>
      <c r="I362" s="20">
        <v>701</v>
      </c>
      <c r="J362" s="6" t="s">
        <v>924</v>
      </c>
      <c r="K362" s="6" t="s">
        <v>925</v>
      </c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 t="s">
        <v>240</v>
      </c>
    </row>
    <row r="363" spans="2:25" s="19" customFormat="1" x14ac:dyDescent="0.2">
      <c r="B363" s="5" t="s">
        <v>1367</v>
      </c>
      <c r="C363" s="5" t="s">
        <v>65</v>
      </c>
      <c r="D363" s="5" t="s">
        <v>899</v>
      </c>
      <c r="E363" s="5" t="s">
        <v>899</v>
      </c>
      <c r="F363" s="5" t="s">
        <v>66</v>
      </c>
      <c r="G363" s="5">
        <v>3038232448</v>
      </c>
      <c r="H363" s="5">
        <v>0</v>
      </c>
      <c r="I363" s="20">
        <v>701</v>
      </c>
      <c r="J363" s="6" t="s">
        <v>924</v>
      </c>
      <c r="K363" s="6" t="s">
        <v>925</v>
      </c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 t="s">
        <v>240</v>
      </c>
    </row>
    <row r="364" spans="2:25" s="19" customFormat="1" x14ac:dyDescent="0.2">
      <c r="B364" s="5" t="s">
        <v>1367</v>
      </c>
      <c r="C364" s="5" t="s">
        <v>65</v>
      </c>
      <c r="D364" s="5" t="s">
        <v>899</v>
      </c>
      <c r="E364" s="5" t="s">
        <v>899</v>
      </c>
      <c r="F364" s="5" t="s">
        <v>66</v>
      </c>
      <c r="G364" s="5">
        <v>3038232448</v>
      </c>
      <c r="H364" s="5">
        <v>0</v>
      </c>
      <c r="I364" s="20">
        <v>702</v>
      </c>
      <c r="J364" s="6" t="s">
        <v>924</v>
      </c>
      <c r="K364" s="6" t="s">
        <v>925</v>
      </c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 t="s">
        <v>240</v>
      </c>
    </row>
    <row r="365" spans="2:25" s="19" customFormat="1" x14ac:dyDescent="0.2">
      <c r="B365" s="5" t="s">
        <v>1367</v>
      </c>
      <c r="C365" s="5" t="s">
        <v>65</v>
      </c>
      <c r="D365" s="5" t="s">
        <v>899</v>
      </c>
      <c r="E365" s="5" t="s">
        <v>899</v>
      </c>
      <c r="F365" s="5" t="s">
        <v>66</v>
      </c>
      <c r="G365" s="5">
        <v>3038232448</v>
      </c>
      <c r="H365" s="5">
        <v>0</v>
      </c>
      <c r="I365" s="20">
        <v>702</v>
      </c>
      <c r="J365" s="6" t="s">
        <v>924</v>
      </c>
      <c r="K365" s="6" t="s">
        <v>925</v>
      </c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 t="s">
        <v>240</v>
      </c>
    </row>
    <row r="366" spans="2:25" s="19" customFormat="1" x14ac:dyDescent="0.2">
      <c r="B366" s="5" t="s">
        <v>1367</v>
      </c>
      <c r="C366" s="5" t="s">
        <v>65</v>
      </c>
      <c r="D366" s="5" t="s">
        <v>899</v>
      </c>
      <c r="E366" s="5" t="s">
        <v>899</v>
      </c>
      <c r="F366" s="5" t="s">
        <v>66</v>
      </c>
      <c r="G366" s="5">
        <v>3038232448</v>
      </c>
      <c r="H366" s="5">
        <v>0</v>
      </c>
      <c r="I366" s="20">
        <v>914</v>
      </c>
      <c r="J366" s="6" t="s">
        <v>924</v>
      </c>
      <c r="K366" s="6" t="s">
        <v>856</v>
      </c>
      <c r="L366" s="6" t="s">
        <v>857</v>
      </c>
      <c r="M366" s="6" t="s">
        <v>857</v>
      </c>
      <c r="N366" s="6" t="s">
        <v>858</v>
      </c>
      <c r="O366" s="6">
        <v>5127450823</v>
      </c>
      <c r="P366" s="6"/>
      <c r="Q366" s="6" t="s">
        <v>1368</v>
      </c>
      <c r="R366" s="6" t="s">
        <v>238</v>
      </c>
      <c r="S366" s="6" t="s">
        <v>927</v>
      </c>
      <c r="T366" s="6">
        <v>80510</v>
      </c>
      <c r="U366" s="6" t="s">
        <v>1369</v>
      </c>
      <c r="V366" s="6" t="s">
        <v>238</v>
      </c>
      <c r="W366" s="6" t="s">
        <v>927</v>
      </c>
      <c r="X366" s="6">
        <v>80510</v>
      </c>
      <c r="Y366" s="6" t="s">
        <v>240</v>
      </c>
    </row>
    <row r="367" spans="2:25" s="19" customFormat="1" x14ac:dyDescent="0.2">
      <c r="B367" s="5" t="s">
        <v>1367</v>
      </c>
      <c r="C367" s="5" t="s">
        <v>65</v>
      </c>
      <c r="D367" s="5" t="s">
        <v>899</v>
      </c>
      <c r="E367" s="5" t="s">
        <v>899</v>
      </c>
      <c r="F367" s="5" t="s">
        <v>66</v>
      </c>
      <c r="G367" s="5">
        <v>3038232448</v>
      </c>
      <c r="H367" s="5">
        <v>0</v>
      </c>
      <c r="I367" s="20">
        <v>914</v>
      </c>
      <c r="J367" s="6" t="s">
        <v>924</v>
      </c>
      <c r="K367" s="6" t="s">
        <v>925</v>
      </c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 t="s">
        <v>240</v>
      </c>
    </row>
    <row r="368" spans="2:25" s="19" customFormat="1" x14ac:dyDescent="0.2">
      <c r="B368" s="5" t="s">
        <v>1367</v>
      </c>
      <c r="C368" s="5" t="s">
        <v>65</v>
      </c>
      <c r="D368" s="5" t="s">
        <v>899</v>
      </c>
      <c r="E368" s="5" t="s">
        <v>899</v>
      </c>
      <c r="F368" s="5" t="s">
        <v>66</v>
      </c>
      <c r="G368" s="5">
        <v>3038232448</v>
      </c>
      <c r="H368" s="5">
        <v>0</v>
      </c>
      <c r="I368" s="20">
        <v>915</v>
      </c>
      <c r="J368" s="6" t="s">
        <v>924</v>
      </c>
      <c r="K368" s="6" t="s">
        <v>1370</v>
      </c>
      <c r="L368" s="6" t="s">
        <v>776</v>
      </c>
      <c r="M368" s="6" t="s">
        <v>776</v>
      </c>
      <c r="N368" s="6" t="s">
        <v>1371</v>
      </c>
      <c r="O368" s="6">
        <v>3035892210</v>
      </c>
      <c r="P368" s="6"/>
      <c r="Q368" s="6" t="s">
        <v>1372</v>
      </c>
      <c r="R368" s="6" t="s">
        <v>334</v>
      </c>
      <c r="S368" s="6" t="s">
        <v>927</v>
      </c>
      <c r="T368" s="6">
        <v>80540</v>
      </c>
      <c r="U368" s="6" t="s">
        <v>1373</v>
      </c>
      <c r="V368" s="6" t="s">
        <v>334</v>
      </c>
      <c r="W368" s="6" t="s">
        <v>927</v>
      </c>
      <c r="X368" s="6">
        <v>80540</v>
      </c>
      <c r="Y368" s="6" t="s">
        <v>240</v>
      </c>
    </row>
    <row r="369" spans="2:25" s="19" customFormat="1" x14ac:dyDescent="0.2">
      <c r="B369" s="5" t="s">
        <v>1367</v>
      </c>
      <c r="C369" s="5" t="s">
        <v>65</v>
      </c>
      <c r="D369" s="5" t="s">
        <v>899</v>
      </c>
      <c r="E369" s="5" t="s">
        <v>899</v>
      </c>
      <c r="F369" s="5" t="s">
        <v>66</v>
      </c>
      <c r="G369" s="5">
        <v>3038232448</v>
      </c>
      <c r="H369" s="5">
        <v>0</v>
      </c>
      <c r="I369" s="20">
        <v>915</v>
      </c>
      <c r="J369" s="6" t="s">
        <v>924</v>
      </c>
      <c r="K369" s="6" t="s">
        <v>65</v>
      </c>
      <c r="L369" s="6" t="s">
        <v>899</v>
      </c>
      <c r="M369" s="6" t="s">
        <v>899</v>
      </c>
      <c r="N369" s="6" t="s">
        <v>66</v>
      </c>
      <c r="O369" s="6">
        <v>3038232448</v>
      </c>
      <c r="P369" s="6"/>
      <c r="Q369" s="6" t="s">
        <v>1374</v>
      </c>
      <c r="R369" s="6" t="s">
        <v>334</v>
      </c>
      <c r="S369" s="6" t="s">
        <v>927</v>
      </c>
      <c r="T369" s="6">
        <v>80540</v>
      </c>
      <c r="U369" s="6" t="s">
        <v>1375</v>
      </c>
      <c r="V369" s="6" t="s">
        <v>334</v>
      </c>
      <c r="W369" s="6" t="s">
        <v>927</v>
      </c>
      <c r="X369" s="6">
        <v>80540</v>
      </c>
      <c r="Y369" s="6" t="s">
        <v>240</v>
      </c>
    </row>
    <row r="370" spans="2:25" s="19" customFormat="1" x14ac:dyDescent="0.2">
      <c r="B370" s="5" t="s">
        <v>1367</v>
      </c>
      <c r="C370" s="5" t="s">
        <v>65</v>
      </c>
      <c r="D370" s="5" t="s">
        <v>899</v>
      </c>
      <c r="E370" s="5" t="s">
        <v>899</v>
      </c>
      <c r="F370" s="5" t="s">
        <v>66</v>
      </c>
      <c r="G370" s="5">
        <v>3038232448</v>
      </c>
      <c r="H370" s="5">
        <v>0</v>
      </c>
      <c r="I370" s="20">
        <v>916</v>
      </c>
      <c r="J370" s="6" t="s">
        <v>924</v>
      </c>
      <c r="K370" s="6" t="s">
        <v>1376</v>
      </c>
      <c r="L370" s="6" t="s">
        <v>571</v>
      </c>
      <c r="M370" s="6" t="s">
        <v>571</v>
      </c>
      <c r="N370" s="6" t="s">
        <v>1377</v>
      </c>
      <c r="O370" s="6">
        <v>7203527976</v>
      </c>
      <c r="P370" s="6">
        <v>7192146692</v>
      </c>
      <c r="Q370" s="6" t="s">
        <v>1378</v>
      </c>
      <c r="R370" s="6" t="s">
        <v>334</v>
      </c>
      <c r="S370" s="6" t="s">
        <v>927</v>
      </c>
      <c r="T370" s="6">
        <v>80540</v>
      </c>
      <c r="U370" s="6" t="s">
        <v>1379</v>
      </c>
      <c r="V370" s="6" t="s">
        <v>334</v>
      </c>
      <c r="W370" s="6" t="s">
        <v>927</v>
      </c>
      <c r="X370" s="6">
        <v>80540</v>
      </c>
      <c r="Y370" s="6" t="s">
        <v>240</v>
      </c>
    </row>
    <row r="371" spans="2:25" s="19" customFormat="1" x14ac:dyDescent="0.2">
      <c r="B371" s="5" t="s">
        <v>1367</v>
      </c>
      <c r="C371" s="5" t="s">
        <v>65</v>
      </c>
      <c r="D371" s="5" t="s">
        <v>899</v>
      </c>
      <c r="E371" s="5" t="s">
        <v>899</v>
      </c>
      <c r="F371" s="5" t="s">
        <v>66</v>
      </c>
      <c r="G371" s="5">
        <v>3038232448</v>
      </c>
      <c r="H371" s="5">
        <v>0</v>
      </c>
      <c r="I371" s="20">
        <v>916</v>
      </c>
      <c r="J371" s="6" t="s">
        <v>924</v>
      </c>
      <c r="K371" s="6" t="s">
        <v>1380</v>
      </c>
      <c r="L371" s="6" t="s">
        <v>617</v>
      </c>
      <c r="M371" s="6" t="s">
        <v>617</v>
      </c>
      <c r="N371" s="6" t="s">
        <v>1381</v>
      </c>
      <c r="O371" s="6">
        <v>5709541672</v>
      </c>
      <c r="P371" s="6"/>
      <c r="Q371" s="6" t="s">
        <v>1382</v>
      </c>
      <c r="R371" s="6" t="s">
        <v>334</v>
      </c>
      <c r="S371" s="6" t="s">
        <v>927</v>
      </c>
      <c r="T371" s="6">
        <v>80540</v>
      </c>
      <c r="U371" s="6" t="s">
        <v>1383</v>
      </c>
      <c r="V371" s="6" t="s">
        <v>334</v>
      </c>
      <c r="W371" s="6" t="s">
        <v>927</v>
      </c>
      <c r="X371" s="6">
        <v>80540</v>
      </c>
      <c r="Y371" s="6" t="s">
        <v>240</v>
      </c>
    </row>
    <row r="372" spans="2:25" s="19" customFormat="1" x14ac:dyDescent="0.2">
      <c r="B372" s="5" t="s">
        <v>1384</v>
      </c>
      <c r="C372" s="5" t="s">
        <v>880</v>
      </c>
      <c r="D372" s="5" t="s">
        <v>487</v>
      </c>
      <c r="E372" s="5" t="s">
        <v>487</v>
      </c>
      <c r="F372" s="5" t="s">
        <v>881</v>
      </c>
      <c r="G372" s="5">
        <v>7205938405</v>
      </c>
      <c r="H372" s="5">
        <v>0</v>
      </c>
      <c r="I372" s="20">
        <v>3</v>
      </c>
      <c r="J372" s="6" t="s">
        <v>924</v>
      </c>
      <c r="K372" s="6" t="s">
        <v>925</v>
      </c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 t="s">
        <v>278</v>
      </c>
    </row>
    <row r="373" spans="2:25" s="19" customFormat="1" x14ac:dyDescent="0.2">
      <c r="B373" s="5" t="s">
        <v>1384</v>
      </c>
      <c r="C373" s="5" t="s">
        <v>880</v>
      </c>
      <c r="D373" s="5" t="s">
        <v>487</v>
      </c>
      <c r="E373" s="5" t="s">
        <v>487</v>
      </c>
      <c r="F373" s="5" t="s">
        <v>881</v>
      </c>
      <c r="G373" s="5">
        <v>7205938405</v>
      </c>
      <c r="H373" s="5">
        <v>0</v>
      </c>
      <c r="I373" s="20">
        <v>3</v>
      </c>
      <c r="J373" s="6" t="s">
        <v>924</v>
      </c>
      <c r="K373" s="6" t="s">
        <v>925</v>
      </c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 t="s">
        <v>278</v>
      </c>
    </row>
    <row r="374" spans="2:25" s="19" customFormat="1" x14ac:dyDescent="0.2">
      <c r="B374" s="5" t="s">
        <v>1384</v>
      </c>
      <c r="C374" s="5" t="s">
        <v>880</v>
      </c>
      <c r="D374" s="5" t="s">
        <v>487</v>
      </c>
      <c r="E374" s="5" t="s">
        <v>487</v>
      </c>
      <c r="F374" s="5" t="s">
        <v>881</v>
      </c>
      <c r="G374" s="5">
        <v>7205938405</v>
      </c>
      <c r="H374" s="5">
        <v>0</v>
      </c>
      <c r="I374" s="20">
        <v>100</v>
      </c>
      <c r="J374" s="6" t="s">
        <v>924</v>
      </c>
      <c r="K374" s="6" t="s">
        <v>880</v>
      </c>
      <c r="L374" s="6" t="s">
        <v>487</v>
      </c>
      <c r="M374" s="6" t="s">
        <v>487</v>
      </c>
      <c r="N374" s="6" t="s">
        <v>881</v>
      </c>
      <c r="O374" s="6">
        <v>7205938405</v>
      </c>
      <c r="P374" s="6"/>
      <c r="Q374" s="6" t="s">
        <v>1385</v>
      </c>
      <c r="R374" s="6" t="s">
        <v>135</v>
      </c>
      <c r="S374" s="6" t="s">
        <v>927</v>
      </c>
      <c r="T374" s="6">
        <v>80027</v>
      </c>
      <c r="U374" s="6" t="s">
        <v>1385</v>
      </c>
      <c r="V374" s="6" t="s">
        <v>135</v>
      </c>
      <c r="W374" s="6" t="s">
        <v>927</v>
      </c>
      <c r="X374" s="6">
        <v>80027</v>
      </c>
      <c r="Y374" s="6" t="s">
        <v>278</v>
      </c>
    </row>
    <row r="375" spans="2:25" s="19" customFormat="1" x14ac:dyDescent="0.2">
      <c r="B375" s="5" t="s">
        <v>1384</v>
      </c>
      <c r="C375" s="5" t="s">
        <v>880</v>
      </c>
      <c r="D375" s="5" t="s">
        <v>487</v>
      </c>
      <c r="E375" s="5" t="s">
        <v>487</v>
      </c>
      <c r="F375" s="5" t="s">
        <v>881</v>
      </c>
      <c r="G375" s="5">
        <v>7205938405</v>
      </c>
      <c r="H375" s="5">
        <v>0</v>
      </c>
      <c r="I375" s="20">
        <v>100</v>
      </c>
      <c r="J375" s="6" t="s">
        <v>924</v>
      </c>
      <c r="K375" s="6" t="s">
        <v>925</v>
      </c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 t="s">
        <v>278</v>
      </c>
    </row>
    <row r="376" spans="2:25" s="19" customFormat="1" x14ac:dyDescent="0.2">
      <c r="B376" s="5" t="s">
        <v>1384</v>
      </c>
      <c r="C376" s="5" t="s">
        <v>880</v>
      </c>
      <c r="D376" s="5" t="s">
        <v>487</v>
      </c>
      <c r="E376" s="5" t="s">
        <v>487</v>
      </c>
      <c r="F376" s="5" t="s">
        <v>881</v>
      </c>
      <c r="G376" s="5">
        <v>7205938405</v>
      </c>
      <c r="H376" s="5">
        <v>0</v>
      </c>
      <c r="I376" s="20">
        <v>101</v>
      </c>
      <c r="J376" s="6" t="s">
        <v>924</v>
      </c>
      <c r="K376" s="6" t="s">
        <v>925</v>
      </c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 t="s">
        <v>278</v>
      </c>
    </row>
    <row r="377" spans="2:25" s="19" customFormat="1" x14ac:dyDescent="0.2">
      <c r="B377" s="5" t="s">
        <v>1384</v>
      </c>
      <c r="C377" s="5" t="s">
        <v>880</v>
      </c>
      <c r="D377" s="5" t="s">
        <v>487</v>
      </c>
      <c r="E377" s="5" t="s">
        <v>487</v>
      </c>
      <c r="F377" s="5" t="s">
        <v>881</v>
      </c>
      <c r="G377" s="5">
        <v>7205938405</v>
      </c>
      <c r="H377" s="5">
        <v>0</v>
      </c>
      <c r="I377" s="20">
        <v>101</v>
      </c>
      <c r="J377" s="6" t="s">
        <v>924</v>
      </c>
      <c r="K377" s="6" t="s">
        <v>925</v>
      </c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 t="s">
        <v>278</v>
      </c>
    </row>
    <row r="378" spans="2:25" s="19" customFormat="1" x14ac:dyDescent="0.2">
      <c r="B378" s="5" t="s">
        <v>1384</v>
      </c>
      <c r="C378" s="5" t="s">
        <v>880</v>
      </c>
      <c r="D378" s="5" t="s">
        <v>487</v>
      </c>
      <c r="E378" s="5" t="s">
        <v>487</v>
      </c>
      <c r="F378" s="5" t="s">
        <v>881</v>
      </c>
      <c r="G378" s="5">
        <v>7205938405</v>
      </c>
      <c r="H378" s="5">
        <v>0</v>
      </c>
      <c r="I378" s="20">
        <v>102</v>
      </c>
      <c r="J378" s="6" t="s">
        <v>924</v>
      </c>
      <c r="K378" s="6" t="s">
        <v>1386</v>
      </c>
      <c r="L378" s="6" t="s">
        <v>54</v>
      </c>
      <c r="M378" s="6" t="s">
        <v>54</v>
      </c>
      <c r="N378" s="6" t="s">
        <v>1387</v>
      </c>
      <c r="O378" s="6">
        <v>7202723069</v>
      </c>
      <c r="P378" s="6">
        <v>3034940439</v>
      </c>
      <c r="Q378" s="6" t="s">
        <v>1388</v>
      </c>
      <c r="R378" s="6" t="s">
        <v>135</v>
      </c>
      <c r="S378" s="6" t="s">
        <v>927</v>
      </c>
      <c r="T378" s="6">
        <v>80027</v>
      </c>
      <c r="U378" s="6" t="s">
        <v>1388</v>
      </c>
      <c r="V378" s="6" t="s">
        <v>135</v>
      </c>
      <c r="W378" s="6" t="s">
        <v>927</v>
      </c>
      <c r="X378" s="6">
        <v>80027</v>
      </c>
      <c r="Y378" s="6" t="s">
        <v>278</v>
      </c>
    </row>
    <row r="379" spans="2:25" s="19" customFormat="1" x14ac:dyDescent="0.2">
      <c r="B379" s="5" t="s">
        <v>1384</v>
      </c>
      <c r="C379" s="5" t="s">
        <v>880</v>
      </c>
      <c r="D379" s="5" t="s">
        <v>487</v>
      </c>
      <c r="E379" s="5" t="s">
        <v>487</v>
      </c>
      <c r="F379" s="5" t="s">
        <v>881</v>
      </c>
      <c r="G379" s="5">
        <v>7205938405</v>
      </c>
      <c r="H379" s="5">
        <v>0</v>
      </c>
      <c r="I379" s="20">
        <v>102</v>
      </c>
      <c r="J379" s="6" t="s">
        <v>924</v>
      </c>
      <c r="K379" s="6" t="s">
        <v>925</v>
      </c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 t="s">
        <v>278</v>
      </c>
    </row>
    <row r="380" spans="2:25" s="19" customFormat="1" x14ac:dyDescent="0.2">
      <c r="B380" s="5" t="s">
        <v>1384</v>
      </c>
      <c r="C380" s="5" t="s">
        <v>880</v>
      </c>
      <c r="D380" s="5" t="s">
        <v>487</v>
      </c>
      <c r="E380" s="5" t="s">
        <v>487</v>
      </c>
      <c r="F380" s="5" t="s">
        <v>881</v>
      </c>
      <c r="G380" s="5">
        <v>7205938405</v>
      </c>
      <c r="H380" s="5">
        <v>0</v>
      </c>
      <c r="I380" s="20">
        <v>103</v>
      </c>
      <c r="J380" s="6" t="s">
        <v>924</v>
      </c>
      <c r="K380" s="6" t="s">
        <v>1389</v>
      </c>
      <c r="L380" s="6" t="s">
        <v>1390</v>
      </c>
      <c r="M380" s="6" t="s">
        <v>1390</v>
      </c>
      <c r="N380" s="6" t="s">
        <v>1391</v>
      </c>
      <c r="O380" s="6">
        <v>3038883686</v>
      </c>
      <c r="P380" s="6"/>
      <c r="Q380" s="6" t="s">
        <v>1392</v>
      </c>
      <c r="R380" s="6" t="s">
        <v>135</v>
      </c>
      <c r="S380" s="6" t="s">
        <v>927</v>
      </c>
      <c r="T380" s="6">
        <v>80027</v>
      </c>
      <c r="U380" s="6" t="s">
        <v>1392</v>
      </c>
      <c r="V380" s="6" t="s">
        <v>135</v>
      </c>
      <c r="W380" s="6" t="s">
        <v>927</v>
      </c>
      <c r="X380" s="6">
        <v>80027</v>
      </c>
      <c r="Y380" s="6" t="s">
        <v>278</v>
      </c>
    </row>
    <row r="381" spans="2:25" s="19" customFormat="1" x14ac:dyDescent="0.2">
      <c r="B381" s="5" t="s">
        <v>1384</v>
      </c>
      <c r="C381" s="5" t="s">
        <v>880</v>
      </c>
      <c r="D381" s="5" t="s">
        <v>487</v>
      </c>
      <c r="E381" s="5" t="s">
        <v>487</v>
      </c>
      <c r="F381" s="5" t="s">
        <v>881</v>
      </c>
      <c r="G381" s="5">
        <v>7205938405</v>
      </c>
      <c r="H381" s="5">
        <v>0</v>
      </c>
      <c r="I381" s="20">
        <v>103</v>
      </c>
      <c r="J381" s="6" t="s">
        <v>924</v>
      </c>
      <c r="K381" s="6" t="s">
        <v>925</v>
      </c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 t="s">
        <v>278</v>
      </c>
    </row>
    <row r="382" spans="2:25" s="19" customFormat="1" x14ac:dyDescent="0.2">
      <c r="B382" s="5" t="s">
        <v>1384</v>
      </c>
      <c r="C382" s="5" t="s">
        <v>880</v>
      </c>
      <c r="D382" s="5" t="s">
        <v>487</v>
      </c>
      <c r="E382" s="5" t="s">
        <v>487</v>
      </c>
      <c r="F382" s="5" t="s">
        <v>881</v>
      </c>
      <c r="G382" s="5">
        <v>7205938405</v>
      </c>
      <c r="H382" s="5">
        <v>0</v>
      </c>
      <c r="I382" s="20">
        <v>104</v>
      </c>
      <c r="J382" s="6" t="s">
        <v>924</v>
      </c>
      <c r="K382" s="6" t="s">
        <v>1393</v>
      </c>
      <c r="L382" s="6" t="s">
        <v>1394</v>
      </c>
      <c r="M382" s="6" t="s">
        <v>1394</v>
      </c>
      <c r="N382" s="6" t="s">
        <v>1395</v>
      </c>
      <c r="O382" s="6">
        <v>7209365017</v>
      </c>
      <c r="P382" s="6"/>
      <c r="Q382" s="6" t="s">
        <v>1396</v>
      </c>
      <c r="R382" s="6" t="s">
        <v>135</v>
      </c>
      <c r="S382" s="6" t="s">
        <v>927</v>
      </c>
      <c r="T382" s="6">
        <v>80027</v>
      </c>
      <c r="U382" s="6" t="s">
        <v>1396</v>
      </c>
      <c r="V382" s="6" t="s">
        <v>135</v>
      </c>
      <c r="W382" s="6" t="s">
        <v>927</v>
      </c>
      <c r="X382" s="6">
        <v>80027</v>
      </c>
      <c r="Y382" s="6" t="s">
        <v>278</v>
      </c>
    </row>
    <row r="383" spans="2:25" s="19" customFormat="1" x14ac:dyDescent="0.2">
      <c r="B383" s="5" t="s">
        <v>1384</v>
      </c>
      <c r="C383" s="5" t="s">
        <v>880</v>
      </c>
      <c r="D383" s="5" t="s">
        <v>487</v>
      </c>
      <c r="E383" s="5" t="s">
        <v>487</v>
      </c>
      <c r="F383" s="5" t="s">
        <v>881</v>
      </c>
      <c r="G383" s="5">
        <v>7205938405</v>
      </c>
      <c r="H383" s="5">
        <v>0</v>
      </c>
      <c r="I383" s="20">
        <v>104</v>
      </c>
      <c r="J383" s="6" t="s">
        <v>924</v>
      </c>
      <c r="K383" s="6" t="s">
        <v>925</v>
      </c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 t="s">
        <v>278</v>
      </c>
    </row>
    <row r="384" spans="2:25" s="19" customFormat="1" x14ac:dyDescent="0.2">
      <c r="B384" s="5" t="s">
        <v>1384</v>
      </c>
      <c r="C384" s="5" t="s">
        <v>880</v>
      </c>
      <c r="D384" s="5" t="s">
        <v>487</v>
      </c>
      <c r="E384" s="5" t="s">
        <v>487</v>
      </c>
      <c r="F384" s="5" t="s">
        <v>881</v>
      </c>
      <c r="G384" s="5">
        <v>7205938405</v>
      </c>
      <c r="H384" s="5">
        <v>0</v>
      </c>
      <c r="I384" s="20">
        <v>105</v>
      </c>
      <c r="J384" s="6" t="s">
        <v>924</v>
      </c>
      <c r="K384" s="6" t="s">
        <v>715</v>
      </c>
      <c r="L384" s="6" t="s">
        <v>673</v>
      </c>
      <c r="M384" s="6" t="s">
        <v>673</v>
      </c>
      <c r="N384" s="6" t="s">
        <v>716</v>
      </c>
      <c r="O384" s="6">
        <v>7192101632</v>
      </c>
      <c r="P384" s="6">
        <v>8474772363</v>
      </c>
      <c r="Q384" s="6" t="s">
        <v>1397</v>
      </c>
      <c r="R384" s="6" t="s">
        <v>135</v>
      </c>
      <c r="S384" s="6" t="s">
        <v>927</v>
      </c>
      <c r="T384" s="6">
        <v>80027</v>
      </c>
      <c r="U384" s="6" t="s">
        <v>1397</v>
      </c>
      <c r="V384" s="6" t="s">
        <v>135</v>
      </c>
      <c r="W384" s="6" t="s">
        <v>927</v>
      </c>
      <c r="X384" s="6">
        <v>80027</v>
      </c>
      <c r="Y384" s="6" t="s">
        <v>278</v>
      </c>
    </row>
    <row r="385" spans="2:25" s="19" customFormat="1" x14ac:dyDescent="0.2">
      <c r="B385" s="5" t="s">
        <v>1384</v>
      </c>
      <c r="C385" s="5" t="s">
        <v>880</v>
      </c>
      <c r="D385" s="5" t="s">
        <v>487</v>
      </c>
      <c r="E385" s="5" t="s">
        <v>487</v>
      </c>
      <c r="F385" s="5" t="s">
        <v>881</v>
      </c>
      <c r="G385" s="5">
        <v>7205938405</v>
      </c>
      <c r="H385" s="5">
        <v>0</v>
      </c>
      <c r="I385" s="20">
        <v>105</v>
      </c>
      <c r="J385" s="6" t="s">
        <v>924</v>
      </c>
      <c r="K385" s="6" t="s">
        <v>925</v>
      </c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 t="s">
        <v>278</v>
      </c>
    </row>
    <row r="386" spans="2:25" s="19" customFormat="1" x14ac:dyDescent="0.2">
      <c r="B386" s="5" t="s">
        <v>1384</v>
      </c>
      <c r="C386" s="5" t="s">
        <v>880</v>
      </c>
      <c r="D386" s="5" t="s">
        <v>487</v>
      </c>
      <c r="E386" s="5" t="s">
        <v>487</v>
      </c>
      <c r="F386" s="5" t="s">
        <v>881</v>
      </c>
      <c r="G386" s="5">
        <v>7205938405</v>
      </c>
      <c r="H386" s="5">
        <v>0</v>
      </c>
      <c r="I386" s="20">
        <v>106</v>
      </c>
      <c r="J386" s="6" t="s">
        <v>924</v>
      </c>
      <c r="K386" s="6" t="s">
        <v>925</v>
      </c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 t="s">
        <v>278</v>
      </c>
    </row>
    <row r="387" spans="2:25" s="19" customFormat="1" x14ac:dyDescent="0.2">
      <c r="B387" s="5" t="s">
        <v>1384</v>
      </c>
      <c r="C387" s="5" t="s">
        <v>880</v>
      </c>
      <c r="D387" s="5" t="s">
        <v>487</v>
      </c>
      <c r="E387" s="5" t="s">
        <v>487</v>
      </c>
      <c r="F387" s="5" t="s">
        <v>881</v>
      </c>
      <c r="G387" s="5">
        <v>7205938405</v>
      </c>
      <c r="H387" s="5">
        <v>0</v>
      </c>
      <c r="I387" s="20">
        <v>106</v>
      </c>
      <c r="J387" s="6" t="s">
        <v>924</v>
      </c>
      <c r="K387" s="6" t="s">
        <v>925</v>
      </c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 t="s">
        <v>278</v>
      </c>
    </row>
    <row r="388" spans="2:25" x14ac:dyDescent="0.2">
      <c r="B388" s="7"/>
      <c r="C388" s="7"/>
      <c r="D388" s="7"/>
      <c r="E388" s="7"/>
      <c r="F388" s="7"/>
      <c r="G388" s="7"/>
      <c r="H388" s="7"/>
      <c r="I388" s="8"/>
      <c r="J388" s="9"/>
      <c r="K388" s="10"/>
      <c r="L388" s="9"/>
      <c r="M388" s="10"/>
      <c r="N388" s="10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10" t="s">
        <v>1398</v>
      </c>
    </row>
    <row r="389" spans="2:25" x14ac:dyDescent="0.2">
      <c r="B389" s="7"/>
      <c r="C389" s="7"/>
      <c r="D389" s="7"/>
      <c r="E389" s="7"/>
      <c r="F389" s="7"/>
      <c r="G389" s="7"/>
      <c r="H389" s="7"/>
      <c r="I389" s="11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2:25" x14ac:dyDescent="0.2">
      <c r="B390" s="7"/>
      <c r="C390" s="7"/>
      <c r="D390" s="7"/>
      <c r="E390" s="7"/>
      <c r="F390" s="7"/>
      <c r="G390" s="7"/>
      <c r="H390" s="7"/>
      <c r="I390" s="11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2:25" x14ac:dyDescent="0.2">
      <c r="B391" s="7"/>
      <c r="C391" s="7"/>
      <c r="D391" s="7"/>
      <c r="E391" s="7"/>
      <c r="F391" s="7"/>
      <c r="G391" s="7"/>
      <c r="H391" s="7"/>
      <c r="I391" s="11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2:25" x14ac:dyDescent="0.2">
      <c r="B392" s="7"/>
      <c r="C392" s="7"/>
      <c r="D392" s="7"/>
      <c r="E392" s="7"/>
      <c r="F392" s="7"/>
      <c r="G392" s="7"/>
      <c r="H392" s="7"/>
      <c r="I392" s="11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2:25" x14ac:dyDescent="0.2">
      <c r="B393" s="7"/>
      <c r="C393" s="7"/>
      <c r="D393" s="7"/>
      <c r="E393" s="7"/>
      <c r="F393" s="7"/>
      <c r="G393" s="7"/>
      <c r="H393" s="7"/>
      <c r="I393" s="11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2:25" x14ac:dyDescent="0.2">
      <c r="B394" s="7"/>
      <c r="C394" s="7"/>
      <c r="D394" s="7"/>
      <c r="E394" s="7"/>
      <c r="F394" s="7"/>
      <c r="G394" s="7"/>
      <c r="H394" s="7"/>
      <c r="I394" s="11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2:25" x14ac:dyDescent="0.2">
      <c r="B395" s="7"/>
      <c r="C395" s="7"/>
      <c r="D395" s="7"/>
      <c r="E395" s="7"/>
      <c r="F395" s="7"/>
      <c r="G395" s="7"/>
      <c r="H395" s="7"/>
      <c r="I395" s="11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2:25" x14ac:dyDescent="0.2">
      <c r="B396" s="7"/>
      <c r="C396" s="7"/>
      <c r="D396" s="7"/>
      <c r="E396" s="7"/>
      <c r="F396" s="7"/>
      <c r="G396" s="7"/>
      <c r="H396" s="7"/>
      <c r="I396" s="11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2:25" x14ac:dyDescent="0.2">
      <c r="B397" s="7"/>
      <c r="C397" s="7"/>
      <c r="D397" s="7"/>
      <c r="E397" s="7"/>
      <c r="F397" s="7"/>
      <c r="G397" s="7"/>
      <c r="H397" s="7"/>
      <c r="I397" s="11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2:25" x14ac:dyDescent="0.2">
      <c r="B398" s="7"/>
      <c r="C398" s="7"/>
      <c r="D398" s="7"/>
      <c r="E398" s="7"/>
      <c r="F398" s="7"/>
      <c r="G398" s="7"/>
      <c r="H398" s="7"/>
      <c r="I398" s="11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2:25" x14ac:dyDescent="0.2">
      <c r="B399" s="7"/>
      <c r="C399" s="7"/>
      <c r="D399" s="7"/>
      <c r="E399" s="7"/>
      <c r="F399" s="7"/>
      <c r="G399" s="7"/>
      <c r="H399" s="7"/>
      <c r="I399" s="11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2:25" x14ac:dyDescent="0.2">
      <c r="B400" s="7"/>
      <c r="C400" s="7"/>
      <c r="D400" s="7"/>
      <c r="E400" s="7"/>
      <c r="F400" s="7"/>
      <c r="G400" s="7"/>
      <c r="H400" s="7"/>
      <c r="I400" s="11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2:25" x14ac:dyDescent="0.2">
      <c r="B401" s="7"/>
      <c r="C401" s="7"/>
      <c r="D401" s="7"/>
      <c r="E401" s="7"/>
      <c r="F401" s="7"/>
      <c r="G401" s="7"/>
      <c r="H401" s="7"/>
      <c r="I401" s="11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2:25" x14ac:dyDescent="0.2">
      <c r="B402" s="7"/>
      <c r="C402" s="7"/>
      <c r="D402" s="7"/>
      <c r="E402" s="7"/>
      <c r="F402" s="7"/>
      <c r="G402" s="7"/>
      <c r="H402" s="7"/>
      <c r="I402" s="11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2:25" x14ac:dyDescent="0.2">
      <c r="B403" s="7"/>
      <c r="C403" s="7"/>
      <c r="D403" s="7"/>
      <c r="E403" s="7"/>
      <c r="F403" s="7"/>
      <c r="G403" s="7"/>
      <c r="H403" s="7"/>
      <c r="I403" s="11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2:25" x14ac:dyDescent="0.2">
      <c r="B404" s="7"/>
      <c r="C404" s="7"/>
      <c r="D404" s="7"/>
      <c r="E404" s="7"/>
      <c r="F404" s="7"/>
      <c r="G404" s="7"/>
      <c r="H404" s="7"/>
      <c r="I404" s="11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2:25" x14ac:dyDescent="0.2">
      <c r="B405" s="7"/>
      <c r="C405" s="7"/>
      <c r="D405" s="7"/>
      <c r="E405" s="7"/>
      <c r="F405" s="7"/>
      <c r="G405" s="7"/>
      <c r="H405" s="7"/>
      <c r="I405" s="11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2:25" x14ac:dyDescent="0.2">
      <c r="B406" s="7"/>
      <c r="C406" s="7"/>
      <c r="D406" s="7"/>
      <c r="E406" s="7"/>
      <c r="F406" s="7"/>
      <c r="G406" s="7"/>
      <c r="H406" s="7"/>
      <c r="I406" s="11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2:25" x14ac:dyDescent="0.2">
      <c r="B407" s="7"/>
      <c r="C407" s="7"/>
      <c r="D407" s="7"/>
      <c r="E407" s="7"/>
      <c r="F407" s="7"/>
      <c r="G407" s="7"/>
      <c r="H407" s="7"/>
      <c r="I407" s="11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2:25" x14ac:dyDescent="0.2">
      <c r="B408" s="7"/>
      <c r="C408" s="7"/>
      <c r="D408" s="7"/>
      <c r="E408" s="7"/>
      <c r="F408" s="7"/>
      <c r="G408" s="7"/>
      <c r="H408" s="7"/>
      <c r="I408" s="11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2:25" x14ac:dyDescent="0.2">
      <c r="B409" s="7"/>
      <c r="C409" s="7"/>
      <c r="D409" s="7"/>
      <c r="E409" s="7"/>
      <c r="F409" s="7"/>
      <c r="G409" s="7"/>
      <c r="H409" s="7"/>
      <c r="I409" s="11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2:25" x14ac:dyDescent="0.2">
      <c r="B410" s="7"/>
      <c r="C410" s="7"/>
      <c r="D410" s="7"/>
      <c r="E410" s="7"/>
      <c r="F410" s="7"/>
      <c r="G410" s="7"/>
      <c r="H410" s="7"/>
      <c r="I410" s="11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2:25" x14ac:dyDescent="0.2">
      <c r="B411" s="7"/>
      <c r="C411" s="7"/>
      <c r="D411" s="7"/>
      <c r="E411" s="7"/>
      <c r="F411" s="7"/>
      <c r="G411" s="7"/>
      <c r="H411" s="7"/>
      <c r="I411" s="11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2:25" x14ac:dyDescent="0.2">
      <c r="B412" s="7"/>
      <c r="C412" s="7"/>
      <c r="D412" s="7"/>
      <c r="E412" s="7"/>
      <c r="F412" s="7"/>
      <c r="G412" s="7"/>
      <c r="H412" s="7"/>
      <c r="I412" s="11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2:25" x14ac:dyDescent="0.2">
      <c r="B413" s="7"/>
      <c r="C413" s="7"/>
      <c r="D413" s="7"/>
      <c r="E413" s="7"/>
      <c r="F413" s="7"/>
      <c r="G413" s="7"/>
      <c r="H413" s="7"/>
      <c r="I413" s="11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2:25" x14ac:dyDescent="0.2">
      <c r="B414" s="7"/>
      <c r="C414" s="7"/>
      <c r="D414" s="7"/>
      <c r="E414" s="7"/>
      <c r="F414" s="7"/>
      <c r="G414" s="7"/>
      <c r="H414" s="7"/>
      <c r="I414" s="11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2:25" x14ac:dyDescent="0.2">
      <c r="B415" s="7"/>
      <c r="C415" s="7"/>
      <c r="D415" s="7"/>
      <c r="E415" s="7"/>
      <c r="F415" s="7"/>
      <c r="G415" s="7"/>
      <c r="H415" s="7"/>
      <c r="I415" s="11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2:25" x14ac:dyDescent="0.2">
      <c r="B416" s="7"/>
      <c r="C416" s="7"/>
      <c r="D416" s="7"/>
      <c r="E416" s="7"/>
      <c r="F416" s="7"/>
      <c r="G416" s="7"/>
      <c r="H416" s="7"/>
      <c r="I416" s="11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2:25" x14ac:dyDescent="0.2">
      <c r="B417" s="7"/>
      <c r="C417" s="7"/>
      <c r="D417" s="7"/>
      <c r="E417" s="7"/>
      <c r="F417" s="7"/>
      <c r="G417" s="7"/>
      <c r="H417" s="7"/>
      <c r="I417" s="11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2:25" x14ac:dyDescent="0.2">
      <c r="B418" s="7"/>
      <c r="C418" s="7"/>
      <c r="D418" s="7"/>
      <c r="E418" s="7"/>
      <c r="F418" s="7"/>
      <c r="G418" s="7"/>
      <c r="H418" s="7"/>
      <c r="I418" s="11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2:25" x14ac:dyDescent="0.2">
      <c r="B419" s="7"/>
      <c r="C419" s="7"/>
      <c r="D419" s="7"/>
      <c r="E419" s="7"/>
      <c r="F419" s="7"/>
      <c r="G419" s="7"/>
      <c r="H419" s="7"/>
      <c r="I419" s="11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2:25" x14ac:dyDescent="0.2">
      <c r="B420" s="7"/>
      <c r="C420" s="7"/>
      <c r="D420" s="7"/>
      <c r="E420" s="7"/>
      <c r="F420" s="7"/>
      <c r="G420" s="7"/>
      <c r="H420" s="7"/>
      <c r="I420" s="11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2:25" x14ac:dyDescent="0.2">
      <c r="B421" s="7"/>
      <c r="C421" s="7"/>
      <c r="D421" s="7"/>
      <c r="E421" s="7"/>
      <c r="F421" s="7"/>
      <c r="G421" s="7"/>
      <c r="H421" s="7"/>
      <c r="I421" s="11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2:25" x14ac:dyDescent="0.2">
      <c r="B422" s="7"/>
      <c r="C422" s="7"/>
      <c r="D422" s="7"/>
      <c r="E422" s="7"/>
      <c r="F422" s="7"/>
      <c r="G422" s="7"/>
      <c r="H422" s="7"/>
      <c r="I422" s="11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2:25" x14ac:dyDescent="0.2">
      <c r="B423" s="7"/>
      <c r="C423" s="7"/>
      <c r="D423" s="7"/>
      <c r="E423" s="7"/>
      <c r="F423" s="7"/>
      <c r="G423" s="7"/>
      <c r="H423" s="7"/>
      <c r="I423" s="11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2:25" x14ac:dyDescent="0.2">
      <c r="B424" s="7"/>
      <c r="C424" s="7"/>
      <c r="D424" s="7"/>
      <c r="E424" s="7"/>
      <c r="F424" s="7"/>
      <c r="G424" s="7"/>
      <c r="H424" s="7"/>
      <c r="I424" s="11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2:25" x14ac:dyDescent="0.2">
      <c r="B425" s="7"/>
      <c r="C425" s="7"/>
      <c r="D425" s="7"/>
      <c r="E425" s="7"/>
      <c r="F425" s="7"/>
      <c r="G425" s="7"/>
      <c r="H425" s="7"/>
      <c r="I425" s="11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2:25" x14ac:dyDescent="0.2">
      <c r="B426" s="7"/>
      <c r="C426" s="7"/>
      <c r="D426" s="7"/>
      <c r="E426" s="7"/>
      <c r="F426" s="7"/>
      <c r="G426" s="7"/>
      <c r="H426" s="7"/>
      <c r="I426" s="11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2:25" x14ac:dyDescent="0.2">
      <c r="B427" s="7"/>
      <c r="C427" s="7"/>
      <c r="D427" s="7"/>
      <c r="E427" s="7"/>
      <c r="F427" s="7"/>
      <c r="G427" s="7"/>
      <c r="H427" s="7"/>
      <c r="I427" s="11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2:25" x14ac:dyDescent="0.2">
      <c r="B428" s="7"/>
      <c r="C428" s="7"/>
      <c r="D428" s="7"/>
      <c r="E428" s="7"/>
      <c r="F428" s="7"/>
      <c r="G428" s="7"/>
      <c r="H428" s="7"/>
      <c r="I428" s="11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2:25" x14ac:dyDescent="0.2">
      <c r="B429" s="7"/>
      <c r="C429" s="7"/>
      <c r="D429" s="7"/>
      <c r="E429" s="7"/>
      <c r="F429" s="7"/>
      <c r="G429" s="7"/>
      <c r="H429" s="7"/>
      <c r="I429" s="11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2:25" x14ac:dyDescent="0.2">
      <c r="B430" s="7"/>
      <c r="C430" s="7"/>
      <c r="D430" s="7"/>
      <c r="E430" s="7"/>
      <c r="F430" s="7"/>
      <c r="G430" s="7"/>
      <c r="H430" s="7"/>
      <c r="I430" s="11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2:25" x14ac:dyDescent="0.2">
      <c r="B431" s="7"/>
      <c r="C431" s="7"/>
      <c r="D431" s="7"/>
      <c r="E431" s="7"/>
      <c r="F431" s="7"/>
      <c r="G431" s="7"/>
      <c r="H431" s="7"/>
      <c r="I431" s="11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</sheetData>
  <autoFilter ref="A1:Y431" xr:uid="{9A30B482-6FA3-479C-89EC-DD366F26922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A038-AD88-4BE0-9461-3CA21994A8A6}">
  <dimension ref="A1:K2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6" sqref="C6"/>
    </sheetView>
  </sheetViews>
  <sheetFormatPr baseColWidth="10" defaultColWidth="35.5" defaultRowHeight="15" customHeight="1" x14ac:dyDescent="0.2"/>
  <cols>
    <col min="1" max="1" width="19.83203125" bestFit="1" customWidth="1"/>
    <col min="2" max="2" width="14.6640625" bestFit="1" customWidth="1"/>
    <col min="3" max="3" width="25" bestFit="1" customWidth="1"/>
    <col min="4" max="4" width="16" bestFit="1" customWidth="1"/>
    <col min="5" max="5" width="5.6640625" bestFit="1" customWidth="1"/>
    <col min="6" max="6" width="0" hidden="1" customWidth="1"/>
  </cols>
  <sheetData>
    <row r="1" spans="1:11" s="2" customFormat="1" ht="15" customHeight="1" x14ac:dyDescent="0.2">
      <c r="A1" s="54" t="s">
        <v>99</v>
      </c>
      <c r="B1" s="54" t="s">
        <v>101</v>
      </c>
      <c r="C1" s="54" t="s">
        <v>1399</v>
      </c>
      <c r="D1" s="54" t="s">
        <v>914</v>
      </c>
      <c r="E1" s="54" t="s">
        <v>916</v>
      </c>
      <c r="F1" s="54" t="s">
        <v>1</v>
      </c>
      <c r="G1" s="54" t="s">
        <v>1790</v>
      </c>
      <c r="H1" s="140" t="s">
        <v>1791</v>
      </c>
    </row>
    <row r="2" spans="1:11" ht="15" customHeight="1" x14ac:dyDescent="0.2">
      <c r="A2" s="19" t="s">
        <v>8</v>
      </c>
      <c r="B2" s="19" t="s">
        <v>160</v>
      </c>
      <c r="C2" s="19" t="s">
        <v>1400</v>
      </c>
      <c r="D2" s="19" t="s">
        <v>160</v>
      </c>
      <c r="E2" s="19">
        <v>80304</v>
      </c>
      <c r="F2" s="19" t="str">
        <f>C2&amp;","&amp;D2&amp;","&amp;E2</f>
        <v>1301 High St.,Boulder,80304</v>
      </c>
      <c r="G2" s="19" t="s">
        <v>1768</v>
      </c>
      <c r="H2" s="141" t="s">
        <v>1769</v>
      </c>
      <c r="I2" s="142"/>
      <c r="J2" s="143"/>
      <c r="K2" s="144"/>
    </row>
    <row r="3" spans="1:11" ht="15" customHeight="1" x14ac:dyDescent="0.2">
      <c r="A3" s="19" t="s">
        <v>132</v>
      </c>
      <c r="B3" s="19" t="s">
        <v>160</v>
      </c>
      <c r="C3" s="19" t="s">
        <v>1401</v>
      </c>
      <c r="D3" s="19" t="s">
        <v>160</v>
      </c>
      <c r="E3" s="19">
        <v>80304</v>
      </c>
      <c r="F3" s="19" t="str">
        <f t="shared" ref="F3:F22" si="0">C3&amp;","&amp;D3&amp;","&amp;E3</f>
        <v>2205 Norwood Ave.,Boulder,80304</v>
      </c>
      <c r="G3" s="19" t="s">
        <v>1772</v>
      </c>
      <c r="H3" s="141" t="s">
        <v>1773</v>
      </c>
      <c r="I3" s="142"/>
      <c r="J3" s="143"/>
      <c r="K3" s="144"/>
    </row>
    <row r="4" spans="1:11" ht="15" customHeight="1" x14ac:dyDescent="0.2">
      <c r="A4" s="19" t="s">
        <v>139</v>
      </c>
      <c r="B4" s="19" t="s">
        <v>160</v>
      </c>
      <c r="C4" s="53" t="s">
        <v>1402</v>
      </c>
      <c r="D4" s="53" t="s">
        <v>301</v>
      </c>
      <c r="E4" s="19">
        <v>80455</v>
      </c>
      <c r="F4" s="19" t="str">
        <f t="shared" si="0"/>
        <v>111 Mesa St,Jamestown,80455</v>
      </c>
      <c r="G4" s="19" t="s">
        <v>1780</v>
      </c>
      <c r="H4" s="141" t="s">
        <v>1781</v>
      </c>
      <c r="I4" s="142"/>
      <c r="J4" s="143"/>
      <c r="K4" s="144"/>
    </row>
    <row r="5" spans="1:11" ht="15" customHeight="1" x14ac:dyDescent="0.2">
      <c r="A5" s="19" t="s">
        <v>125</v>
      </c>
      <c r="B5" s="19" t="s">
        <v>160</v>
      </c>
      <c r="C5" s="19" t="s">
        <v>1403</v>
      </c>
      <c r="D5" s="19" t="s">
        <v>160</v>
      </c>
      <c r="E5" s="19">
        <v>80302</v>
      </c>
      <c r="F5" s="19" t="str">
        <f t="shared" si="0"/>
        <v>700 20th St,Boulder,80302</v>
      </c>
      <c r="G5" s="19" t="s">
        <v>1786</v>
      </c>
      <c r="H5" s="141" t="s">
        <v>1787</v>
      </c>
      <c r="I5" s="142"/>
      <c r="J5" s="143"/>
      <c r="K5" s="144"/>
    </row>
    <row r="6" spans="1:11" ht="15" customHeight="1" x14ac:dyDescent="0.2">
      <c r="A6" s="19" t="s">
        <v>164</v>
      </c>
      <c r="B6" s="19" t="s">
        <v>160</v>
      </c>
      <c r="C6" s="19" t="s">
        <v>1404</v>
      </c>
      <c r="D6" s="19" t="s">
        <v>160</v>
      </c>
      <c r="E6" s="19">
        <v>80303</v>
      </c>
      <c r="F6" s="19" t="str">
        <f t="shared" si="0"/>
        <v>4545 Sioux Dr,Boulder,80303</v>
      </c>
      <c r="G6" s="19" t="s">
        <v>1778</v>
      </c>
      <c r="H6" s="141" t="s">
        <v>1779</v>
      </c>
      <c r="I6" s="142"/>
      <c r="J6" s="143"/>
      <c r="K6" s="144"/>
    </row>
    <row r="7" spans="1:11" ht="15" customHeight="1" x14ac:dyDescent="0.2">
      <c r="A7" s="19" t="s">
        <v>44</v>
      </c>
      <c r="B7" s="19" t="s">
        <v>160</v>
      </c>
      <c r="C7" s="19" t="s">
        <v>1405</v>
      </c>
      <c r="D7" s="19" t="s">
        <v>160</v>
      </c>
      <c r="E7" s="19">
        <v>80303</v>
      </c>
      <c r="F7" s="19" t="str">
        <f t="shared" si="0"/>
        <v>6096 Baseline Rd,Boulder,80303</v>
      </c>
      <c r="G7" s="19" t="s">
        <v>1788</v>
      </c>
      <c r="H7" s="141" t="s">
        <v>1789</v>
      </c>
      <c r="I7" s="142"/>
      <c r="J7" s="145"/>
      <c r="K7" s="144"/>
    </row>
    <row r="8" spans="1:11" s="152" customFormat="1" ht="15" customHeight="1" x14ac:dyDescent="0.2">
      <c r="A8" s="65" t="s">
        <v>91</v>
      </c>
      <c r="B8" s="65" t="s">
        <v>160</v>
      </c>
      <c r="C8" s="65" t="s">
        <v>1796</v>
      </c>
      <c r="D8" s="65" t="s">
        <v>160</v>
      </c>
      <c r="E8" s="65">
        <v>80305</v>
      </c>
      <c r="F8" s="65" t="str">
        <f t="shared" si="0"/>
        <v>1515 Greenbriar Blvd ,Boulder,80305</v>
      </c>
      <c r="G8" s="65" t="s">
        <v>97</v>
      </c>
      <c r="H8" s="148" t="s">
        <v>97</v>
      </c>
      <c r="I8" s="149"/>
      <c r="J8" s="153"/>
      <c r="K8" s="151"/>
    </row>
    <row r="9" spans="1:11" s="152" customFormat="1" ht="15" customHeight="1" x14ac:dyDescent="0.2">
      <c r="A9" s="65" t="s">
        <v>1792</v>
      </c>
      <c r="B9" s="65" t="s">
        <v>172</v>
      </c>
      <c r="C9" s="65" t="s">
        <v>1794</v>
      </c>
      <c r="D9" s="65" t="s">
        <v>172</v>
      </c>
      <c r="E9" s="65">
        <v>80516</v>
      </c>
      <c r="F9" s="65" t="str">
        <f t="shared" si="0"/>
        <v>2300 Meadow Sweet Ln,Erie,80516</v>
      </c>
      <c r="G9" s="65"/>
      <c r="H9" s="148"/>
      <c r="I9" s="149"/>
      <c r="J9" s="150"/>
      <c r="K9" s="151"/>
    </row>
    <row r="10" spans="1:11" ht="15" customHeight="1" x14ac:dyDescent="0.2">
      <c r="A10" s="19" t="s">
        <v>94</v>
      </c>
      <c r="B10" s="19" t="s">
        <v>175</v>
      </c>
      <c r="C10" s="19" t="s">
        <v>1406</v>
      </c>
      <c r="D10" s="19" t="s">
        <v>351</v>
      </c>
      <c r="E10" s="19">
        <v>80503</v>
      </c>
      <c r="F10" s="19" t="str">
        <f t="shared" si="0"/>
        <v>8989 Niwot Rd,Niwot,80503</v>
      </c>
      <c r="G10" s="19"/>
      <c r="H10" s="141"/>
      <c r="I10" s="142"/>
      <c r="J10" s="143"/>
      <c r="K10" s="144"/>
    </row>
    <row r="11" spans="1:11" ht="15" customHeight="1" x14ac:dyDescent="0.2">
      <c r="A11" s="19" t="s">
        <v>130</v>
      </c>
      <c r="B11" s="19" t="s">
        <v>177</v>
      </c>
      <c r="C11" s="19" t="s">
        <v>1407</v>
      </c>
      <c r="D11" s="19" t="s">
        <v>177</v>
      </c>
      <c r="E11" s="19">
        <v>80026</v>
      </c>
      <c r="F11" s="19" t="str">
        <f t="shared" si="0"/>
        <v>10300 W South Boulder Road,Lafayette,80026</v>
      </c>
      <c r="G11" s="19" t="s">
        <v>1770</v>
      </c>
      <c r="H11" s="141" t="s">
        <v>1771</v>
      </c>
      <c r="I11" s="142"/>
      <c r="J11" s="143"/>
      <c r="K11" s="144"/>
    </row>
    <row r="12" spans="1:11" ht="15" customHeight="1" x14ac:dyDescent="0.2">
      <c r="A12" s="19" t="s">
        <v>123</v>
      </c>
      <c r="B12" s="19" t="s">
        <v>180</v>
      </c>
      <c r="C12" s="19" t="s">
        <v>1408</v>
      </c>
      <c r="D12" s="19" t="s">
        <v>180</v>
      </c>
      <c r="E12" s="19">
        <v>80503</v>
      </c>
      <c r="F12" s="19" t="str">
        <f t="shared" si="0"/>
        <v>4600 Clover Basin Dr,Longmont,80503</v>
      </c>
      <c r="G12" s="19"/>
      <c r="H12" s="141"/>
      <c r="I12" s="142"/>
      <c r="J12" s="143"/>
      <c r="K12" s="144"/>
    </row>
    <row r="13" spans="1:11" ht="15" customHeight="1" x14ac:dyDescent="0.2">
      <c r="A13" s="19" t="s">
        <v>127</v>
      </c>
      <c r="B13" s="19" t="s">
        <v>180</v>
      </c>
      <c r="C13" s="19" t="s">
        <v>1409</v>
      </c>
      <c r="D13" s="19" t="s">
        <v>180</v>
      </c>
      <c r="E13" s="19">
        <v>80501</v>
      </c>
      <c r="F13" s="19" t="str">
        <f t="shared" si="0"/>
        <v>1051 S Pratt Pkwy,Longmont,80501</v>
      </c>
      <c r="G13" s="19"/>
      <c r="H13" s="141"/>
      <c r="I13" s="142"/>
      <c r="J13" s="143"/>
      <c r="K13" s="144"/>
    </row>
    <row r="14" spans="1:11" ht="15" customHeight="1" x14ac:dyDescent="0.2">
      <c r="A14" s="19" t="s">
        <v>60</v>
      </c>
      <c r="B14" s="19" t="s">
        <v>180</v>
      </c>
      <c r="C14" s="146" t="s">
        <v>1410</v>
      </c>
      <c r="D14" s="52" t="s">
        <v>180</v>
      </c>
      <c r="E14" s="52">
        <v>80501</v>
      </c>
      <c r="F14" s="19" t="str">
        <f t="shared" si="0"/>
        <v>1500 14th Ave.,Longmont,80501</v>
      </c>
      <c r="G14" s="19"/>
      <c r="H14" s="141"/>
      <c r="I14" s="142"/>
      <c r="J14" s="143"/>
      <c r="K14" s="144"/>
    </row>
    <row r="15" spans="1:11" ht="15" customHeight="1" x14ac:dyDescent="0.2">
      <c r="A15" s="19" t="s">
        <v>184</v>
      </c>
      <c r="B15" s="19" t="s">
        <v>180</v>
      </c>
      <c r="C15" s="147" t="s">
        <v>1764</v>
      </c>
      <c r="D15" s="52" t="s">
        <v>180</v>
      </c>
      <c r="E15" s="19">
        <v>80504</v>
      </c>
      <c r="F15" s="19" t="str">
        <f t="shared" si="0"/>
        <v>233 E Mountain View Ave,Longmont,80504</v>
      </c>
      <c r="G15" s="19"/>
      <c r="H15" s="141"/>
    </row>
    <row r="16" spans="1:11" ht="15" customHeight="1" x14ac:dyDescent="0.2">
      <c r="A16" s="19" t="s">
        <v>28</v>
      </c>
      <c r="B16" s="19" t="s">
        <v>145</v>
      </c>
      <c r="C16" s="52" t="s">
        <v>1411</v>
      </c>
      <c r="D16" s="52" t="s">
        <v>145</v>
      </c>
      <c r="E16" s="19">
        <v>80027</v>
      </c>
      <c r="F16" s="19" t="str">
        <f t="shared" si="0"/>
        <v>1341 Main St,Louisville,80027</v>
      </c>
      <c r="G16" s="19" t="s">
        <v>1782</v>
      </c>
      <c r="H16" s="141" t="s">
        <v>1783</v>
      </c>
    </row>
    <row r="17" spans="1:8" ht="15" customHeight="1" x14ac:dyDescent="0.2">
      <c r="A17" s="19" t="s">
        <v>121</v>
      </c>
      <c r="B17" s="19" t="s">
        <v>188</v>
      </c>
      <c r="C17" s="19" t="s">
        <v>1412</v>
      </c>
      <c r="D17" s="19" t="s">
        <v>238</v>
      </c>
      <c r="E17" s="19">
        <v>80540</v>
      </c>
      <c r="F17" s="19" t="str">
        <f t="shared" si="0"/>
        <v> 14861 Highway 7,Allenspark,80540</v>
      </c>
      <c r="G17" s="19"/>
      <c r="H17" s="141"/>
    </row>
    <row r="18" spans="1:8" ht="15" customHeight="1" x14ac:dyDescent="0.2">
      <c r="A18" s="19" t="s">
        <v>137</v>
      </c>
      <c r="B18" s="19" t="s">
        <v>188</v>
      </c>
      <c r="C18" s="52" t="s">
        <v>1413</v>
      </c>
      <c r="D18" s="52" t="s">
        <v>1414</v>
      </c>
      <c r="E18" s="19">
        <v>80302</v>
      </c>
      <c r="F18" s="19" t="str">
        <f t="shared" si="0"/>
        <v>890 Main St,Gold Hill (Boulder),80302</v>
      </c>
      <c r="G18" s="19" t="s">
        <v>1776</v>
      </c>
      <c r="H18" s="141" t="s">
        <v>1777</v>
      </c>
    </row>
    <row r="19" spans="1:8" ht="15" customHeight="1" x14ac:dyDescent="0.2">
      <c r="A19" s="19" t="s">
        <v>141</v>
      </c>
      <c r="B19" s="19" t="s">
        <v>188</v>
      </c>
      <c r="C19" s="52" t="s">
        <v>1415</v>
      </c>
      <c r="D19" s="52" t="s">
        <v>334</v>
      </c>
      <c r="E19" s="19">
        <v>80540</v>
      </c>
      <c r="F19" s="19" t="str">
        <f t="shared" si="0"/>
        <v>100 McConnell,Lyons,80540</v>
      </c>
      <c r="G19" s="19"/>
      <c r="H19" s="141"/>
    </row>
    <row r="20" spans="1:8" ht="15" customHeight="1" x14ac:dyDescent="0.2">
      <c r="A20" s="19" t="s">
        <v>40</v>
      </c>
      <c r="B20" s="19" t="s">
        <v>188</v>
      </c>
      <c r="C20" s="19" t="s">
        <v>1416</v>
      </c>
      <c r="D20" s="19" t="s">
        <v>344</v>
      </c>
      <c r="E20" s="19">
        <v>80466</v>
      </c>
      <c r="F20" s="19" t="str">
        <f t="shared" si="0"/>
        <v>597 County Road 130,Nederland,80466</v>
      </c>
      <c r="G20" s="19" t="s">
        <v>1784</v>
      </c>
      <c r="H20" s="141" t="s">
        <v>1785</v>
      </c>
    </row>
    <row r="21" spans="1:8" ht="15" customHeight="1" x14ac:dyDescent="0.2">
      <c r="A21" s="65" t="s">
        <v>192</v>
      </c>
      <c r="B21" s="65" t="s">
        <v>188</v>
      </c>
      <c r="C21" s="65" t="s">
        <v>1417</v>
      </c>
      <c r="D21" s="65" t="s">
        <v>1351</v>
      </c>
      <c r="E21" s="65">
        <v>80481</v>
      </c>
      <c r="F21" s="19" t="str">
        <f t="shared" si="0"/>
        <v>1 Columbia Street,Ward,80481</v>
      </c>
      <c r="G21" s="19"/>
      <c r="H21" s="141"/>
    </row>
    <row r="22" spans="1:8" ht="15" customHeight="1" x14ac:dyDescent="0.2">
      <c r="A22" s="19" t="s">
        <v>134</v>
      </c>
      <c r="B22" s="19" t="s">
        <v>135</v>
      </c>
      <c r="C22" s="19" t="s">
        <v>1418</v>
      </c>
      <c r="D22" s="19" t="s">
        <v>135</v>
      </c>
      <c r="E22" s="19">
        <v>80027</v>
      </c>
      <c r="F22" s="19" t="str">
        <f t="shared" si="0"/>
        <v>3351 S. Indiana St,Superior,80027</v>
      </c>
      <c r="G22" s="19" t="s">
        <v>1774</v>
      </c>
      <c r="H22" s="141" t="s">
        <v>1775</v>
      </c>
    </row>
  </sheetData>
  <autoFilter ref="A1:K22" xr:uid="{4EB7A038-AD88-4BE0-9461-3CA21994A8A6}"/>
  <sortState xmlns:xlrd2="http://schemas.microsoft.com/office/spreadsheetml/2017/richdata2" ref="A2:F22">
    <sortCondition ref="B2:B22"/>
    <sortCondition ref="A2:A22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D0D0A5FA3644D9A0C30F93E04E252" ma:contentTypeVersion="18" ma:contentTypeDescription="Create a new document." ma:contentTypeScope="" ma:versionID="e14383865bab702a4abdd88bcbe5d8eb">
  <xsd:schema xmlns:xsd="http://www.w3.org/2001/XMLSchema" xmlns:xs="http://www.w3.org/2001/XMLSchema" xmlns:p="http://schemas.microsoft.com/office/2006/metadata/properties" xmlns:ns2="468cbdd3-d3d3-4e82-8059-0422a0ced137" xmlns:ns3="0dfd8431-8843-419e-a5b8-b962f6af7970" targetNamespace="http://schemas.microsoft.com/office/2006/metadata/properties" ma:root="true" ma:fieldsID="890c492f556343f832785214503376d0" ns2:_="" ns3:_="">
    <xsd:import namespace="468cbdd3-d3d3-4e82-8059-0422a0ced137"/>
    <xsd:import namespace="0dfd8431-8843-419e-a5b8-b962f6af7970"/>
    <xsd:element name="properties">
      <xsd:complexType>
        <xsd:sequence>
          <xsd:element name="documentManagement">
            <xsd:complexType>
              <xsd:all>
                <xsd:element ref="ns2:File_x0020_Statu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cbdd3-d3d3-4e82-8059-0422a0ced137" elementFormDefault="qualified">
    <xsd:import namespace="http://schemas.microsoft.com/office/2006/documentManagement/types"/>
    <xsd:import namespace="http://schemas.microsoft.com/office/infopath/2007/PartnerControls"/>
    <xsd:element name="File_x0020_Status" ma:index="8" nillable="true" ma:displayName="File Status" ma:default="New" ma:format="Dropdown" ma:internalName="File_x0020_Status">
      <xsd:simpleType>
        <xsd:restriction base="dms:Choice">
          <xsd:enumeration value="New"/>
          <xsd:enumeration value="Draft"/>
          <xsd:enumeration value="Under Review"/>
          <xsd:enumeration value="Bring Revised"/>
          <xsd:enumeration value="Published"/>
          <xsd:enumeration value="Living"/>
          <xsd:enumeration value="Final"/>
          <xsd:enumeration value="Needs Updating"/>
          <xsd:enumeration value="Outdated"/>
          <xsd:enumeration value="Hid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f8ef189-cb50-41c1-97fc-cbcdc2b561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d8431-8843-419e-a5b8-b962f6af79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488f46e-6b0b-4df1-86ca-0945c8c328a4}" ma:internalName="TaxCatchAll" ma:showField="CatchAllData" ma:web="0dfd8431-8843-419e-a5b8-b962f6af7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Status xmlns="468cbdd3-d3d3-4e82-8059-0422a0ced137">New</File_x0020_Status>
    <lcf76f155ced4ddcb4097134ff3c332f xmlns="468cbdd3-d3d3-4e82-8059-0422a0ced137">
      <Terms xmlns="http://schemas.microsoft.com/office/infopath/2007/PartnerControls"/>
    </lcf76f155ced4ddcb4097134ff3c332f>
    <TaxCatchAll xmlns="0dfd8431-8843-419e-a5b8-b962f6af7970" xsi:nil="true"/>
    <SharedWithUsers xmlns="0dfd8431-8843-419e-a5b8-b962f6af7970">
      <UserInfo>
        <DisplayName>Pat Feeser</DisplayName>
        <AccountId>21</AccountId>
        <AccountType/>
      </UserInfo>
      <UserInfo>
        <DisplayName>Carol Teal</DisplayName>
        <AccountId>17</AccountId>
        <AccountType/>
      </UserInfo>
      <UserInfo>
        <DisplayName>Amy Weinstein</DisplayName>
        <AccountId>16</AccountId>
        <AccountType/>
      </UserInfo>
      <UserInfo>
        <DisplayName>Judi Bodinger</DisplayName>
        <AccountId>14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0D3A909-04EA-4BC5-884D-4833F5DCB4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8cbdd3-d3d3-4e82-8059-0422a0ced137"/>
    <ds:schemaRef ds:uri="0dfd8431-8843-419e-a5b8-b962f6af79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3C9676-74FA-4BDB-9BDE-5245C32823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B6AD23-AEE2-4C27-A0A4-059BE5ECF9D1}">
  <ds:schemaRefs>
    <ds:schemaRef ds:uri="468cbdd3-d3d3-4e82-8059-0422a0ced137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dfd8431-8843-419e-a5b8-b962f6af797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Old Recap SS &amp; Precinct #s</vt:lpstr>
      <vt:lpstr>Recap SS,Precincts,Chairs</vt:lpstr>
      <vt:lpstr>SD HD</vt:lpstr>
      <vt:lpstr>Supersite Working-AW</vt:lpstr>
      <vt:lpstr>NGP Chairs CoChairs</vt:lpstr>
      <vt:lpstr>MM Precinct &amp; Forms</vt:lpstr>
      <vt:lpstr>Venue Changes</vt:lpstr>
      <vt:lpstr>AC Field List-JB</vt:lpstr>
      <vt:lpstr>SS Adresses</vt:lpstr>
      <vt:lpstr>Chairs &amp; Secretary</vt:lpstr>
      <vt:lpstr>AC List as of 12-17-23</vt:lpstr>
      <vt:lpstr>'Old Recap SS &amp; Precinct #s'!Print_Area</vt:lpstr>
      <vt:lpstr>'Old Recap SS &amp; Precinct #s'!Print_Titles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McNeil</dc:creator>
  <cp:keywords/>
  <dc:description/>
  <cp:lastModifiedBy>BRUCE NORIKANE</cp:lastModifiedBy>
  <cp:revision/>
  <dcterms:created xsi:type="dcterms:W3CDTF">2019-04-28T14:39:56Z</dcterms:created>
  <dcterms:modified xsi:type="dcterms:W3CDTF">2024-02-14T23:50:28Z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0x0101005A89CC8DC903CD4080E8F05062E6082C</vt:lpwstr>
  </property>
  <property fmtid="{D5CDD505-2E9C-101B-9397-08002B2CF9AE}" pid="3" name="ContentTypeId">
    <vt:lpwstr>0x0101003C2D0D0A5FA3644D9A0C30F93E04E252</vt:lpwstr>
  </property>
  <property fmtid="{D5CDD505-2E9C-101B-9397-08002B2CF9AE}" pid="4" name="ItemRetentionFormula">
    <vt:lpwstr/>
  </property>
  <property fmtid="{D5CDD505-2E9C-101B-9397-08002B2CF9AE}" pid="5" name="MediaServiceImageTags">
    <vt:lpwstr/>
  </property>
</Properties>
</file>