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-Energo\2410-17-site\main\localization\init_data\"/>
    </mc:Choice>
  </mc:AlternateContent>
  <bookViews>
    <workbookView xWindow="0" yWindow="0" windowWidth="28800" windowHeight="12300" activeTab="3"/>
  </bookViews>
  <sheets>
    <sheet name="Langs" sheetId="1" r:id="rId1"/>
    <sheet name="DiagMsgTranslts" sheetId="2" r:id="rId2"/>
    <sheet name="APILabelsTranslts" sheetId="3" r:id="rId3"/>
    <sheet name="InterfaceTranslts" sheetId="4" r:id="rId4"/>
    <sheet name="SignalsTranslts" sheetId="5" r:id="rId5"/>
    <sheet name="UnitsTranslts" sheetId="6" r:id="rId6"/>
    <sheet name="SignalCategoryTranslts" sheetId="7" r:id="rId7"/>
    <sheet name="PdataCategoryTranslts" sheetId="8" r:id="rId8"/>
    <sheet name="AssetTypeTranslts" sheetId="9" r:id="rId9"/>
    <sheet name="DiagMsgLevelTranslts" sheetId="10" r:id="rId10"/>
    <sheet name="lists" sheetId="11" r:id="rId11"/>
  </sheets>
  <definedNames>
    <definedName name="_xlnm._FilterDatabase" localSheetId="8" hidden="1">AssetTypeTranslts!$A$1:$C$28</definedName>
    <definedName name="_xlnm._FilterDatabase" localSheetId="1" hidden="1">DiagMsgTranslts!$A$1:$E$1077</definedName>
    <definedName name="_xlnm._FilterDatabase" localSheetId="6" hidden="1">SignalCategoryTranslts!$A$1:$C$24</definedName>
  </definedNames>
  <calcPr calcId="162913"/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3" i="7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1" i="2" l="1"/>
  <c r="A112" i="2" s="1"/>
  <c r="A110" i="2"/>
  <c r="A114" i="2" l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13" i="2"/>
  <c r="A2059" i="11"/>
  <c r="B1956" i="11"/>
  <c r="A1758" i="11"/>
  <c r="B1655" i="11"/>
  <c r="A2013" i="11"/>
  <c r="B1088" i="11"/>
  <c r="A1990" i="11"/>
  <c r="B1714" i="11"/>
  <c r="B1398" i="11"/>
  <c r="B1732" i="11"/>
  <c r="B1891" i="11"/>
  <c r="A1693" i="11"/>
  <c r="B1590" i="11"/>
  <c r="B2153" i="11"/>
  <c r="B1954" i="11"/>
  <c r="A1677" i="11"/>
  <c r="A1493" i="11"/>
  <c r="B1375" i="11"/>
  <c r="B1741" i="11"/>
  <c r="A1543" i="11"/>
  <c r="A2106" i="11"/>
  <c r="B2003" i="11"/>
  <c r="B2091" i="11"/>
  <c r="B1443" i="11"/>
  <c r="A1328" i="11"/>
  <c r="B1225" i="11"/>
  <c r="A2006" i="11"/>
  <c r="A1426" i="11"/>
  <c r="A2113" i="11"/>
  <c r="B2010" i="11"/>
  <c r="A1812" i="11"/>
  <c r="B1709" i="11"/>
  <c r="A2067" i="11"/>
  <c r="B1142" i="11"/>
  <c r="A2152" i="11"/>
  <c r="B1808" i="11"/>
  <c r="B1462" i="11"/>
  <c r="B2089" i="11"/>
  <c r="A1891" i="11"/>
  <c r="B1788" i="11"/>
  <c r="A1590" i="11"/>
  <c r="B2152" i="11"/>
  <c r="A2120" i="11"/>
  <c r="A1829" i="11"/>
  <c r="A1654" i="11"/>
  <c r="A1449" i="11"/>
  <c r="A2075" i="11"/>
  <c r="B1867" i="11"/>
  <c r="A1669" i="11"/>
  <c r="B1566" i="11"/>
  <c r="B2129" i="11"/>
  <c r="B1930" i="11"/>
  <c r="B1635" i="11"/>
  <c r="B1464" i="11"/>
  <c r="B1351" i="11"/>
  <c r="A1219" i="11"/>
  <c r="B2077" i="11"/>
  <c r="A1879" i="11"/>
  <c r="B1776" i="11"/>
  <c r="A1578" i="11"/>
  <c r="B2140" i="11"/>
  <c r="A2084" i="11"/>
  <c r="B1809" i="11"/>
  <c r="B1634" i="11"/>
  <c r="B1434" i="11"/>
  <c r="A2039" i="11"/>
  <c r="B1447" i="11"/>
  <c r="B1711" i="11"/>
  <c r="A1513" i="11"/>
  <c r="A2076" i="11"/>
  <c r="B1973" i="11"/>
  <c r="B2061" i="11"/>
  <c r="B1407" i="11"/>
  <c r="A1298" i="11"/>
  <c r="B1195" i="11"/>
  <c r="A1916" i="11"/>
  <c r="A1392" i="11"/>
  <c r="B1777" i="11"/>
  <c r="A1579" i="11"/>
  <c r="A2142" i="11"/>
  <c r="B2039" i="11"/>
  <c r="B2127" i="11"/>
  <c r="B1486" i="11"/>
  <c r="A1364" i="11"/>
  <c r="B1261" i="11"/>
  <c r="A2114" i="11"/>
  <c r="A1469" i="11"/>
  <c r="B1555" i="11"/>
  <c r="B2118" i="11"/>
  <c r="A1920" i="11"/>
  <c r="B1817" i="11"/>
  <c r="B1905" i="11"/>
  <c r="B1250" i="11"/>
  <c r="A1142" i="11"/>
  <c r="B2078" i="11"/>
  <c r="A1631" i="11"/>
  <c r="B1621" i="11"/>
  <c r="A1423" i="11"/>
  <c r="A1986" i="11"/>
  <c r="B1883" i="11"/>
  <c r="B1971" i="11"/>
  <c r="B1316" i="11"/>
  <c r="A1208" i="11"/>
  <c r="B1105" i="11"/>
  <c r="B1744" i="11"/>
  <c r="A1302" i="11"/>
  <c r="A1886" i="11"/>
  <c r="B1247" i="11"/>
  <c r="B1453" i="11"/>
  <c r="B1390" i="11"/>
  <c r="B1158" i="11"/>
  <c r="A818" i="11"/>
  <c r="A1167" i="11"/>
  <c r="B816" i="11"/>
  <c r="B905" i="11"/>
  <c r="A898" i="11"/>
  <c r="B13" i="9"/>
  <c r="B1652" i="11"/>
  <c r="A1397" i="11"/>
  <c r="A2104" i="11"/>
  <c r="A867" i="11"/>
  <c r="B764" i="11"/>
  <c r="A1140" i="11"/>
  <c r="A769" i="11"/>
  <c r="A954" i="11"/>
  <c r="B1424" i="11"/>
  <c r="B418" i="11"/>
  <c r="A1987" i="11"/>
  <c r="B1884" i="11"/>
  <c r="A1686" i="11"/>
  <c r="B1583" i="11"/>
  <c r="A1941" i="11"/>
  <c r="A2081" i="11"/>
  <c r="A1820" i="11"/>
  <c r="B1592" i="11"/>
  <c r="B1326" i="11"/>
  <c r="B1610" i="11"/>
  <c r="B1819" i="11"/>
  <c r="A1621" i="11"/>
  <c r="B1518" i="11"/>
  <c r="B2081" i="11"/>
  <c r="B1882" i="11"/>
  <c r="B1552" i="11"/>
  <c r="A1407" i="11"/>
  <c r="B1303" i="11"/>
  <c r="B1669" i="11"/>
  <c r="A1471" i="11"/>
  <c r="A2034" i="11"/>
  <c r="B1931" i="11"/>
  <c r="B2019" i="11"/>
  <c r="B1364" i="11"/>
  <c r="A1256" i="11"/>
  <c r="B1153" i="11"/>
  <c r="B1827" i="11"/>
  <c r="A1350" i="11"/>
  <c r="A2041" i="11"/>
  <c r="B1938" i="11"/>
  <c r="A1740" i="11"/>
  <c r="B1637" i="11"/>
  <c r="A1995" i="11"/>
  <c r="B1070" i="11"/>
  <c r="A1936" i="11"/>
  <c r="A1684" i="11"/>
  <c r="B1380" i="11"/>
  <c r="B2017" i="11"/>
  <c r="A1819" i="11"/>
  <c r="B1716" i="11"/>
  <c r="A1518" i="11"/>
  <c r="B2080" i="11"/>
  <c r="A1904" i="11"/>
  <c r="A1707" i="11"/>
  <c r="A1532" i="11"/>
  <c r="A1369" i="11"/>
  <c r="B1868" i="11"/>
  <c r="B1795" i="11"/>
  <c r="A1597" i="11"/>
  <c r="A2160" i="11"/>
  <c r="B2057" i="11"/>
  <c r="B2145" i="11"/>
  <c r="A1511" i="11"/>
  <c r="A1382" i="11"/>
  <c r="B1279" i="11"/>
  <c r="A1147" i="11"/>
  <c r="B2005" i="11"/>
  <c r="A1807" i="11"/>
  <c r="B1704" i="11"/>
  <c r="A1506" i="11"/>
  <c r="B2068" i="11"/>
  <c r="A1874" i="11"/>
  <c r="A1685" i="11"/>
  <c r="A1510" i="11"/>
  <c r="A1357" i="11"/>
  <c r="B1846" i="11"/>
  <c r="B1367" i="11"/>
  <c r="B1639" i="11"/>
  <c r="A1441" i="11"/>
  <c r="A2004" i="11"/>
  <c r="B1901" i="11"/>
  <c r="B1989" i="11"/>
  <c r="B1334" i="11"/>
  <c r="A1226" i="11"/>
  <c r="B1123" i="11"/>
  <c r="A1775" i="11"/>
  <c r="A1320" i="11"/>
  <c r="B1705" i="11"/>
  <c r="A1507" i="11"/>
  <c r="A2070" i="11"/>
  <c r="B1967" i="11"/>
  <c r="B2055" i="11"/>
  <c r="B1400" i="11"/>
  <c r="A1292" i="11"/>
  <c r="B1189" i="11"/>
  <c r="A1898" i="11"/>
  <c r="A1386" i="11"/>
  <c r="A2149" i="11"/>
  <c r="B2046" i="11"/>
  <c r="A1848" i="11"/>
  <c r="B1745" i="11"/>
  <c r="A2103" i="11"/>
  <c r="B1178" i="11"/>
  <c r="A1070" i="11"/>
  <c r="A1870" i="11"/>
  <c r="A1509" i="11"/>
  <c r="B1549" i="11"/>
  <c r="B2112" i="11"/>
  <c r="A1914" i="11"/>
  <c r="B1811" i="11"/>
  <c r="B1899" i="11"/>
  <c r="B1244" i="11"/>
  <c r="A1136" i="11"/>
  <c r="B2060" i="11"/>
  <c r="B1622" i="11"/>
  <c r="A2092" i="11"/>
  <c r="B1706" i="11"/>
  <c r="B1910" i="11"/>
  <c r="A1943" i="11"/>
  <c r="A1205" i="11"/>
  <c r="A1062" i="11"/>
  <c r="A746" i="11"/>
  <c r="B1067" i="11"/>
  <c r="A1480" i="11"/>
  <c r="A1353" i="11"/>
  <c r="B745" i="11"/>
  <c r="B2047" i="11"/>
  <c r="A1356" i="11"/>
  <c r="A1325" i="11"/>
  <c r="A1888" i="11"/>
  <c r="A795" i="11"/>
  <c r="A1444" i="11"/>
  <c r="A1047" i="11"/>
  <c r="A1437" i="11"/>
  <c r="A882" i="11"/>
  <c r="B1216" i="11"/>
  <c r="B346" i="11"/>
  <c r="B2113" i="11"/>
  <c r="A1915" i="11"/>
  <c r="B1812" i="11"/>
  <c r="A1614" i="11"/>
  <c r="B1511" i="11"/>
  <c r="A1869" i="11"/>
  <c r="A1871" i="11"/>
  <c r="B1695" i="11"/>
  <c r="A1478" i="11"/>
  <c r="A2147" i="11"/>
  <c r="B1490" i="11"/>
  <c r="B1747" i="11"/>
  <c r="A1549" i="11"/>
  <c r="A2112" i="11"/>
  <c r="B2009" i="11"/>
  <c r="B2097" i="11"/>
  <c r="B1450" i="11"/>
  <c r="A1334" i="11"/>
  <c r="B1231" i="11"/>
  <c r="B1597" i="11"/>
  <c r="B2160" i="11"/>
  <c r="A1962" i="11"/>
  <c r="B1859" i="11"/>
  <c r="B1947" i="11"/>
  <c r="B1292" i="11"/>
  <c r="A1184" i="11"/>
  <c r="B1081" i="11"/>
  <c r="A1703" i="11"/>
  <c r="A1278" i="11"/>
  <c r="A1969" i="11"/>
  <c r="B1866" i="11"/>
  <c r="A1668" i="11"/>
  <c r="B1565" i="11"/>
  <c r="A1923" i="11"/>
  <c r="A2027" i="11"/>
  <c r="A1787" i="11"/>
  <c r="A1562" i="11"/>
  <c r="B1308" i="11"/>
  <c r="B1945" i="11"/>
  <c r="A1747" i="11"/>
  <c r="B1644" i="11"/>
  <c r="A1446" i="11"/>
  <c r="B2008" i="11"/>
  <c r="B1768" i="11"/>
  <c r="B1582" i="11"/>
  <c r="B1435" i="11"/>
  <c r="A1297" i="11"/>
  <c r="A1744" i="11"/>
  <c r="B1723" i="11"/>
  <c r="A1525" i="11"/>
  <c r="A2088" i="11"/>
  <c r="B1985" i="11"/>
  <c r="B2073" i="11"/>
  <c r="B1421" i="11"/>
  <c r="A1310" i="11"/>
  <c r="B1207" i="11"/>
  <c r="A1952" i="11"/>
  <c r="B1933" i="11"/>
  <c r="A1735" i="11"/>
  <c r="B1632" i="11"/>
  <c r="A1434" i="11"/>
  <c r="B1996" i="11"/>
  <c r="A1749" i="11"/>
  <c r="A1563" i="11"/>
  <c r="B1420" i="11"/>
  <c r="A1285" i="11"/>
  <c r="B1724" i="11"/>
  <c r="B1295" i="11"/>
  <c r="B1567" i="11"/>
  <c r="B2130" i="11"/>
  <c r="A1932" i="11"/>
  <c r="B1829" i="11"/>
  <c r="B1917" i="11"/>
  <c r="B1262" i="11"/>
  <c r="A1154" i="11"/>
  <c r="B2114" i="11"/>
  <c r="A1653" i="11"/>
  <c r="A2146" i="11"/>
  <c r="B1633" i="11"/>
  <c r="A1435" i="11"/>
  <c r="A1998" i="11"/>
  <c r="B1895" i="11"/>
  <c r="B1983" i="11"/>
  <c r="B1328" i="11"/>
  <c r="A1220" i="11"/>
  <c r="B1117" i="11"/>
  <c r="B1766" i="11"/>
  <c r="A1314" i="11"/>
  <c r="A2077" i="11"/>
  <c r="B1974" i="11"/>
  <c r="A1776" i="11"/>
  <c r="B1673" i="11"/>
  <c r="A2031" i="11"/>
  <c r="B1106" i="11"/>
  <c r="A2044" i="11"/>
  <c r="A1745" i="11"/>
  <c r="B1419" i="11"/>
  <c r="A2143" i="11"/>
  <c r="B2040" i="11"/>
  <c r="A1842" i="11"/>
  <c r="B1739" i="11"/>
  <c r="A2097" i="11"/>
  <c r="B1172" i="11"/>
  <c r="A1064" i="11"/>
  <c r="B1858" i="11"/>
  <c r="B1498" i="11"/>
  <c r="A1880" i="11"/>
  <c r="A1601" i="11"/>
  <c r="A1743" i="11"/>
  <c r="A1792" i="11"/>
  <c r="B1102" i="11"/>
  <c r="B986" i="11"/>
  <c r="A674" i="11"/>
  <c r="A991" i="11"/>
  <c r="A1228" i="11"/>
  <c r="A1191" i="11"/>
  <c r="B655" i="11"/>
  <c r="A1849" i="11"/>
  <c r="A1966" i="11"/>
  <c r="A1253" i="11"/>
  <c r="A1761" i="11"/>
  <c r="A723" i="11"/>
  <c r="A1222" i="11"/>
  <c r="B973" i="11"/>
  <c r="B1218" i="11"/>
  <c r="A1708" i="11"/>
  <c r="A1113" i="11"/>
  <c r="B2041" i="11"/>
  <c r="A1843" i="11"/>
  <c r="B1740" i="11"/>
  <c r="A1542" i="11"/>
  <c r="B2104" i="11"/>
  <c r="A1976" i="11"/>
  <c r="B1748" i="11"/>
  <c r="A1571" i="11"/>
  <c r="A1393" i="11"/>
  <c r="A1931" i="11"/>
  <c r="B1403" i="11"/>
  <c r="B1675" i="11"/>
  <c r="A1477" i="11"/>
  <c r="A2040" i="11"/>
  <c r="B1937" i="11"/>
  <c r="B2025" i="11"/>
  <c r="B1370" i="11"/>
  <c r="A1262" i="11"/>
  <c r="B1159" i="11"/>
  <c r="B1525" i="11"/>
  <c r="B2088" i="11"/>
  <c r="A1890" i="11"/>
  <c r="B1787" i="11"/>
  <c r="A2145" i="11"/>
  <c r="B1220" i="11"/>
  <c r="A1112" i="11"/>
  <c r="B1988" i="11"/>
  <c r="A1581" i="11"/>
  <c r="B2095" i="11"/>
  <c r="A1897" i="11"/>
  <c r="B1794" i="11"/>
  <c r="A1596" i="11"/>
  <c r="B2158" i="11"/>
  <c r="A2138" i="11"/>
  <c r="A1840" i="11"/>
  <c r="A1665" i="11"/>
  <c r="A1456" i="11"/>
  <c r="A2093" i="11"/>
  <c r="B1873" i="11"/>
  <c r="A1675" i="11"/>
  <c r="B1572" i="11"/>
  <c r="B2135" i="11"/>
  <c r="B1936" i="11"/>
  <c r="B1646" i="11"/>
  <c r="A1472" i="11"/>
  <c r="B1357" i="11"/>
  <c r="A1225" i="11"/>
  <c r="A1622" i="11"/>
  <c r="B1651" i="11"/>
  <c r="A1453" i="11"/>
  <c r="A2016" i="11"/>
  <c r="B1913" i="11"/>
  <c r="B2001" i="11"/>
  <c r="B1346" i="11"/>
  <c r="A1238" i="11"/>
  <c r="B1135" i="11"/>
  <c r="A1797" i="11"/>
  <c r="B1861" i="11"/>
  <c r="A1663" i="11"/>
  <c r="B1560" i="11"/>
  <c r="B2123" i="11"/>
  <c r="B1924" i="11"/>
  <c r="B1624" i="11"/>
  <c r="A1457" i="11"/>
  <c r="B1345" i="11"/>
  <c r="A1213" i="11"/>
  <c r="A1600" i="11"/>
  <c r="B2090" i="11"/>
  <c r="A2161" i="11"/>
  <c r="B2058" i="11"/>
  <c r="A1860" i="11"/>
  <c r="B1757" i="11"/>
  <c r="A2115" i="11"/>
  <c r="B1190" i="11"/>
  <c r="A1082" i="11"/>
  <c r="B1898" i="11"/>
  <c r="B1528" i="11"/>
  <c r="A1930" i="11"/>
  <c r="B1561" i="11"/>
  <c r="B2124" i="11"/>
  <c r="A1926" i="11"/>
  <c r="B1823" i="11"/>
  <c r="B1911" i="11"/>
  <c r="B1256" i="11"/>
  <c r="A1148" i="11"/>
  <c r="B2096" i="11"/>
  <c r="A1642" i="11"/>
  <c r="A2128" i="11"/>
  <c r="A2005" i="11"/>
  <c r="B1902" i="11"/>
  <c r="A1704" i="11"/>
  <c r="B1601" i="11"/>
  <c r="A1959" i="11"/>
  <c r="A2135" i="11"/>
  <c r="B1850" i="11"/>
  <c r="A1623" i="11"/>
  <c r="B1344" i="11"/>
  <c r="A2071" i="11"/>
  <c r="B1968" i="11"/>
  <c r="A1770" i="11"/>
  <c r="B1667" i="11"/>
  <c r="A2025" i="11"/>
  <c r="B1100" i="11"/>
  <c r="A2026" i="11"/>
  <c r="B1736" i="11"/>
  <c r="B1412" i="11"/>
  <c r="B1754" i="11"/>
  <c r="A2060" i="11"/>
  <c r="A1610" i="11"/>
  <c r="A1670" i="11"/>
  <c r="A1017" i="11"/>
  <c r="B914" i="11"/>
  <c r="B1874" i="11"/>
  <c r="A919" i="11"/>
  <c r="A1122" i="11"/>
  <c r="B1089" i="11"/>
  <c r="B573" i="11"/>
  <c r="B1746" i="11"/>
  <c r="A1724" i="11"/>
  <c r="A1946" i="11"/>
  <c r="B1636" i="11"/>
  <c r="A651" i="11"/>
  <c r="B1116" i="11"/>
  <c r="B901" i="11"/>
  <c r="A1115" i="11"/>
  <c r="B1245" i="11"/>
  <c r="A1424" i="11"/>
  <c r="B1969" i="11"/>
  <c r="A1771" i="11"/>
  <c r="B1668" i="11"/>
  <c r="A1470" i="11"/>
  <c r="B2032" i="11"/>
  <c r="A1810" i="11"/>
  <c r="A1624" i="11"/>
  <c r="B1463" i="11"/>
  <c r="A1321" i="11"/>
  <c r="B1785" i="11"/>
  <c r="B1331" i="11"/>
  <c r="B1603" i="11"/>
  <c r="A1405" i="11"/>
  <c r="A1968" i="11"/>
  <c r="B1865" i="11"/>
  <c r="B1953" i="11"/>
  <c r="B1298" i="11"/>
  <c r="A1190" i="11"/>
  <c r="B1087" i="11"/>
  <c r="A2119" i="11"/>
  <c r="B2016" i="11"/>
  <c r="A1818" i="11"/>
  <c r="B1715" i="11"/>
  <c r="A2073" i="11"/>
  <c r="B1148" i="11"/>
  <c r="A1040" i="11"/>
  <c r="A1817" i="11"/>
  <c r="B1469" i="11"/>
  <c r="B2023" i="11"/>
  <c r="A1825" i="11"/>
  <c r="B1722" i="11"/>
  <c r="A1524" i="11"/>
  <c r="B2086" i="11"/>
  <c r="A1922" i="11"/>
  <c r="A1718" i="11"/>
  <c r="B1540" i="11"/>
  <c r="A1375" i="11"/>
  <c r="B1880" i="11"/>
  <c r="B1801" i="11"/>
  <c r="A1603" i="11"/>
  <c r="B1500" i="11"/>
  <c r="B2063" i="11"/>
  <c r="B2151" i="11"/>
  <c r="A1522" i="11"/>
  <c r="A1388" i="11"/>
  <c r="B1285" i="11"/>
  <c r="A1153" i="11"/>
  <c r="A1498" i="11"/>
  <c r="B1579" i="11"/>
  <c r="B2142" i="11"/>
  <c r="A1944" i="11"/>
  <c r="B1841" i="11"/>
  <c r="B1929" i="11"/>
  <c r="B1274" i="11"/>
  <c r="A1166" i="11"/>
  <c r="B2150" i="11"/>
  <c r="B1672" i="11"/>
  <c r="B1789" i="11"/>
  <c r="A1591" i="11"/>
  <c r="A2154" i="11"/>
  <c r="B2051" i="11"/>
  <c r="B2139" i="11"/>
  <c r="B1502" i="11"/>
  <c r="A1376" i="11"/>
  <c r="B1273" i="11"/>
  <c r="A2150" i="11"/>
  <c r="A1484" i="11"/>
  <c r="A1877" i="11"/>
  <c r="A2089" i="11"/>
  <c r="B1986" i="11"/>
  <c r="A1788" i="11"/>
  <c r="B1685" i="11"/>
  <c r="A2043" i="11"/>
  <c r="B1118" i="11"/>
  <c r="A2080" i="11"/>
  <c r="A1767" i="11"/>
  <c r="B1433" i="11"/>
  <c r="A1785" i="11"/>
  <c r="A2155" i="11"/>
  <c r="B2052" i="11"/>
  <c r="A1854" i="11"/>
  <c r="B1751" i="11"/>
  <c r="A2109" i="11"/>
  <c r="B1184" i="11"/>
  <c r="A1076" i="11"/>
  <c r="A1882" i="11"/>
  <c r="A1520" i="11"/>
  <c r="B2131" i="11"/>
  <c r="A1933" i="11"/>
  <c r="B1830" i="11"/>
  <c r="A1632" i="11"/>
  <c r="B1529" i="11"/>
  <c r="A1887" i="11"/>
  <c r="A1919" i="11"/>
  <c r="A1726" i="11"/>
  <c r="A1499" i="11"/>
  <c r="B1272" i="11"/>
  <c r="A1999" i="11"/>
  <c r="B1896" i="11"/>
  <c r="A1698" i="11"/>
  <c r="B1595" i="11"/>
  <c r="A1953" i="11"/>
  <c r="A2117" i="11"/>
  <c r="B1839" i="11"/>
  <c r="A1612" i="11"/>
  <c r="B1338" i="11"/>
  <c r="A1630" i="11"/>
  <c r="B1332" i="11"/>
  <c r="A1490" i="11"/>
  <c r="B1545" i="11"/>
  <c r="A945" i="11"/>
  <c r="B842" i="11"/>
  <c r="B1263" i="11"/>
  <c r="A847" i="11"/>
  <c r="A1032" i="11"/>
  <c r="A1007" i="11"/>
  <c r="B496" i="11"/>
  <c r="A1548" i="11"/>
  <c r="A1558" i="11"/>
  <c r="B1792" i="11"/>
  <c r="B1514" i="11"/>
  <c r="A579" i="11"/>
  <c r="A1028" i="11"/>
  <c r="B829" i="11"/>
  <c r="B1026" i="11"/>
  <c r="A1138" i="11"/>
  <c r="A1216" i="11"/>
  <c r="B1897" i="11"/>
  <c r="A1699" i="11"/>
  <c r="B1596" i="11"/>
  <c r="B2159" i="11"/>
  <c r="B1960" i="11"/>
  <c r="A1688" i="11"/>
  <c r="A1502" i="11"/>
  <c r="B1381" i="11"/>
  <c r="A1249" i="11"/>
  <c r="A1661" i="11"/>
  <c r="B1259" i="11"/>
  <c r="B1531" i="11"/>
  <c r="B2094" i="11"/>
  <c r="A1896" i="11"/>
  <c r="B1793" i="11"/>
  <c r="A2151" i="11"/>
  <c r="B1226" i="11"/>
  <c r="A1118" i="11"/>
  <c r="B2006" i="11"/>
  <c r="A2047" i="11"/>
  <c r="B1944" i="11"/>
  <c r="A1746" i="11"/>
  <c r="B1643" i="11"/>
  <c r="A2001" i="11"/>
  <c r="B1076" i="11"/>
  <c r="A1954" i="11"/>
  <c r="A1695" i="11"/>
  <c r="B1386" i="11"/>
  <c r="B1951" i="11"/>
  <c r="A1753" i="11"/>
  <c r="B1650" i="11"/>
  <c r="A1452" i="11"/>
  <c r="B2014" i="11"/>
  <c r="B1779" i="11"/>
  <c r="B1593" i="11"/>
  <c r="B1442" i="11"/>
  <c r="A1303" i="11"/>
  <c r="A1755" i="11"/>
  <c r="B1729" i="11"/>
  <c r="A1531" i="11"/>
  <c r="A2094" i="11"/>
  <c r="B1991" i="11"/>
  <c r="B2079" i="11"/>
  <c r="B1429" i="11"/>
  <c r="A1316" i="11"/>
  <c r="B1213" i="11"/>
  <c r="A1970" i="11"/>
  <c r="A1412" i="11"/>
  <c r="B1507" i="11"/>
  <c r="B2070" i="11"/>
  <c r="A1872" i="11"/>
  <c r="B1769" i="11"/>
  <c r="A2127" i="11"/>
  <c r="B1202" i="11"/>
  <c r="A1094" i="11"/>
  <c r="B1934" i="11"/>
  <c r="B1550" i="11"/>
  <c r="B1717" i="11"/>
  <c r="A1519" i="11"/>
  <c r="A2082" i="11"/>
  <c r="B1979" i="11"/>
  <c r="B2067" i="11"/>
  <c r="B1414" i="11"/>
  <c r="A1304" i="11"/>
  <c r="B1201" i="11"/>
  <c r="A1934" i="11"/>
  <c r="A1398" i="11"/>
  <c r="A1754" i="11"/>
  <c r="A2017" i="11"/>
  <c r="B1914" i="11"/>
  <c r="A1716" i="11"/>
  <c r="B1613" i="11"/>
  <c r="A1971" i="11"/>
  <c r="B1046" i="11"/>
  <c r="B1870" i="11"/>
  <c r="B1642" i="11"/>
  <c r="B1356" i="11"/>
  <c r="B1660" i="11"/>
  <c r="A2083" i="11"/>
  <c r="B1980" i="11"/>
  <c r="A1782" i="11"/>
  <c r="B1679" i="11"/>
  <c r="A2037" i="11"/>
  <c r="B1112" i="11"/>
  <c r="A2062" i="11"/>
  <c r="A1756" i="11"/>
  <c r="B1426" i="11"/>
  <c r="B2059" i="11"/>
  <c r="A1861" i="11"/>
  <c r="B1758" i="11"/>
  <c r="A1560" i="11"/>
  <c r="B2122" i="11"/>
  <c r="A2030" i="11"/>
  <c r="A1779" i="11"/>
  <c r="A1604" i="11"/>
  <c r="A1413" i="11"/>
  <c r="B2125" i="11"/>
  <c r="A1927" i="11"/>
  <c r="B1824" i="11"/>
  <c r="A1626" i="11"/>
  <c r="B1523" i="11"/>
  <c r="A1881" i="11"/>
  <c r="A1901" i="11"/>
  <c r="A1715" i="11"/>
  <c r="A1492" i="11"/>
  <c r="B1266" i="11"/>
  <c r="A1508" i="11"/>
  <c r="A1672" i="11"/>
  <c r="A1403" i="11"/>
  <c r="A2122" i="11"/>
  <c r="A873" i="11"/>
  <c r="B770" i="11"/>
  <c r="B1149" i="11"/>
  <c r="A775" i="11"/>
  <c r="A960" i="11"/>
  <c r="B1458" i="11"/>
  <c r="B424" i="11"/>
  <c r="B2110" i="11"/>
  <c r="B1418" i="11"/>
  <c r="B1670" i="11"/>
  <c r="B1423" i="11"/>
  <c r="B1904" i="11"/>
  <c r="B1825" i="11"/>
  <c r="A1627" i="11"/>
  <c r="B1524" i="11"/>
  <c r="B2087" i="11"/>
  <c r="B1888" i="11"/>
  <c r="B1563" i="11"/>
  <c r="A1414" i="11"/>
  <c r="B1309" i="11"/>
  <c r="A1177" i="11"/>
  <c r="A1539" i="11"/>
  <c r="B1982" i="11"/>
  <c r="A2125" i="11"/>
  <c r="B2022" i="11"/>
  <c r="A1824" i="11"/>
  <c r="B1721" i="11"/>
  <c r="A2079" i="11"/>
  <c r="B1154" i="11"/>
  <c r="A1046" i="11"/>
  <c r="A1828" i="11"/>
  <c r="A1975" i="11"/>
  <c r="B1872" i="11"/>
  <c r="A1674" i="11"/>
  <c r="B1571" i="11"/>
  <c r="A1929" i="11"/>
  <c r="A2045" i="11"/>
  <c r="A1798" i="11"/>
  <c r="B1570" i="11"/>
  <c r="B1314" i="11"/>
  <c r="B1879" i="11"/>
  <c r="A1681" i="11"/>
  <c r="B1578" i="11"/>
  <c r="B2141" i="11"/>
  <c r="B1942" i="11"/>
  <c r="A1655" i="11"/>
  <c r="A1479" i="11"/>
  <c r="B1363" i="11"/>
  <c r="A1231" i="11"/>
  <c r="B1630" i="11"/>
  <c r="B1657" i="11"/>
  <c r="A1459" i="11"/>
  <c r="A2022" i="11"/>
  <c r="B1919" i="11"/>
  <c r="B2007" i="11"/>
  <c r="B1352" i="11"/>
  <c r="A1244" i="11"/>
  <c r="B1141" i="11"/>
  <c r="A1808" i="11"/>
  <c r="A1338" i="11"/>
  <c r="A2101" i="11"/>
  <c r="B1998" i="11"/>
  <c r="A1800" i="11"/>
  <c r="B1697" i="11"/>
  <c r="A2055" i="11"/>
  <c r="B1130" i="11"/>
  <c r="A2116" i="11"/>
  <c r="B1786" i="11"/>
  <c r="B1448" i="11"/>
  <c r="B1645" i="11"/>
  <c r="A1447" i="11"/>
  <c r="A2010" i="11"/>
  <c r="B1907" i="11"/>
  <c r="B1995" i="11"/>
  <c r="B1340" i="11"/>
  <c r="A1232" i="11"/>
  <c r="B1129" i="11"/>
  <c r="A1786" i="11"/>
  <c r="A1326" i="11"/>
  <c r="B2143" i="11"/>
  <c r="A1945" i="11"/>
  <c r="B1842" i="11"/>
  <c r="A1644" i="11"/>
  <c r="B1541" i="11"/>
  <c r="A1899" i="11"/>
  <c r="A1955" i="11"/>
  <c r="A1748" i="11"/>
  <c r="B1520" i="11"/>
  <c r="B1284" i="11"/>
  <c r="B1538" i="11"/>
  <c r="A2011" i="11"/>
  <c r="B1908" i="11"/>
  <c r="A1710" i="11"/>
  <c r="B1607" i="11"/>
  <c r="A1965" i="11"/>
  <c r="A2153" i="11"/>
  <c r="A1859" i="11"/>
  <c r="A1634" i="11"/>
  <c r="B1350" i="11"/>
  <c r="B1987" i="11"/>
  <c r="A1789" i="11"/>
  <c r="B1686" i="11"/>
  <c r="A1488" i="11"/>
  <c r="B2050" i="11"/>
  <c r="B1840" i="11"/>
  <c r="B1654" i="11"/>
  <c r="B1485" i="11"/>
  <c r="A1339" i="11"/>
  <c r="B2053" i="11"/>
  <c r="A1855" i="11"/>
  <c r="B1752" i="11"/>
  <c r="A1554" i="11"/>
  <c r="B2116" i="11"/>
  <c r="A2012" i="11"/>
  <c r="A1768" i="11"/>
  <c r="A1593" i="11"/>
  <c r="A1406" i="11"/>
  <c r="A1967" i="11"/>
  <c r="B2119" i="11"/>
  <c r="A1368" i="11"/>
  <c r="A1331" i="11"/>
  <c r="A1906" i="11"/>
  <c r="A801" i="11"/>
  <c r="A1514" i="11"/>
  <c r="A1054" i="11"/>
  <c r="A1487" i="11"/>
  <c r="A888" i="11"/>
  <c r="B1224" i="11"/>
  <c r="B352" i="11"/>
  <c r="A1994" i="11"/>
  <c r="B1325" i="11"/>
  <c r="A1546" i="11"/>
  <c r="B1347" i="11"/>
  <c r="B1264" i="11"/>
  <c r="A884" i="11"/>
  <c r="A1281" i="11"/>
  <c r="B882" i="11"/>
  <c r="B971" i="11"/>
  <c r="A1024" i="11"/>
  <c r="B1753" i="11"/>
  <c r="A1555" i="11"/>
  <c r="A2118" i="11"/>
  <c r="B2015" i="11"/>
  <c r="B2103" i="11"/>
  <c r="B1457" i="11"/>
  <c r="A1340" i="11"/>
  <c r="B1237" i="11"/>
  <c r="A2042" i="11"/>
  <c r="B1440" i="11"/>
  <c r="A1815" i="11"/>
  <c r="A2053" i="11"/>
  <c r="B1950" i="11"/>
  <c r="A1752" i="11"/>
  <c r="B1649" i="11"/>
  <c r="A2007" i="11"/>
  <c r="B1082" i="11"/>
  <c r="A1972" i="11"/>
  <c r="B2101" i="11"/>
  <c r="A1903" i="11"/>
  <c r="B1800" i="11"/>
  <c r="A1602" i="11"/>
  <c r="A2159" i="11"/>
  <c r="A2156" i="11"/>
  <c r="A1851" i="11"/>
  <c r="A1676" i="11"/>
  <c r="A1463" i="11"/>
  <c r="A2111" i="11"/>
  <c r="B1807" i="11"/>
  <c r="A1609" i="11"/>
  <c r="B1506" i="11"/>
  <c r="B2069" i="11"/>
  <c r="B2157" i="11"/>
  <c r="A1533" i="11"/>
  <c r="A1394" i="11"/>
  <c r="B1291" i="11"/>
  <c r="A1159" i="11"/>
  <c r="B1508" i="11"/>
  <c r="B1585" i="11"/>
  <c r="B2148" i="11"/>
  <c r="A1950" i="11"/>
  <c r="B1847" i="11"/>
  <c r="B1935" i="11"/>
  <c r="B1280" i="11"/>
  <c r="A1172" i="11"/>
  <c r="B1069" i="11"/>
  <c r="B1683" i="11"/>
  <c r="A1266" i="11"/>
  <c r="A2029" i="11"/>
  <c r="B1926" i="11"/>
  <c r="A1728" i="11"/>
  <c r="B1625" i="11"/>
  <c r="A1983" i="11"/>
  <c r="B1058" i="11"/>
  <c r="A1900" i="11"/>
  <c r="B1664" i="11"/>
  <c r="B1368" i="11"/>
  <c r="B1573" i="11"/>
  <c r="B2136" i="11"/>
  <c r="A1938" i="11"/>
  <c r="B1835" i="11"/>
  <c r="B1923" i="11"/>
  <c r="B1268" i="11"/>
  <c r="A1160" i="11"/>
  <c r="B2132" i="11"/>
  <c r="A1664" i="11"/>
  <c r="A1254" i="11"/>
  <c r="B2071" i="11"/>
  <c r="A1873" i="11"/>
  <c r="B1770" i="11"/>
  <c r="A1572" i="11"/>
  <c r="B2134" i="11"/>
  <c r="A2066" i="11"/>
  <c r="B1798" i="11"/>
  <c r="B1623" i="11"/>
  <c r="A1427" i="11"/>
  <c r="A2021" i="11"/>
  <c r="B2137" i="11"/>
  <c r="A1939" i="11"/>
  <c r="B1836" i="11"/>
  <c r="A1638" i="11"/>
  <c r="B1535" i="11"/>
  <c r="A1893" i="11"/>
  <c r="A1937" i="11"/>
  <c r="A1737" i="11"/>
  <c r="B1509" i="11"/>
  <c r="B1278" i="11"/>
  <c r="B1915" i="11"/>
  <c r="A1717" i="11"/>
  <c r="B1614" i="11"/>
  <c r="A1416" i="11"/>
  <c r="B1978" i="11"/>
  <c r="B1718" i="11"/>
  <c r="B1532" i="11"/>
  <c r="B1399" i="11"/>
  <c r="A1267" i="11"/>
  <c r="B1981" i="11"/>
  <c r="A1783" i="11"/>
  <c r="B1680" i="11"/>
  <c r="A1482" i="11"/>
  <c r="B2044" i="11"/>
  <c r="A1832" i="11"/>
  <c r="A1646" i="11"/>
  <c r="B1478" i="11"/>
  <c r="A1333" i="11"/>
  <c r="A1805" i="11"/>
  <c r="A1921" i="11"/>
  <c r="A1984" i="11"/>
  <c r="A1259" i="11"/>
  <c r="A1772" i="11"/>
  <c r="A729" i="11"/>
  <c r="A1230" i="11"/>
  <c r="B979" i="11"/>
  <c r="B1228" i="11"/>
  <c r="B1832" i="11"/>
  <c r="B1120" i="11"/>
  <c r="B280" i="11"/>
  <c r="A1757" i="11"/>
  <c r="B2144" i="11"/>
  <c r="A2141" i="11"/>
  <c r="B1366" i="11"/>
  <c r="B1150" i="11"/>
  <c r="A812" i="11"/>
  <c r="A1157" i="11"/>
  <c r="B810" i="11"/>
  <c r="B899" i="11"/>
  <c r="B880" i="11"/>
  <c r="B1681" i="11"/>
  <c r="A1483" i="11"/>
  <c r="A2046" i="11"/>
  <c r="B1943" i="11"/>
  <c r="B2031" i="11"/>
  <c r="B1376" i="11"/>
  <c r="A1268" i="11"/>
  <c r="B1165" i="11"/>
  <c r="A1847" i="11"/>
  <c r="A1362" i="11"/>
  <c r="B1690" i="11"/>
  <c r="A1981" i="11"/>
  <c r="B1878" i="11"/>
  <c r="A1680" i="11"/>
  <c r="B1577" i="11"/>
  <c r="A1935" i="11"/>
  <c r="A2063" i="11"/>
  <c r="A1809" i="11"/>
  <c r="B2029" i="11"/>
  <c r="A1831" i="11"/>
  <c r="B1728" i="11"/>
  <c r="A1530" i="11"/>
  <c r="B2092" i="11"/>
  <c r="A1940" i="11"/>
  <c r="B1726" i="11"/>
  <c r="B1551" i="11"/>
  <c r="A1381" i="11"/>
  <c r="A1895" i="11"/>
  <c r="B1735" i="11"/>
  <c r="A1537" i="11"/>
  <c r="A2100" i="11"/>
  <c r="B1997" i="11"/>
  <c r="B2085" i="11"/>
  <c r="B1436" i="11"/>
  <c r="A1322" i="11"/>
  <c r="B1219" i="11"/>
  <c r="A1988" i="11"/>
  <c r="A1419" i="11"/>
  <c r="B1513" i="11"/>
  <c r="B2076" i="11"/>
  <c r="A1878" i="11"/>
  <c r="B1775" i="11"/>
  <c r="A2133" i="11"/>
  <c r="B1208" i="11"/>
  <c r="A1100" i="11"/>
  <c r="B1952" i="11"/>
  <c r="A1559" i="11"/>
  <c r="B2155" i="11"/>
  <c r="A1957" i="11"/>
  <c r="B1854" i="11"/>
  <c r="A1656" i="11"/>
  <c r="B1553" i="11"/>
  <c r="A1911" i="11"/>
  <c r="A1991" i="11"/>
  <c r="B1767" i="11"/>
  <c r="A1540" i="11"/>
  <c r="B1296" i="11"/>
  <c r="B1501" i="11"/>
  <c r="B2064" i="11"/>
  <c r="A1866" i="11"/>
  <c r="B1763" i="11"/>
  <c r="A2121" i="11"/>
  <c r="B1196" i="11"/>
  <c r="A1088" i="11"/>
  <c r="B1916" i="11"/>
  <c r="B1539" i="11"/>
  <c r="A1948" i="11"/>
  <c r="B1999" i="11"/>
  <c r="A1801" i="11"/>
  <c r="B1698" i="11"/>
  <c r="A1500" i="11"/>
  <c r="B2062" i="11"/>
  <c r="B1862" i="11"/>
  <c r="B1676" i="11"/>
  <c r="B1499" i="11"/>
  <c r="A1351" i="11"/>
  <c r="A1838" i="11"/>
  <c r="B2065" i="11"/>
  <c r="A1867" i="11"/>
  <c r="B1764" i="11"/>
  <c r="A1566" i="11"/>
  <c r="B2128" i="11"/>
  <c r="A2048" i="11"/>
  <c r="A1790" i="11"/>
  <c r="B1612" i="11"/>
  <c r="A1420" i="11"/>
  <c r="A2003" i="11"/>
  <c r="B1843" i="11"/>
  <c r="A1645" i="11"/>
  <c r="B1542" i="11"/>
  <c r="B2105" i="11"/>
  <c r="B1906" i="11"/>
  <c r="A1594" i="11"/>
  <c r="A1436" i="11"/>
  <c r="B1327" i="11"/>
  <c r="A1195" i="11"/>
  <c r="B1909" i="11"/>
  <c r="A1711" i="11"/>
  <c r="B1608" i="11"/>
  <c r="A1410" i="11"/>
  <c r="B1972" i="11"/>
  <c r="B1707" i="11"/>
  <c r="B1521" i="11"/>
  <c r="B1393" i="11"/>
  <c r="A1261" i="11"/>
  <c r="A1683" i="11"/>
  <c r="B1818" i="11"/>
  <c r="B1743" i="11"/>
  <c r="A1964" i="11"/>
  <c r="B1647" i="11"/>
  <c r="A657" i="11"/>
  <c r="B1125" i="11"/>
  <c r="B907" i="11"/>
  <c r="B1122" i="11"/>
  <c r="B1257" i="11"/>
  <c r="B1452" i="11"/>
  <c r="B208" i="11"/>
  <c r="A1582" i="11"/>
  <c r="B1892" i="11"/>
  <c r="A1925" i="11"/>
  <c r="A1197" i="11"/>
  <c r="A1055" i="11"/>
  <c r="A740" i="11"/>
  <c r="B1060" i="11"/>
  <c r="B1431" i="11"/>
  <c r="A1329" i="11"/>
  <c r="A737" i="11"/>
  <c r="B1609" i="11"/>
  <c r="A1411" i="11"/>
  <c r="A1974" i="11"/>
  <c r="B1871" i="11"/>
  <c r="B1959" i="11"/>
  <c r="B1304" i="11"/>
  <c r="A1196" i="11"/>
  <c r="B1093" i="11"/>
  <c r="A1725" i="11"/>
  <c r="A1290" i="11"/>
  <c r="B2107" i="11"/>
  <c r="A1909" i="11"/>
  <c r="B1806" i="11"/>
  <c r="A1608" i="11"/>
  <c r="B1505" i="11"/>
  <c r="B2156" i="11"/>
  <c r="A1862" i="11"/>
  <c r="B1684" i="11"/>
  <c r="B1957" i="11"/>
  <c r="A1759" i="11"/>
  <c r="B1656" i="11"/>
  <c r="A1458" i="11"/>
  <c r="B2020" i="11"/>
  <c r="B1790" i="11"/>
  <c r="B1604" i="11"/>
  <c r="B1449" i="11"/>
  <c r="A1309" i="11"/>
  <c r="A1766" i="11"/>
  <c r="B1663" i="11"/>
  <c r="A1465" i="11"/>
  <c r="A2028" i="11"/>
  <c r="B1925" i="11"/>
  <c r="B2013" i="11"/>
  <c r="B1358" i="11"/>
  <c r="A1250" i="11"/>
  <c r="B1147" i="11"/>
  <c r="B1816" i="11"/>
  <c r="A1344" i="11"/>
  <c r="A2107" i="11"/>
  <c r="B2004" i="11"/>
  <c r="A1806" i="11"/>
  <c r="B1703" i="11"/>
  <c r="A2061" i="11"/>
  <c r="B1136" i="11"/>
  <c r="A2134" i="11"/>
  <c r="B1797" i="11"/>
  <c r="B1455" i="11"/>
  <c r="B2083" i="11"/>
  <c r="A1885" i="11"/>
  <c r="B1782" i="11"/>
  <c r="A1584" i="11"/>
  <c r="B2146" i="11"/>
  <c r="A2102" i="11"/>
  <c r="B1820" i="11"/>
  <c r="A1643" i="11"/>
  <c r="A1442" i="11"/>
  <c r="A2057" i="11"/>
  <c r="A2095" i="11"/>
  <c r="B1992" i="11"/>
  <c r="A1794" i="11"/>
  <c r="B1691" i="11"/>
  <c r="A2049" i="11"/>
  <c r="B1124" i="11"/>
  <c r="A2098" i="11"/>
  <c r="A1778" i="11"/>
  <c r="B1441" i="11"/>
  <c r="A1796" i="11"/>
  <c r="B1927" i="11"/>
  <c r="A1729" i="11"/>
  <c r="B1626" i="11"/>
  <c r="A1428" i="11"/>
  <c r="B1990" i="11"/>
  <c r="A1738" i="11"/>
  <c r="A1552" i="11"/>
  <c r="B1413" i="11"/>
  <c r="A1279" i="11"/>
  <c r="B1713" i="11"/>
  <c r="B1993" i="11"/>
  <c r="A1795" i="11"/>
  <c r="B1692" i="11"/>
  <c r="A1494" i="11"/>
  <c r="B2056" i="11"/>
  <c r="B1851" i="11"/>
  <c r="B1665" i="11"/>
  <c r="B1492" i="11"/>
  <c r="A1345" i="11"/>
  <c r="A1827" i="11"/>
  <c r="B1771" i="11"/>
  <c r="A1573" i="11"/>
  <c r="A2136" i="11"/>
  <c r="B2033" i="11"/>
  <c r="B2121" i="11"/>
  <c r="B1479" i="11"/>
  <c r="A1358" i="11"/>
  <c r="B1255" i="11"/>
  <c r="A2096" i="11"/>
  <c r="B1837" i="11"/>
  <c r="A1639" i="11"/>
  <c r="B1536" i="11"/>
  <c r="B2099" i="11"/>
  <c r="B1900" i="11"/>
  <c r="A1583" i="11"/>
  <c r="B1428" i="11"/>
  <c r="B1321" i="11"/>
  <c r="A1189" i="11"/>
  <c r="B1558" i="11"/>
  <c r="A1620" i="11"/>
  <c r="A1569" i="11"/>
  <c r="B1803" i="11"/>
  <c r="A1523" i="11"/>
  <c r="A585" i="11"/>
  <c r="A1034" i="11"/>
  <c r="B835" i="11"/>
  <c r="B1032" i="11"/>
  <c r="B1145" i="11"/>
  <c r="A1224" i="11"/>
  <c r="B136" i="11"/>
  <c r="B1581" i="11"/>
  <c r="A1732" i="11"/>
  <c r="A1781" i="11"/>
  <c r="A1095" i="11"/>
  <c r="B980" i="11"/>
  <c r="A668" i="11"/>
  <c r="A985" i="11"/>
  <c r="A1218" i="11"/>
  <c r="A1181" i="11"/>
  <c r="B648" i="11"/>
  <c r="B1537" i="11"/>
  <c r="B2100" i="11"/>
  <c r="A1902" i="11"/>
  <c r="B1799" i="11"/>
  <c r="A2157" i="11"/>
  <c r="B1232" i="11"/>
  <c r="A1124" i="11"/>
  <c r="B2024" i="11"/>
  <c r="B1600" i="11"/>
  <c r="A2056" i="11"/>
  <c r="B2035" i="11"/>
  <c r="A1837" i="11"/>
  <c r="B1734" i="11"/>
  <c r="A1536" i="11"/>
  <c r="B2098" i="11"/>
  <c r="A1958" i="11"/>
  <c r="B1737" i="11"/>
  <c r="B1562" i="11"/>
  <c r="B1885" i="11"/>
  <c r="A1687" i="11"/>
  <c r="B1584" i="11"/>
  <c r="B2147" i="11"/>
  <c r="B1948" i="11"/>
  <c r="A1666" i="11"/>
  <c r="A1486" i="11"/>
  <c r="B1369" i="11"/>
  <c r="A1237" i="11"/>
  <c r="B1641" i="11"/>
  <c r="B1591" i="11"/>
  <c r="B2154" i="11"/>
  <c r="A1956" i="11"/>
  <c r="B1853" i="11"/>
  <c r="B1941" i="11"/>
  <c r="B1286" i="11"/>
  <c r="A1178" i="11"/>
  <c r="B1075" i="11"/>
  <c r="B1694" i="11"/>
  <c r="A1272" i="11"/>
  <c r="A2035" i="11"/>
  <c r="B1932" i="11"/>
  <c r="A1734" i="11"/>
  <c r="B1631" i="11"/>
  <c r="A1989" i="11"/>
  <c r="B1064" i="11"/>
  <c r="A1918" i="11"/>
  <c r="A1673" i="11"/>
  <c r="B1374" i="11"/>
  <c r="B2011" i="11"/>
  <c r="A1813" i="11"/>
  <c r="B1710" i="11"/>
  <c r="A1512" i="11"/>
  <c r="B2074" i="11"/>
  <c r="B1886" i="11"/>
  <c r="A1696" i="11"/>
  <c r="A1521" i="11"/>
  <c r="A1363" i="11"/>
  <c r="B1857" i="11"/>
  <c r="A2023" i="11"/>
  <c r="B1920" i="11"/>
  <c r="A1722" i="11"/>
  <c r="B1619" i="11"/>
  <c r="A1977" i="11"/>
  <c r="B1052" i="11"/>
  <c r="A1883" i="11"/>
  <c r="B1653" i="11"/>
  <c r="B1362" i="11"/>
  <c r="B1671" i="11"/>
  <c r="B1855" i="11"/>
  <c r="A1657" i="11"/>
  <c r="B1554" i="11"/>
  <c r="B2117" i="11"/>
  <c r="B1918" i="11"/>
  <c r="A1616" i="11"/>
  <c r="A1450" i="11"/>
  <c r="B1339" i="11"/>
  <c r="A1207" i="11"/>
  <c r="A1589" i="11"/>
  <c r="B1921" i="11"/>
  <c r="A1723" i="11"/>
  <c r="B1620" i="11"/>
  <c r="A1422" i="11"/>
  <c r="B1984" i="11"/>
  <c r="A1727" i="11"/>
  <c r="A1541" i="11"/>
  <c r="B1406" i="11"/>
  <c r="A1273" i="11"/>
  <c r="B1702" i="11"/>
  <c r="B1699" i="11"/>
  <c r="A1501" i="11"/>
  <c r="A2064" i="11"/>
  <c r="B1961" i="11"/>
  <c r="B2049" i="11"/>
  <c r="B1394" i="11"/>
  <c r="A1286" i="11"/>
  <c r="B1183" i="11"/>
  <c r="B1881" i="11"/>
  <c r="B1765" i="11"/>
  <c r="A1567" i="11"/>
  <c r="A2130" i="11"/>
  <c r="B2027" i="11"/>
  <c r="B2115" i="11"/>
  <c r="B1472" i="11"/>
  <c r="A1352" i="11"/>
  <c r="B1249" i="11"/>
  <c r="A2078" i="11"/>
  <c r="A1455" i="11"/>
  <c r="B1517" i="11"/>
  <c r="B1425" i="11"/>
  <c r="A1679" i="11"/>
  <c r="B1430" i="11"/>
  <c r="B2120" i="11"/>
  <c r="A962" i="11"/>
  <c r="B763" i="11"/>
  <c r="B960" i="11"/>
  <c r="A1051" i="11"/>
  <c r="A1120" i="11"/>
  <c r="A82" i="11"/>
  <c r="A2024" i="11"/>
  <c r="A1599" i="11"/>
  <c r="A1659" i="11"/>
  <c r="A1011" i="11"/>
  <c r="B908" i="11"/>
  <c r="B1749" i="11"/>
  <c r="A913" i="11"/>
  <c r="B1114" i="11"/>
  <c r="B1080" i="11"/>
  <c r="B566" i="11"/>
  <c r="A2131" i="11"/>
  <c r="B1662" i="11"/>
  <c r="A1400" i="11"/>
  <c r="A1570" i="11"/>
  <c r="A1741" i="11"/>
  <c r="B1547" i="11"/>
  <c r="B1493" i="11"/>
  <c r="B1333" i="11"/>
  <c r="B1693" i="11"/>
  <c r="A1557" i="11"/>
  <c r="A939" i="11"/>
  <c r="B274" i="11"/>
  <c r="A1635" i="11"/>
  <c r="B2126" i="11"/>
  <c r="A2123" i="11"/>
  <c r="B1342" i="11"/>
  <c r="A1141" i="11"/>
  <c r="A806" i="11"/>
  <c r="A1149" i="11"/>
  <c r="B804" i="11"/>
  <c r="B893" i="11"/>
  <c r="B867" i="11"/>
  <c r="A1252" i="11"/>
  <c r="B1569" i="11"/>
  <c r="A1385" i="11"/>
  <c r="A2068" i="11"/>
  <c r="A855" i="11"/>
  <c r="B752" i="11"/>
  <c r="A1125" i="11"/>
  <c r="A757" i="11"/>
  <c r="A942" i="11"/>
  <c r="B1372" i="11"/>
  <c r="B406" i="11"/>
  <c r="A1399" i="11"/>
  <c r="B1701" i="11"/>
  <c r="B1750" i="11"/>
  <c r="A1071" i="11"/>
  <c r="B962" i="11"/>
  <c r="A650" i="11"/>
  <c r="A967" i="11"/>
  <c r="A1192" i="11"/>
  <c r="A1155" i="11"/>
  <c r="B627" i="11"/>
  <c r="A1561" i="11"/>
  <c r="A1846" i="11"/>
  <c r="A2090" i="11"/>
  <c r="B1719" i="11"/>
  <c r="A699" i="11"/>
  <c r="A1186" i="11"/>
  <c r="B949" i="11"/>
  <c r="B1182" i="11"/>
  <c r="A1402" i="11"/>
  <c r="B1382" i="11"/>
  <c r="B1289" i="11"/>
  <c r="B1496" i="11"/>
  <c r="B1922" i="11"/>
  <c r="B1212" i="11"/>
  <c r="A854" i="11"/>
  <c r="A1221" i="11"/>
  <c r="B852" i="11"/>
  <c r="B941" i="11"/>
  <c r="B1018" i="11"/>
  <c r="A15" i="11"/>
  <c r="A1816" i="11"/>
  <c r="A1439" i="11"/>
  <c r="A1481" i="11"/>
  <c r="A903" i="11"/>
  <c r="B800" i="11"/>
  <c r="B1193" i="11"/>
  <c r="A805" i="11"/>
  <c r="A990" i="11"/>
  <c r="A965" i="11"/>
  <c r="B1796" i="11"/>
  <c r="A1432" i="11"/>
  <c r="A1474" i="11"/>
  <c r="A897" i="11"/>
  <c r="B794" i="11"/>
  <c r="B1185" i="11"/>
  <c r="A799" i="11"/>
  <c r="A984" i="11"/>
  <c r="B1976" i="11"/>
  <c r="A1243" i="11"/>
  <c r="B1640" i="11"/>
  <c r="B1700" i="11"/>
  <c r="A1035" i="11"/>
  <c r="B932" i="11"/>
  <c r="A620" i="11"/>
  <c r="A937" i="11"/>
  <c r="A1223" i="11"/>
  <c r="B1113" i="11"/>
  <c r="A727" i="11"/>
  <c r="A850" i="11"/>
  <c r="B545" i="11"/>
  <c r="B617" i="11"/>
  <c r="A398" i="11"/>
  <c r="B295" i="11"/>
  <c r="A827" i="11"/>
  <c r="B535" i="11"/>
  <c r="A2002" i="11"/>
  <c r="B1236" i="11"/>
  <c r="B322" i="11"/>
  <c r="A190" i="11"/>
  <c r="B255" i="11"/>
  <c r="A61" i="11"/>
  <c r="B819" i="11"/>
  <c r="B666" i="11"/>
  <c r="A457" i="11"/>
  <c r="B246" i="11"/>
  <c r="A5" i="11"/>
  <c r="B1140" i="11"/>
  <c r="B1063" i="11"/>
  <c r="A472" i="11"/>
  <c r="B539" i="11"/>
  <c r="A315" i="11"/>
  <c r="B380" i="11"/>
  <c r="A170" i="11"/>
  <c r="B791" i="11"/>
  <c r="B529" i="11"/>
  <c r="B721" i="11"/>
  <c r="A1763" i="11"/>
  <c r="A1139" i="11"/>
  <c r="B304" i="11"/>
  <c r="A178" i="11"/>
  <c r="B243" i="11"/>
  <c r="A53" i="11"/>
  <c r="B795" i="11"/>
  <c r="B652" i="11"/>
  <c r="B2028" i="11"/>
  <c r="A1464" i="11"/>
  <c r="B1297" i="11"/>
  <c r="B2161" i="11"/>
  <c r="B1638" i="11"/>
  <c r="A1905" i="11"/>
  <c r="A1370" i="11"/>
  <c r="A1201" i="11"/>
  <c r="A1495" i="11"/>
  <c r="B1353" i="11"/>
  <c r="B836" i="11"/>
  <c r="B202" i="11"/>
  <c r="B1471" i="11"/>
  <c r="A1865" i="11"/>
  <c r="A1907" i="11"/>
  <c r="A1187" i="11"/>
  <c r="A1048" i="11"/>
  <c r="A734" i="11"/>
  <c r="B1053" i="11"/>
  <c r="B1402" i="11"/>
  <c r="A1311" i="11"/>
  <c r="B727" i="11"/>
  <c r="B1903" i="11"/>
  <c r="A1308" i="11"/>
  <c r="A1313" i="11"/>
  <c r="B1863" i="11"/>
  <c r="A783" i="11"/>
  <c r="A1389" i="11"/>
  <c r="B1033" i="11"/>
  <c r="A1383" i="11"/>
  <c r="A870" i="11"/>
  <c r="B1198" i="11"/>
  <c r="B334" i="11"/>
  <c r="A1736" i="11"/>
  <c r="B1568" i="11"/>
  <c r="B1628" i="11"/>
  <c r="A993" i="11"/>
  <c r="B890" i="11"/>
  <c r="B1438" i="11"/>
  <c r="A895" i="11"/>
  <c r="B1090" i="11"/>
  <c r="B1057" i="11"/>
  <c r="A547" i="11"/>
  <c r="A2124" i="11"/>
  <c r="B1682" i="11"/>
  <c r="B1876" i="11"/>
  <c r="A1595" i="11"/>
  <c r="A627" i="11"/>
  <c r="A1085" i="11"/>
  <c r="B877" i="11"/>
  <c r="B1083" i="11"/>
  <c r="B1209" i="11"/>
  <c r="A1274" i="11"/>
  <c r="B2036" i="11"/>
  <c r="A2051" i="11"/>
  <c r="A1269" i="11"/>
  <c r="B1109" i="11"/>
  <c r="A782" i="11"/>
  <c r="B1115" i="11"/>
  <c r="B780" i="11"/>
  <c r="A1697" i="11"/>
  <c r="A810" i="11"/>
  <c r="A994" i="11"/>
  <c r="A1462" i="11"/>
  <c r="A1361" i="11"/>
  <c r="A1996" i="11"/>
  <c r="A831" i="11"/>
  <c r="B728" i="11"/>
  <c r="A1092" i="11"/>
  <c r="A733" i="11"/>
  <c r="A918" i="11"/>
  <c r="B1288" i="11"/>
  <c r="A1448" i="11"/>
  <c r="A1355" i="11"/>
  <c r="A1978" i="11"/>
  <c r="A825" i="11"/>
  <c r="B2102" i="11"/>
  <c r="B1084" i="11"/>
  <c r="B2048" i="11"/>
  <c r="A912" i="11"/>
  <c r="B1270" i="11"/>
  <c r="B1477" i="11"/>
  <c r="A1516" i="11"/>
  <c r="A1576" i="11"/>
  <c r="A963" i="11"/>
  <c r="B860" i="11"/>
  <c r="B1317" i="11"/>
  <c r="A865" i="11"/>
  <c r="A741" i="11"/>
  <c r="B1254" i="11"/>
  <c r="A641" i="11"/>
  <c r="B719" i="11"/>
  <c r="A471" i="11"/>
  <c r="B538" i="11"/>
  <c r="A326" i="11"/>
  <c r="B223" i="11"/>
  <c r="B708" i="11"/>
  <c r="A462" i="11"/>
  <c r="B1928" i="11"/>
  <c r="B894" i="11"/>
  <c r="B178" i="11"/>
  <c r="A118" i="11"/>
  <c r="A1049" i="11"/>
  <c r="H16" i="11"/>
  <c r="A703" i="11"/>
  <c r="A583" i="11"/>
  <c r="A385" i="11"/>
  <c r="B1000" i="11"/>
  <c r="A515" i="11"/>
  <c r="A686" i="11"/>
  <c r="A798" i="11"/>
  <c r="A400" i="11"/>
  <c r="B465" i="11"/>
  <c r="A243" i="11"/>
  <c r="B308" i="11"/>
  <c r="B104" i="11"/>
  <c r="A688" i="11"/>
  <c r="B456" i="11"/>
  <c r="B287" i="11"/>
  <c r="B1762" i="11"/>
  <c r="B828" i="11"/>
  <c r="B160" i="11"/>
  <c r="D109" i="11"/>
  <c r="B988" i="11"/>
  <c r="A12" i="11"/>
  <c r="A689" i="11"/>
  <c r="A570" i="11"/>
  <c r="A1830" i="11"/>
  <c r="B2026" i="11"/>
  <c r="A1165" i="11"/>
  <c r="A1963" i="11"/>
  <c r="A1440" i="11"/>
  <c r="A1973" i="11"/>
  <c r="B1267" i="11"/>
  <c r="B1580" i="11"/>
  <c r="A2058" i="11"/>
  <c r="B1282" i="11"/>
  <c r="A956" i="11"/>
  <c r="B130" i="11"/>
  <c r="A1485" i="11"/>
  <c r="A1721" i="11"/>
  <c r="B1772" i="11"/>
  <c r="A1086" i="11"/>
  <c r="B974" i="11"/>
  <c r="A662" i="11"/>
  <c r="A979" i="11"/>
  <c r="A1210" i="11"/>
  <c r="A1173" i="11"/>
  <c r="B641" i="11"/>
  <c r="A1705" i="11"/>
  <c r="A1894" i="11"/>
  <c r="A2126" i="11"/>
  <c r="A1739" i="11"/>
  <c r="A711" i="11"/>
  <c r="A1204" i="11"/>
  <c r="B961" i="11"/>
  <c r="B1200" i="11"/>
  <c r="A1473" i="11"/>
  <c r="B1096" i="11"/>
  <c r="B262" i="11"/>
  <c r="A1985" i="11"/>
  <c r="A1461" i="11"/>
  <c r="A1504" i="11"/>
  <c r="A921" i="11"/>
  <c r="B818" i="11"/>
  <c r="B1221" i="11"/>
  <c r="A823" i="11"/>
  <c r="A1008" i="11"/>
  <c r="A983" i="11"/>
  <c r="B472" i="11"/>
  <c r="B2021" i="11"/>
  <c r="B1483" i="11"/>
  <c r="A1751" i="11"/>
  <c r="B1480" i="11"/>
  <c r="A555" i="11"/>
  <c r="A1004" i="11"/>
  <c r="B805" i="11"/>
  <c r="B1002" i="11"/>
  <c r="A1105" i="11"/>
  <c r="B1171" i="11"/>
  <c r="A1826" i="11"/>
  <c r="A1853" i="11"/>
  <c r="A1151" i="11"/>
  <c r="B1022" i="11"/>
  <c r="A710" i="11"/>
  <c r="A1027" i="11"/>
  <c r="A1312" i="11"/>
  <c r="A1245" i="11"/>
  <c r="B699" i="11"/>
  <c r="B1615" i="11"/>
  <c r="A2110" i="11"/>
  <c r="A1289" i="11"/>
  <c r="A1822" i="11"/>
  <c r="A759" i="11"/>
  <c r="A1300" i="11"/>
  <c r="B1009" i="11"/>
  <c r="B1294" i="11"/>
  <c r="A846" i="11"/>
  <c r="B1543" i="11"/>
  <c r="A2074" i="11"/>
  <c r="A1283" i="11"/>
  <c r="A1811" i="11"/>
  <c r="A753" i="11"/>
  <c r="A1282" i="11"/>
  <c r="B1003" i="11"/>
  <c r="B1276" i="11"/>
  <c r="A840" i="11"/>
  <c r="B1152" i="11"/>
  <c r="B1774" i="11"/>
  <c r="A1425" i="11"/>
  <c r="A1467" i="11"/>
  <c r="A891" i="11"/>
  <c r="B788" i="11"/>
  <c r="B1175" i="11"/>
  <c r="A793" i="11"/>
  <c r="A1078" i="11"/>
  <c r="A1553" i="11"/>
  <c r="B559" i="11"/>
  <c r="B633" i="11"/>
  <c r="A399" i="11"/>
  <c r="B464" i="11"/>
  <c r="A254" i="11"/>
  <c r="B1035" i="11"/>
  <c r="B622" i="11"/>
  <c r="A390" i="11"/>
  <c r="A1265" i="11"/>
  <c r="A1131" i="11"/>
  <c r="A86" i="11"/>
  <c r="D69" i="11"/>
  <c r="B820" i="11"/>
  <c r="A1012" i="11"/>
  <c r="A617" i="11"/>
  <c r="B505" i="11"/>
  <c r="A313" i="11"/>
  <c r="B802" i="11"/>
  <c r="B1962" i="11"/>
  <c r="B919" i="11"/>
  <c r="A606" i="11"/>
  <c r="A328" i="11"/>
  <c r="B393" i="11"/>
  <c r="A171" i="11"/>
  <c r="B236" i="11"/>
  <c r="A905" i="11"/>
  <c r="A602" i="11"/>
  <c r="B384" i="11"/>
  <c r="A120" i="11"/>
  <c r="A1982" i="11"/>
  <c r="B1044" i="11"/>
  <c r="A62" i="11"/>
  <c r="D61" i="11"/>
  <c r="B796" i="11"/>
  <c r="A964" i="11"/>
  <c r="B603" i="11"/>
  <c r="B493" i="11"/>
  <c r="B1727" i="11"/>
  <c r="A1799" i="11"/>
  <c r="A1517" i="11"/>
  <c r="B1860" i="11"/>
  <c r="B2002" i="11"/>
  <c r="B1756" i="11"/>
  <c r="A2132" i="11"/>
  <c r="B1627" i="11"/>
  <c r="B1955" i="11"/>
  <c r="A890" i="11"/>
  <c r="A1248" i="11"/>
  <c r="A78" i="11"/>
  <c r="A1858" i="11"/>
  <c r="A1588" i="11"/>
  <c r="A1648" i="11"/>
  <c r="A1005" i="11"/>
  <c r="B902" i="11"/>
  <c r="A1625" i="11"/>
  <c r="A907" i="11"/>
  <c r="A1107" i="11"/>
  <c r="A1073" i="11"/>
  <c r="A560" i="11"/>
  <c r="B1602" i="11"/>
  <c r="A1702" i="11"/>
  <c r="A1910" i="11"/>
  <c r="A1617" i="11"/>
  <c r="A639" i="11"/>
  <c r="B1101" i="11"/>
  <c r="B889" i="11"/>
  <c r="B1098" i="11"/>
  <c r="B1227" i="11"/>
  <c r="A1372" i="11"/>
  <c r="B190" i="11"/>
  <c r="A1550" i="11"/>
  <c r="A1379" i="11"/>
  <c r="A2050" i="11"/>
  <c r="A849" i="11"/>
  <c r="B746" i="11"/>
  <c r="A1116" i="11"/>
  <c r="A751" i="11"/>
  <c r="A936" i="11"/>
  <c r="B1348" i="11"/>
  <c r="B400" i="11"/>
  <c r="B2109" i="11"/>
  <c r="B1385" i="11"/>
  <c r="A1629" i="11"/>
  <c r="B1395" i="11"/>
  <c r="A1445" i="11"/>
  <c r="A932" i="11"/>
  <c r="B1494" i="11"/>
  <c r="B930" i="11"/>
  <c r="B1019" i="11"/>
  <c r="A1327" i="11"/>
  <c r="A1671" i="11"/>
  <c r="A1731" i="11"/>
  <c r="B1055" i="11"/>
  <c r="B950" i="11"/>
  <c r="A638" i="11"/>
  <c r="A955" i="11"/>
  <c r="A1174" i="11"/>
  <c r="B1137" i="11"/>
  <c r="B612" i="11"/>
  <c r="A1417" i="11"/>
  <c r="B1826" i="11"/>
  <c r="A2054" i="11"/>
  <c r="A1700" i="11"/>
  <c r="A687" i="11"/>
  <c r="A1168" i="11"/>
  <c r="B937" i="11"/>
  <c r="B1164" i="11"/>
  <c r="A1354" i="11"/>
  <c r="B2106" i="11"/>
  <c r="B1815" i="11"/>
  <c r="A2036" i="11"/>
  <c r="A1689" i="11"/>
  <c r="A681" i="11"/>
  <c r="A1158" i="11"/>
  <c r="B931" i="11"/>
  <c r="B1156" i="11"/>
  <c r="A1330" i="11"/>
  <c r="B1958" i="11"/>
  <c r="A1433" i="11"/>
  <c r="A1349" i="11"/>
  <c r="A1960" i="11"/>
  <c r="A819" i="11"/>
  <c r="B1887" i="11"/>
  <c r="A1077" i="11"/>
  <c r="A1852" i="11"/>
  <c r="B1248" i="11"/>
  <c r="B1127" i="11"/>
  <c r="A484" i="11"/>
  <c r="B552" i="11"/>
  <c r="A327" i="11"/>
  <c r="B392" i="11"/>
  <c r="A182" i="11"/>
  <c r="B815" i="11"/>
  <c r="B542" i="11"/>
  <c r="B855" i="11"/>
  <c r="A1961" i="11"/>
  <c r="B2012" i="11"/>
  <c r="H7" i="11"/>
  <c r="D22" i="11"/>
  <c r="B704" i="11"/>
  <c r="A808" i="11"/>
  <c r="A538" i="11"/>
  <c r="B433" i="11"/>
  <c r="A241" i="11"/>
  <c r="A694" i="11"/>
  <c r="B1725" i="11"/>
  <c r="A1003" i="11"/>
  <c r="B454" i="11"/>
  <c r="A256" i="11"/>
  <c r="B321" i="11"/>
  <c r="A105" i="11"/>
  <c r="B1011" i="11"/>
  <c r="A750" i="11"/>
  <c r="B523" i="11"/>
  <c r="B312" i="11"/>
  <c r="A52" i="11"/>
  <c r="A1803" i="11"/>
  <c r="B1293" i="11"/>
  <c r="A3" i="11"/>
  <c r="B17" i="11"/>
  <c r="A690" i="11"/>
  <c r="A784" i="11"/>
  <c r="B524" i="11"/>
  <c r="B421" i="11"/>
  <c r="A2085" i="11"/>
  <c r="A1613" i="11"/>
  <c r="B1519" i="11"/>
  <c r="A1662" i="11"/>
  <c r="A1760" i="11"/>
  <c r="A1529" i="11"/>
  <c r="B1476" i="11"/>
  <c r="A1429" i="11"/>
  <c r="B2043" i="11"/>
  <c r="A1299" i="11"/>
  <c r="B2066" i="11"/>
  <c r="A30" i="11"/>
  <c r="B1260" i="11"/>
  <c r="A1475" i="11"/>
  <c r="A1526" i="11"/>
  <c r="A933" i="11"/>
  <c r="B830" i="11"/>
  <c r="B1239" i="11"/>
  <c r="A835" i="11"/>
  <c r="A1020" i="11"/>
  <c r="A995" i="11"/>
  <c r="B484" i="11"/>
  <c r="A1404" i="11"/>
  <c r="B1516" i="11"/>
  <c r="A1773" i="11"/>
  <c r="B1495" i="11"/>
  <c r="A567" i="11"/>
  <c r="A1016" i="11"/>
  <c r="B817" i="11"/>
  <c r="B1014" i="11"/>
  <c r="B1121" i="11"/>
  <c r="A1198" i="11"/>
  <c r="B1831" i="11"/>
  <c r="A1296" i="11"/>
  <c r="A1307" i="11"/>
  <c r="B1852" i="11"/>
  <c r="A777" i="11"/>
  <c r="A1365" i="11"/>
  <c r="B1027" i="11"/>
  <c r="A1359" i="11"/>
  <c r="A864" i="11"/>
  <c r="B1188" i="11"/>
  <c r="B328" i="11"/>
  <c r="B1465" i="11"/>
  <c r="B1301" i="11"/>
  <c r="B1504" i="11"/>
  <c r="B2138" i="11"/>
  <c r="B1222" i="11"/>
  <c r="A860" i="11"/>
  <c r="A1229" i="11"/>
  <c r="B858" i="11"/>
  <c r="B947" i="11"/>
  <c r="B1611" i="11"/>
  <c r="B1546" i="11"/>
  <c r="B1606" i="11"/>
  <c r="A981" i="11"/>
  <c r="B878" i="11"/>
  <c r="B1384" i="11"/>
  <c r="A883" i="11"/>
  <c r="A1074" i="11"/>
  <c r="B1043" i="11"/>
  <c r="A534" i="11"/>
  <c r="A1980" i="11"/>
  <c r="A1641" i="11"/>
  <c r="A1856" i="11"/>
  <c r="B1575" i="11"/>
  <c r="A615" i="11"/>
  <c r="B1068" i="11"/>
  <c r="B865" i="11"/>
  <c r="A1067" i="11"/>
  <c r="B1191" i="11"/>
  <c r="A1908" i="11"/>
  <c r="A1619" i="11"/>
  <c r="A1845" i="11"/>
  <c r="B1564" i="11"/>
  <c r="A609" i="11"/>
  <c r="B1061" i="11"/>
  <c r="B859" i="11"/>
  <c r="A1060" i="11"/>
  <c r="B1181" i="11"/>
  <c r="A2137" i="11"/>
  <c r="A2038" i="11"/>
  <c r="A1277" i="11"/>
  <c r="B1802" i="11"/>
  <c r="A747" i="11"/>
  <c r="A1264" i="11"/>
  <c r="B997" i="11"/>
  <c r="B1258" i="11"/>
  <c r="A758" i="11"/>
  <c r="A916" i="11"/>
  <c r="A412" i="11"/>
  <c r="B477" i="11"/>
  <c r="A255" i="11"/>
  <c r="B320" i="11"/>
  <c r="B112" i="11"/>
  <c r="A702" i="11"/>
  <c r="B468" i="11"/>
  <c r="B335" i="11"/>
  <c r="B1780" i="11"/>
  <c r="B983" i="11"/>
  <c r="B850" i="11"/>
  <c r="B1134" i="11"/>
  <c r="A618" i="11"/>
  <c r="B696" i="11"/>
  <c r="A464" i="11"/>
  <c r="B361" i="11"/>
  <c r="B1030" i="11"/>
  <c r="B607" i="11"/>
  <c r="A1774" i="11"/>
  <c r="B1146" i="11"/>
  <c r="B310" i="11"/>
  <c r="A184" i="11"/>
  <c r="B249" i="11"/>
  <c r="A57" i="11"/>
  <c r="B807" i="11"/>
  <c r="B659" i="11"/>
  <c r="A451" i="11"/>
  <c r="B240" i="11"/>
  <c r="B19" i="9"/>
  <c r="B1658" i="11"/>
  <c r="B917" i="11"/>
  <c r="B821" i="11"/>
  <c r="B1017" i="11"/>
  <c r="B604" i="11"/>
  <c r="B682" i="11"/>
  <c r="A452" i="11"/>
  <c r="B1160" i="11"/>
  <c r="B1456" i="11"/>
  <c r="B2082" i="11"/>
  <c r="B1559" i="11"/>
  <c r="A1574" i="11"/>
  <c r="B1290" i="11"/>
  <c r="B1849" i="11"/>
  <c r="A1992" i="11"/>
  <c r="B1388" i="11"/>
  <c r="B888" i="11"/>
  <c r="A841" i="11"/>
  <c r="A1791" i="11"/>
  <c r="A1611" i="11"/>
  <c r="A1391" i="11"/>
  <c r="A2086" i="11"/>
  <c r="A861" i="11"/>
  <c r="B758" i="11"/>
  <c r="B1132" i="11"/>
  <c r="A763" i="11"/>
  <c r="A948" i="11"/>
  <c r="B1396" i="11"/>
  <c r="B412" i="11"/>
  <c r="B1966" i="11"/>
  <c r="B1397" i="11"/>
  <c r="B1648" i="11"/>
  <c r="B1408" i="11"/>
  <c r="A1647" i="11"/>
  <c r="A944" i="11"/>
  <c r="B1738" i="11"/>
  <c r="B942" i="11"/>
  <c r="B1031" i="11"/>
  <c r="A1096" i="11"/>
  <c r="A1633" i="11"/>
  <c r="A1868" i="11"/>
  <c r="A2108" i="11"/>
  <c r="B1730" i="11"/>
  <c r="A705" i="11"/>
  <c r="A1194" i="11"/>
  <c r="B955" i="11"/>
  <c r="B1192" i="11"/>
  <c r="A1431" i="11"/>
  <c r="A1089" i="11"/>
  <c r="B256" i="11"/>
  <c r="A1346" i="11"/>
  <c r="B2054" i="11"/>
  <c r="A2069" i="11"/>
  <c r="A1287" i="11"/>
  <c r="A1117" i="11"/>
  <c r="A788" i="11"/>
  <c r="A1123" i="11"/>
  <c r="B786" i="11"/>
  <c r="B1821" i="11"/>
  <c r="A1913" i="11"/>
  <c r="B1446" i="11"/>
  <c r="B1488" i="11"/>
  <c r="A909" i="11"/>
  <c r="B806" i="11"/>
  <c r="B1203" i="11"/>
  <c r="A811" i="11"/>
  <c r="A996" i="11"/>
  <c r="A971" i="11"/>
  <c r="B460" i="11"/>
  <c r="B1877" i="11"/>
  <c r="B1468" i="11"/>
  <c r="B1731" i="11"/>
  <c r="B1466" i="11"/>
  <c r="A543" i="11"/>
  <c r="A992" i="11"/>
  <c r="B793" i="11"/>
  <c r="B990" i="11"/>
  <c r="A1090" i="11"/>
  <c r="B1805" i="11"/>
  <c r="B1461" i="11"/>
  <c r="B1720" i="11"/>
  <c r="B1459" i="11"/>
  <c r="A537" i="11"/>
  <c r="A986" i="11"/>
  <c r="B787" i="11"/>
  <c r="B984" i="11"/>
  <c r="A1081" i="11"/>
  <c r="B2034" i="11"/>
  <c r="B1804" i="11"/>
  <c r="A2018" i="11"/>
  <c r="A1678" i="11"/>
  <c r="A675" i="11"/>
  <c r="A1150" i="11"/>
  <c r="B925" i="11"/>
  <c r="A2065" i="11"/>
  <c r="B991" i="11"/>
  <c r="B663" i="11"/>
  <c r="A340" i="11"/>
  <c r="B405" i="11"/>
  <c r="A183" i="11"/>
  <c r="B248" i="11"/>
  <c r="A941" i="11"/>
  <c r="A616" i="11"/>
  <c r="B396" i="11"/>
  <c r="A138" i="11"/>
  <c r="A1215" i="11"/>
  <c r="B1104" i="11"/>
  <c r="A720" i="11"/>
  <c r="B833" i="11"/>
  <c r="A539" i="11"/>
  <c r="B610" i="11"/>
  <c r="A392" i="11"/>
  <c r="B289" i="11"/>
  <c r="A815" i="11"/>
  <c r="A529" i="11"/>
  <c r="B1773" i="11"/>
  <c r="B834" i="11"/>
  <c r="B166" i="11"/>
  <c r="D113" i="11"/>
  <c r="B1012" i="11"/>
  <c r="D14" i="11"/>
  <c r="A1052" i="11"/>
  <c r="B1813" i="11"/>
  <c r="A1884" i="11"/>
  <c r="A1917" i="11"/>
  <c r="B1427" i="11"/>
  <c r="A1547" i="11"/>
  <c r="A1651" i="11"/>
  <c r="B1889" i="11"/>
  <c r="A1280" i="11"/>
  <c r="B977" i="11"/>
  <c r="B954" i="11"/>
  <c r="B1975" i="11"/>
  <c r="A1332" i="11"/>
  <c r="A1319" i="11"/>
  <c r="B1875" i="11"/>
  <c r="A789" i="11"/>
  <c r="A1415" i="11"/>
  <c r="B1039" i="11"/>
  <c r="A1408" i="11"/>
  <c r="A876" i="11"/>
  <c r="B1206" i="11"/>
  <c r="B340" i="11"/>
  <c r="B1696" i="11"/>
  <c r="B1313" i="11"/>
  <c r="B1526" i="11"/>
  <c r="B1335" i="11"/>
  <c r="B1240" i="11"/>
  <c r="A872" i="11"/>
  <c r="A1247" i="11"/>
  <c r="B870" i="11"/>
  <c r="B959" i="11"/>
  <c r="B1269" i="11"/>
  <c r="B1530" i="11"/>
  <c r="A1691" i="11"/>
  <c r="A1892" i="11"/>
  <c r="A1606" i="11"/>
  <c r="A633" i="11"/>
  <c r="B1092" i="11"/>
  <c r="B883" i="11"/>
  <c r="A1091" i="11"/>
  <c r="B1217" i="11"/>
  <c r="A1348" i="11"/>
  <c r="B184" i="11"/>
  <c r="B1243" i="11"/>
  <c r="B1834" i="11"/>
  <c r="A1864" i="11"/>
  <c r="A1161" i="11"/>
  <c r="B1028" i="11"/>
  <c r="A716" i="11"/>
  <c r="A1033" i="11"/>
  <c r="B1330" i="11"/>
  <c r="A1257" i="11"/>
  <c r="A1491" i="11"/>
  <c r="A1367" i="11"/>
  <c r="A2014" i="11"/>
  <c r="A837" i="11"/>
  <c r="B734" i="11"/>
  <c r="A1101" i="11"/>
  <c r="A739" i="11"/>
  <c r="A924" i="11"/>
  <c r="B1306" i="11"/>
  <c r="B388" i="11"/>
  <c r="B1965" i="11"/>
  <c r="B1373" i="11"/>
  <c r="A1607" i="11"/>
  <c r="B1383" i="11"/>
  <c r="A1390" i="11"/>
  <c r="A920" i="11"/>
  <c r="A1409" i="11"/>
  <c r="B918" i="11"/>
  <c r="B1007" i="11"/>
  <c r="B1893" i="11"/>
  <c r="B1361" i="11"/>
  <c r="B1598" i="11"/>
  <c r="B1377" i="11"/>
  <c r="A1366" i="11"/>
  <c r="A914" i="11"/>
  <c r="A1384" i="11"/>
  <c r="B912" i="11"/>
  <c r="B1001" i="11"/>
  <c r="A1836" i="11"/>
  <c r="B1599" i="11"/>
  <c r="A1834" i="11"/>
  <c r="A1556" i="11"/>
  <c r="A603" i="11"/>
  <c r="B1054" i="11"/>
  <c r="B853" i="11"/>
  <c r="A2008" i="11"/>
  <c r="A1084" i="11"/>
  <c r="B502" i="11"/>
  <c r="A268" i="11"/>
  <c r="B333" i="11"/>
  <c r="A113" i="11"/>
  <c r="B1110" i="11"/>
  <c r="B768" i="11"/>
  <c r="B536" i="11"/>
  <c r="B324" i="11"/>
  <c r="A63" i="11"/>
  <c r="A735" i="11"/>
  <c r="B1242" i="11"/>
  <c r="A634" i="11"/>
  <c r="B712" i="11"/>
  <c r="A465" i="11"/>
  <c r="A532" i="11"/>
  <c r="A320" i="11"/>
  <c r="B217" i="11"/>
  <c r="B701" i="11"/>
  <c r="A456" i="11"/>
  <c r="A2000" i="11"/>
  <c r="B1051" i="11"/>
  <c r="A70" i="11"/>
  <c r="D65" i="11"/>
  <c r="B808" i="11"/>
  <c r="A988" i="11"/>
  <c r="A610" i="11"/>
  <c r="B499" i="11"/>
  <c r="A307" i="11"/>
  <c r="B790" i="11"/>
  <c r="B173" i="11"/>
  <c r="A663" i="11"/>
  <c r="B1180" i="11"/>
  <c r="A619" i="11"/>
  <c r="B697" i="11"/>
  <c r="A453" i="11"/>
  <c r="B518" i="11"/>
  <c r="A308" i="11"/>
  <c r="B205" i="11"/>
  <c r="A1839" i="11"/>
  <c r="A1615" i="11"/>
  <c r="B1781" i="11"/>
  <c r="A2009" i="11"/>
  <c r="A1291" i="11"/>
  <c r="B1783" i="11"/>
  <c r="B1548" i="11"/>
  <c r="B1977" i="11"/>
  <c r="B1177" i="11"/>
  <c r="A1030" i="11"/>
  <c r="A1026" i="11"/>
  <c r="A1777" i="11"/>
  <c r="A1912" i="11"/>
  <c r="A2144" i="11"/>
  <c r="A1750" i="11"/>
  <c r="A717" i="11"/>
  <c r="A1212" i="11"/>
  <c r="B967" i="11"/>
  <c r="B1210" i="11"/>
  <c r="A1586" i="11"/>
  <c r="A1104" i="11"/>
  <c r="B268" i="11"/>
  <c r="B1510" i="11"/>
  <c r="B2108" i="11"/>
  <c r="A2105" i="11"/>
  <c r="A1323" i="11"/>
  <c r="B1133" i="11"/>
  <c r="A800" i="11"/>
  <c r="B1139" i="11"/>
  <c r="B798" i="11"/>
  <c r="B887" i="11"/>
  <c r="A851" i="11"/>
  <c r="B2093" i="11"/>
  <c r="B1497" i="11"/>
  <c r="A1762" i="11"/>
  <c r="B1487" i="11"/>
  <c r="A561" i="11"/>
  <c r="A1010" i="11"/>
  <c r="B811" i="11"/>
  <c r="B1008" i="11"/>
  <c r="A1114" i="11"/>
  <c r="A1188" i="11"/>
  <c r="A114" i="11"/>
  <c r="A1387" i="11"/>
  <c r="A1682" i="11"/>
  <c r="A1742" i="11"/>
  <c r="B1062" i="11"/>
  <c r="B956" i="11"/>
  <c r="A644" i="11"/>
  <c r="A961" i="11"/>
  <c r="A1182" i="11"/>
  <c r="B1687" i="11"/>
  <c r="A1260" i="11"/>
  <c r="A1295" i="11"/>
  <c r="A1833" i="11"/>
  <c r="A765" i="11"/>
  <c r="A1318" i="11"/>
  <c r="B1015" i="11"/>
  <c r="B1312" i="11"/>
  <c r="A852" i="11"/>
  <c r="B1170" i="11"/>
  <c r="B316" i="11"/>
  <c r="B1310" i="11"/>
  <c r="B1283" i="11"/>
  <c r="B1489" i="11"/>
  <c r="A1780" i="11"/>
  <c r="B1204" i="11"/>
  <c r="A848" i="11"/>
  <c r="A1211" i="11"/>
  <c r="B846" i="11"/>
  <c r="B935" i="11"/>
  <c r="B1238" i="11"/>
  <c r="B1277" i="11"/>
  <c r="B1481" i="11"/>
  <c r="A1658" i="11"/>
  <c r="B1194" i="11"/>
  <c r="A842" i="11"/>
  <c r="A1203" i="11"/>
  <c r="B840" i="11"/>
  <c r="B929" i="11"/>
  <c r="B1733" i="11"/>
  <c r="B1454" i="11"/>
  <c r="A1712" i="11"/>
  <c r="B1451" i="11"/>
  <c r="A531" i="11"/>
  <c r="A980" i="11"/>
  <c r="B781" i="11"/>
  <c r="A2020" i="11"/>
  <c r="B1246" i="11"/>
  <c r="B358" i="11"/>
  <c r="A196" i="11"/>
  <c r="B261" i="11"/>
  <c r="A65" i="11"/>
  <c r="A832" i="11"/>
  <c r="B673" i="11"/>
  <c r="A463" i="11"/>
  <c r="B252" i="11"/>
  <c r="D8" i="11"/>
  <c r="A1069" i="11"/>
  <c r="A1324" i="11"/>
  <c r="A553" i="11"/>
  <c r="B625" i="11"/>
  <c r="A393" i="11"/>
  <c r="B458" i="11"/>
  <c r="A248" i="11"/>
  <c r="A1006" i="11"/>
  <c r="B615" i="11"/>
  <c r="A384" i="11"/>
  <c r="A1814" i="11"/>
  <c r="B1311" i="11"/>
  <c r="D5" i="11"/>
  <c r="B1484" i="11"/>
  <c r="B1512" i="11"/>
  <c r="A2139" i="11"/>
  <c r="B1778" i="11"/>
  <c r="B2149" i="11"/>
  <c r="A1585" i="11"/>
  <c r="B2111" i="11"/>
  <c r="B1322" i="11"/>
  <c r="B1869" i="11"/>
  <c r="A34" i="11"/>
  <c r="A1044" i="11"/>
  <c r="B1674" i="11"/>
  <c r="A1713" i="11"/>
  <c r="A1928" i="11"/>
  <c r="A1628" i="11"/>
  <c r="A645" i="11"/>
  <c r="A1109" i="11"/>
  <c r="B895" i="11"/>
  <c r="B1107" i="11"/>
  <c r="B1235" i="11"/>
  <c r="A1396" i="11"/>
  <c r="B196" i="11"/>
  <c r="B1387" i="11"/>
  <c r="B1856" i="11"/>
  <c r="A1889" i="11"/>
  <c r="A1179" i="11"/>
  <c r="A1041" i="11"/>
  <c r="A728" i="11"/>
  <c r="B1045" i="11"/>
  <c r="B1378" i="11"/>
  <c r="A1293" i="11"/>
  <c r="B720" i="11"/>
  <c r="B1894" i="11"/>
  <c r="B1391" i="11"/>
  <c r="A1640" i="11"/>
  <c r="B1401" i="11"/>
  <c r="B1522" i="11"/>
  <c r="A938" i="11"/>
  <c r="B1616" i="11"/>
  <c r="B936" i="11"/>
  <c r="B1025" i="11"/>
  <c r="A1087" i="11"/>
  <c r="A66" i="11"/>
  <c r="A1714" i="11"/>
  <c r="B1557" i="11"/>
  <c r="B1617" i="11"/>
  <c r="A987" i="11"/>
  <c r="B884" i="11"/>
  <c r="B1409" i="11"/>
  <c r="A889" i="11"/>
  <c r="A1083" i="11"/>
  <c r="A1489" i="11"/>
  <c r="A1835" i="11"/>
  <c r="A2072" i="11"/>
  <c r="B1708" i="11"/>
  <c r="A693" i="11"/>
  <c r="A1176" i="11"/>
  <c r="B943" i="11"/>
  <c r="B1174" i="11"/>
  <c r="A1378" i="11"/>
  <c r="B1072" i="11"/>
  <c r="B244" i="11"/>
  <c r="A1202" i="11"/>
  <c r="B2018" i="11"/>
  <c r="A2033" i="11"/>
  <c r="B1251" i="11"/>
  <c r="A1102" i="11"/>
  <c r="A776" i="11"/>
  <c r="A1108" i="11"/>
  <c r="B774" i="11"/>
  <c r="A1575" i="11"/>
  <c r="A1130" i="11"/>
  <c r="B2000" i="11"/>
  <c r="A2015" i="11"/>
  <c r="A1241" i="11"/>
  <c r="A1093" i="11"/>
  <c r="A770" i="11"/>
  <c r="A1099" i="11"/>
  <c r="B2030" i="11"/>
  <c r="A1466" i="11"/>
  <c r="A2091" i="11"/>
  <c r="B1355" i="11"/>
  <c r="B1587" i="11"/>
  <c r="B1371" i="11"/>
  <c r="A1342" i="11"/>
  <c r="A908" i="11"/>
  <c r="A1360" i="11"/>
  <c r="B1946" i="11"/>
  <c r="B900" i="11"/>
  <c r="B214" i="11"/>
  <c r="A124" i="11"/>
  <c r="A1127" i="11"/>
  <c r="B19" i="11"/>
  <c r="B710" i="11"/>
  <c r="B589" i="11"/>
  <c r="A391" i="11"/>
  <c r="B1029" i="11"/>
  <c r="A554" i="11"/>
  <c r="A1240" i="11"/>
  <c r="B1079" i="11"/>
  <c r="A478" i="11"/>
  <c r="A546" i="11"/>
  <c r="A321" i="11"/>
  <c r="B386" i="11"/>
  <c r="A176" i="11"/>
  <c r="B803" i="11"/>
  <c r="A536" i="11"/>
  <c r="A778" i="11"/>
  <c r="A1667" i="11"/>
  <c r="B923" i="11"/>
  <c r="B837" i="11"/>
  <c r="A1050" i="11"/>
  <c r="A611" i="11"/>
  <c r="B689" i="11"/>
  <c r="A458" i="11"/>
  <c r="B355" i="11"/>
  <c r="B1005" i="11"/>
  <c r="A601" i="11"/>
  <c r="A21" i="11"/>
  <c r="A1133" i="11"/>
  <c r="B1056" i="11"/>
  <c r="A466" i="11"/>
  <c r="A533" i="11"/>
  <c r="A309" i="11"/>
  <c r="B374" i="11"/>
  <c r="A164" i="11"/>
  <c r="A1857" i="11"/>
  <c r="B2075" i="11"/>
  <c r="B1214" i="11"/>
  <c r="A1551" i="11"/>
  <c r="A1951" i="11"/>
  <c r="A2148" i="11"/>
  <c r="B1912" i="11"/>
  <c r="A1214" i="11"/>
  <c r="A1374" i="11"/>
  <c r="B1320" i="11"/>
  <c r="A1001" i="11"/>
  <c r="A1476" i="11"/>
  <c r="B1527" i="11"/>
  <c r="A1784" i="11"/>
  <c r="B1503" i="11"/>
  <c r="A573" i="11"/>
  <c r="A1022" i="11"/>
  <c r="B823" i="11"/>
  <c r="B1020" i="11"/>
  <c r="A1129" i="11"/>
  <c r="A1206" i="11"/>
  <c r="B124" i="11"/>
  <c r="B1470" i="11"/>
  <c r="B1712" i="11"/>
  <c r="B1761" i="11"/>
  <c r="B1078" i="11"/>
  <c r="B968" i="11"/>
  <c r="A656" i="11"/>
  <c r="A973" i="11"/>
  <c r="A1200" i="11"/>
  <c r="A1163" i="11"/>
  <c r="B634" i="11"/>
  <c r="B1574" i="11"/>
  <c r="B1307" i="11"/>
  <c r="B1515" i="11"/>
  <c r="B1329" i="11"/>
  <c r="B1230" i="11"/>
  <c r="A866" i="11"/>
  <c r="A1239" i="11"/>
  <c r="B864" i="11"/>
  <c r="B953" i="11"/>
  <c r="B1151" i="11"/>
  <c r="H19" i="11"/>
  <c r="A1949" i="11"/>
  <c r="A1454" i="11"/>
  <c r="A1496" i="11"/>
  <c r="A915" i="11"/>
  <c r="B812" i="11"/>
  <c r="B1211" i="11"/>
  <c r="A817" i="11"/>
  <c r="A1002" i="11"/>
  <c r="A2052" i="11"/>
  <c r="A1652" i="11"/>
  <c r="B1864" i="11"/>
  <c r="B1586" i="11"/>
  <c r="A621" i="11"/>
  <c r="B1077" i="11"/>
  <c r="B871" i="11"/>
  <c r="B1074" i="11"/>
  <c r="B1199" i="11"/>
  <c r="A1306" i="11"/>
  <c r="B172" i="11"/>
  <c r="B1099" i="11"/>
  <c r="A1804" i="11"/>
  <c r="B1844" i="11"/>
  <c r="A1143" i="11"/>
  <c r="B1016" i="11"/>
  <c r="A704" i="11"/>
  <c r="A1021" i="11"/>
  <c r="A1294" i="11"/>
  <c r="A1235" i="11"/>
  <c r="B2042" i="11"/>
  <c r="A1793" i="11"/>
  <c r="B1833" i="11"/>
  <c r="A1134" i="11"/>
  <c r="B1010" i="11"/>
  <c r="A698" i="11"/>
  <c r="A1015" i="11"/>
  <c r="A1276" i="11"/>
  <c r="A1227" i="11"/>
  <c r="B1166" i="11"/>
  <c r="B1271" i="11"/>
  <c r="B1474" i="11"/>
  <c r="B1533" i="11"/>
  <c r="B1186" i="11"/>
  <c r="A836" i="11"/>
  <c r="A1193" i="11"/>
  <c r="A1271" i="11"/>
  <c r="B1138" i="11"/>
  <c r="A90" i="11"/>
  <c r="D73" i="11"/>
  <c r="A833" i="11"/>
  <c r="A1043" i="11"/>
  <c r="A624" i="11"/>
  <c r="B511" i="11"/>
  <c r="A319" i="11"/>
  <c r="B814" i="11"/>
  <c r="B195" i="11"/>
  <c r="A752" i="11"/>
  <c r="A822" i="11"/>
  <c r="A406" i="11"/>
  <c r="B471" i="11"/>
  <c r="A249" i="11"/>
  <c r="B314" i="11"/>
  <c r="B108" i="11"/>
  <c r="A695" i="11"/>
  <c r="B462" i="11"/>
  <c r="B311" i="11"/>
  <c r="A1119" i="11"/>
  <c r="A1097" i="11"/>
  <c r="A713" i="11"/>
  <c r="A821" i="11"/>
  <c r="B532" i="11"/>
  <c r="A604" i="11"/>
  <c r="A386" i="11"/>
  <c r="B283" i="11"/>
  <c r="A803" i="11"/>
  <c r="B522" i="11"/>
  <c r="B714" i="11"/>
  <c r="A680" i="11"/>
  <c r="A786" i="11"/>
  <c r="A394" i="11"/>
  <c r="B459" i="11"/>
  <c r="A237" i="11"/>
  <c r="B302" i="11"/>
  <c r="B100" i="11"/>
  <c r="B680" i="11"/>
  <c r="B1963" i="11"/>
  <c r="A1605" i="11"/>
  <c r="B1411" i="11"/>
  <c r="B948" i="11"/>
  <c r="A1637" i="11"/>
  <c r="B1065" i="11"/>
  <c r="A1126" i="11"/>
  <c r="A1056" i="11"/>
  <c r="B1108" i="11"/>
  <c r="B1473" i="11"/>
  <c r="A1170" i="11"/>
  <c r="B944" i="11"/>
  <c r="A1649" i="11"/>
  <c r="A1156" i="11"/>
  <c r="B1085" i="11"/>
  <c r="D25" i="11"/>
  <c r="A701" i="11"/>
  <c r="A177" i="11"/>
  <c r="A669" i="11"/>
  <c r="A796" i="11"/>
  <c r="A235" i="11"/>
  <c r="B992" i="11"/>
  <c r="B611" i="11"/>
  <c r="A236" i="11"/>
  <c r="A229" i="11"/>
  <c r="A679" i="11"/>
  <c r="B1588" i="11"/>
  <c r="B1131" i="11"/>
  <c r="B298" i="11"/>
  <c r="A172" i="11"/>
  <c r="B237" i="11"/>
  <c r="A49" i="11"/>
  <c r="B783" i="11"/>
  <c r="B645" i="11"/>
  <c r="A439" i="11"/>
  <c r="B228" i="11"/>
  <c r="B1287" i="11"/>
  <c r="A1023" i="11"/>
  <c r="A1019" i="11"/>
  <c r="A691" i="11"/>
  <c r="A785" i="11"/>
  <c r="A513" i="11"/>
  <c r="A584" i="11"/>
  <c r="A368" i="11"/>
  <c r="B265" i="11"/>
  <c r="B767" i="11"/>
  <c r="B1299" i="11"/>
  <c r="A755" i="11"/>
  <c r="A376" i="11"/>
  <c r="B441" i="11"/>
  <c r="A219" i="11"/>
  <c r="B284" i="11"/>
  <c r="B1205" i="11"/>
  <c r="A659" i="11"/>
  <c r="B432" i="11"/>
  <c r="A1497" i="11"/>
  <c r="B1594" i="11"/>
  <c r="B118" i="11"/>
  <c r="D93" i="11"/>
  <c r="B910" i="11"/>
  <c r="D2" i="11"/>
  <c r="A660" i="11"/>
  <c r="A544" i="11"/>
  <c r="A349" i="11"/>
  <c r="A885" i="11"/>
  <c r="B1810" i="11"/>
  <c r="A670" i="11"/>
  <c r="A754" i="11"/>
  <c r="A495" i="11"/>
  <c r="B564" i="11"/>
  <c r="A350" i="11"/>
  <c r="B247" i="11"/>
  <c r="B776" i="11"/>
  <c r="A1152" i="11"/>
  <c r="A502" i="11"/>
  <c r="A572" i="11"/>
  <c r="A345" i="11"/>
  <c r="B410" i="11"/>
  <c r="A200" i="11"/>
  <c r="A857" i="11"/>
  <c r="B631" i="11"/>
  <c r="B756" i="11"/>
  <c r="B67" i="11"/>
  <c r="A180" i="11"/>
  <c r="A607" i="11"/>
  <c r="A522" i="11"/>
  <c r="B165" i="11"/>
  <c r="B254" i="11"/>
  <c r="B521" i="11"/>
  <c r="B624" i="11"/>
  <c r="B738" i="11"/>
  <c r="B62" i="11"/>
  <c r="B169" i="11"/>
  <c r="A568" i="11"/>
  <c r="A317" i="11"/>
  <c r="B138" i="11"/>
  <c r="A814" i="11"/>
  <c r="A1564" i="11"/>
  <c r="B235" i="11"/>
  <c r="A156" i="11"/>
  <c r="A88" i="11"/>
  <c r="B227" i="11"/>
  <c r="B737" i="11"/>
  <c r="B6" i="9"/>
  <c r="B580" i="11"/>
  <c r="B1324" i="11"/>
  <c r="B229" i="11"/>
  <c r="B146" i="11"/>
  <c r="A83" i="11"/>
  <c r="B203" i="11"/>
  <c r="B692" i="11"/>
  <c r="A485" i="11"/>
  <c r="A191" i="11"/>
  <c r="A411" i="11"/>
  <c r="B336" i="11"/>
  <c r="A258" i="11"/>
  <c r="B916" i="11"/>
  <c r="D54" i="11"/>
  <c r="B341" i="11"/>
  <c r="B417" i="11"/>
  <c r="B1253" i="11"/>
  <c r="A718" i="11"/>
  <c r="A542" i="11"/>
  <c r="B1161" i="11"/>
  <c r="B60" i="11"/>
  <c r="D58" i="11"/>
  <c r="B28" i="11"/>
  <c r="A339" i="11"/>
  <c r="A1765" i="11"/>
  <c r="A1443" i="11"/>
  <c r="B1319" i="11"/>
  <c r="B876" i="11"/>
  <c r="A1515" i="11"/>
  <c r="A989" i="11"/>
  <c r="B1034" i="11"/>
  <c r="B1759" i="11"/>
  <c r="B1021" i="11"/>
  <c r="B1389" i="11"/>
  <c r="A1072" i="11"/>
  <c r="B872" i="11"/>
  <c r="A1527" i="11"/>
  <c r="B1059" i="11"/>
  <c r="B1004" i="11"/>
  <c r="B1241" i="11"/>
  <c r="B614" i="11"/>
  <c r="A109" i="11"/>
  <c r="B998" i="11"/>
  <c r="B525" i="11"/>
  <c r="B694" i="11"/>
  <c r="B913" i="11"/>
  <c r="B387" i="11"/>
  <c r="A887" i="11"/>
  <c r="B981" i="11"/>
  <c r="B594" i="11"/>
  <c r="B1629" i="11"/>
  <c r="B822" i="11"/>
  <c r="B154" i="11"/>
  <c r="D105" i="11"/>
  <c r="B964" i="11"/>
  <c r="F9" i="11"/>
  <c r="A682" i="11"/>
  <c r="B563" i="11"/>
  <c r="A367" i="11"/>
  <c r="B939" i="11"/>
  <c r="A407" i="11"/>
  <c r="A591" i="11"/>
  <c r="B1144" i="11"/>
  <c r="B605" i="11"/>
  <c r="B683" i="11"/>
  <c r="A441" i="11"/>
  <c r="B506" i="11"/>
  <c r="A296" i="11"/>
  <c r="B193" i="11"/>
  <c r="B1661" i="11"/>
  <c r="B775" i="11"/>
  <c r="A580" i="11"/>
  <c r="A304" i="11"/>
  <c r="B369" i="11"/>
  <c r="A147" i="11"/>
  <c r="B212" i="11"/>
  <c r="B844" i="11"/>
  <c r="A576" i="11"/>
  <c r="B360" i="11"/>
  <c r="A1690" i="11"/>
  <c r="A966" i="11"/>
  <c r="A42" i="11"/>
  <c r="D45" i="11"/>
  <c r="B753" i="11"/>
  <c r="A892" i="11"/>
  <c r="A577" i="11"/>
  <c r="B469" i="11"/>
  <c r="A277" i="11"/>
  <c r="B1318" i="11"/>
  <c r="A1080" i="11"/>
  <c r="A586" i="11"/>
  <c r="B661" i="11"/>
  <c r="A423" i="11"/>
  <c r="B488" i="11"/>
  <c r="A278" i="11"/>
  <c r="B175" i="11"/>
  <c r="A896" i="11"/>
  <c r="B970" i="11"/>
  <c r="A430" i="11"/>
  <c r="B495" i="11"/>
  <c r="A273" i="11"/>
  <c r="B338" i="11"/>
  <c r="A128" i="11"/>
  <c r="B1094" i="11"/>
  <c r="B1422" i="11"/>
  <c r="B581" i="11"/>
  <c r="A11" i="11"/>
  <c r="B87" i="11"/>
  <c r="A222" i="11"/>
  <c r="A312" i="11"/>
  <c r="A802" i="11"/>
  <c r="A959" i="11"/>
  <c r="A2099" i="11"/>
  <c r="B1215" i="11"/>
  <c r="B568" i="11"/>
  <c r="A8" i="11"/>
  <c r="B82" i="11"/>
  <c r="B201" i="11"/>
  <c r="B185" i="11"/>
  <c r="B2" i="11"/>
  <c r="B693" i="11"/>
  <c r="B370" i="11"/>
  <c r="A630" i="11"/>
  <c r="B21" i="11"/>
  <c r="B24" i="11"/>
  <c r="D103" i="11"/>
  <c r="B293" i="11"/>
  <c r="A48" i="11"/>
  <c r="A179" i="11"/>
  <c r="B364" i="11"/>
  <c r="A623" i="11"/>
  <c r="A18" i="11"/>
  <c r="D20" i="11"/>
  <c r="B98" i="11"/>
  <c r="B269" i="11"/>
  <c r="B677" i="11"/>
  <c r="A246" i="11"/>
  <c r="A25" i="11"/>
  <c r="B1179" i="11"/>
  <c r="D111" i="11"/>
  <c r="A359" i="11"/>
  <c r="D3" i="11"/>
  <c r="A2158" i="11"/>
  <c r="B1111" i="11"/>
  <c r="B1659" i="11"/>
  <c r="B1037" i="11"/>
  <c r="A999" i="11"/>
  <c r="B553" i="11"/>
  <c r="A794" i="11"/>
  <c r="A1528" i="11"/>
  <c r="A745" i="11"/>
  <c r="A549" i="11"/>
  <c r="A106" i="11"/>
  <c r="A632" i="11"/>
  <c r="A1709" i="11"/>
  <c r="A1121" i="11"/>
  <c r="A764" i="11"/>
  <c r="A712" i="11"/>
  <c r="A1993" i="11"/>
  <c r="B242" i="11"/>
  <c r="B1234" i="11"/>
  <c r="B452" i="11"/>
  <c r="A608" i="11"/>
  <c r="A997" i="11"/>
  <c r="B315" i="11"/>
  <c r="A742" i="11"/>
  <c r="A791" i="11"/>
  <c r="A516" i="11"/>
  <c r="A1823" i="11"/>
  <c r="A1038" i="11"/>
  <c r="A54" i="11"/>
  <c r="D57" i="11"/>
  <c r="B784" i="11"/>
  <c r="A946" i="11"/>
  <c r="B596" i="11"/>
  <c r="B487" i="11"/>
  <c r="A295" i="11"/>
  <c r="A767" i="11"/>
  <c r="B155" i="11"/>
  <c r="B920" i="11"/>
  <c r="A1242" i="11"/>
  <c r="A527" i="11"/>
  <c r="B598" i="11"/>
  <c r="A369" i="11"/>
  <c r="B434" i="11"/>
  <c r="A224" i="11"/>
  <c r="B922" i="11"/>
  <c r="B1405" i="11"/>
  <c r="A859" i="11"/>
  <c r="B430" i="11"/>
  <c r="A232" i="11"/>
  <c r="B297" i="11"/>
  <c r="A89" i="11"/>
  <c r="B927" i="11"/>
  <c r="B717" i="11"/>
  <c r="A499" i="11"/>
  <c r="B288" i="11"/>
  <c r="B1556" i="11"/>
  <c r="B1155" i="11"/>
  <c r="B951" i="11"/>
  <c r="F7" i="11"/>
  <c r="A661" i="11"/>
  <c r="A743" i="11"/>
  <c r="A500" i="11"/>
  <c r="B397" i="11"/>
  <c r="A205" i="11"/>
  <c r="B782" i="11"/>
  <c r="A1162" i="11"/>
  <c r="A508" i="11"/>
  <c r="B578" i="11"/>
  <c r="A351" i="11"/>
  <c r="B416" i="11"/>
  <c r="A206" i="11"/>
  <c r="B873" i="11"/>
  <c r="B1157" i="11"/>
  <c r="B684" i="11"/>
  <c r="A358" i="11"/>
  <c r="B423" i="11"/>
  <c r="A201" i="11"/>
  <c r="B266" i="11"/>
  <c r="B1006" i="11"/>
  <c r="B1445" i="11"/>
  <c r="A410" i="11"/>
  <c r="A432" i="11"/>
  <c r="A587" i="11"/>
  <c r="F23" i="11"/>
  <c r="A103" i="11"/>
  <c r="A175" i="11"/>
  <c r="D15" i="11"/>
  <c r="B715" i="11"/>
  <c r="B1417" i="11"/>
  <c r="A404" i="11"/>
  <c r="A426" i="11"/>
  <c r="B547" i="11"/>
  <c r="A20" i="11"/>
  <c r="D96" i="11"/>
  <c r="A121" i="11"/>
  <c r="B147" i="11"/>
  <c r="H8" i="11"/>
  <c r="A655" i="11"/>
  <c r="A403" i="11"/>
  <c r="A371" i="11"/>
  <c r="B707" i="11"/>
  <c r="A39" i="11"/>
  <c r="B121" i="11"/>
  <c r="B90" i="11"/>
  <c r="A75" i="11"/>
  <c r="A648" i="11"/>
  <c r="A397" i="11"/>
  <c r="A335" i="11"/>
  <c r="B664" i="11"/>
  <c r="B33" i="11"/>
  <c r="D114" i="11"/>
  <c r="A475" i="11"/>
  <c r="A293" i="11"/>
  <c r="B476" i="11"/>
  <c r="A715" i="11"/>
  <c r="B46" i="11"/>
  <c r="B143" i="11"/>
  <c r="B455" i="11"/>
  <c r="D90" i="11"/>
  <c r="B163" i="11"/>
  <c r="A1544" i="11"/>
  <c r="B1755" i="11"/>
  <c r="A1535" i="11"/>
  <c r="B965" i="11"/>
  <c r="A927" i="11"/>
  <c r="B478" i="11"/>
  <c r="A722" i="11"/>
  <c r="A1284" i="11"/>
  <c r="A1335" i="11"/>
  <c r="B1416" i="11"/>
  <c r="A58" i="11"/>
  <c r="B1360" i="11"/>
  <c r="A1587" i="11"/>
  <c r="A1031" i="11"/>
  <c r="A692" i="11"/>
  <c r="A625" i="11"/>
  <c r="B1828" i="11"/>
  <c r="A1042" i="11"/>
  <c r="A1288" i="11"/>
  <c r="A696" i="11"/>
  <c r="B976" i="11"/>
  <c r="B1050" i="11"/>
  <c r="A526" i="11"/>
  <c r="B349" i="11"/>
  <c r="B687" i="11"/>
  <c r="A444" i="11"/>
  <c r="B1689" i="11"/>
  <c r="B1275" i="11"/>
  <c r="B1143" i="11"/>
  <c r="H14" i="11"/>
  <c r="A683" i="11"/>
  <c r="A772" i="11"/>
  <c r="A518" i="11"/>
  <c r="B415" i="11"/>
  <c r="A223" i="11"/>
  <c r="A672" i="11"/>
  <c r="D72" i="11"/>
  <c r="B1040" i="11"/>
  <c r="B1042" i="11"/>
  <c r="A454" i="11"/>
  <c r="A520" i="11"/>
  <c r="A297" i="11"/>
  <c r="B362" i="11"/>
  <c r="A152" i="11"/>
  <c r="B759" i="11"/>
  <c r="B1439" i="11"/>
  <c r="A1045" i="11"/>
  <c r="B286" i="11"/>
  <c r="A160" i="11"/>
  <c r="B225" i="11"/>
  <c r="A41" i="11"/>
  <c r="B760" i="11"/>
  <c r="B630" i="11"/>
  <c r="A427" i="11"/>
  <c r="B216" i="11"/>
  <c r="B1437" i="11"/>
  <c r="A1377" i="11"/>
  <c r="B773" i="11"/>
  <c r="A929" i="11"/>
  <c r="A578" i="11"/>
  <c r="B653" i="11"/>
  <c r="A428" i="11"/>
  <c r="B325" i="11"/>
  <c r="A904" i="11"/>
  <c r="A902" i="11"/>
  <c r="B994" i="11"/>
  <c r="A436" i="11"/>
  <c r="B501" i="11"/>
  <c r="A279" i="11"/>
  <c r="B344" i="11"/>
  <c r="A134" i="11"/>
  <c r="A1947" i="11"/>
  <c r="A1317" i="11"/>
  <c r="A521" i="11"/>
  <c r="A286" i="11"/>
  <c r="B351" i="11"/>
  <c r="A129" i="11"/>
  <c r="B194" i="11"/>
  <c r="A804" i="11"/>
  <c r="A1185" i="11"/>
  <c r="A792" i="11"/>
  <c r="B1305" i="11"/>
  <c r="B209" i="11"/>
  <c r="B700" i="11"/>
  <c r="B38" i="11"/>
  <c r="B120" i="11"/>
  <c r="A730" i="11"/>
  <c r="A468" i="11"/>
  <c r="A1175" i="11"/>
  <c r="A780" i="11"/>
  <c r="A953" i="11"/>
  <c r="A192" i="11"/>
  <c r="B657" i="11"/>
  <c r="B32" i="11"/>
  <c r="B84" i="11"/>
  <c r="B6" i="11"/>
  <c r="B995" i="11"/>
  <c r="A208" i="11"/>
  <c r="A1347" i="11"/>
  <c r="B119" i="11"/>
  <c r="A281" i="11"/>
  <c r="B898" i="11"/>
  <c r="B53" i="11"/>
  <c r="B158" i="11"/>
  <c r="B114" i="11"/>
  <c r="A202" i="11"/>
  <c r="B1187" i="11"/>
  <c r="A112" i="11"/>
  <c r="A257" i="11"/>
  <c r="B813" i="11"/>
  <c r="B7" i="9"/>
  <c r="A68" i="11"/>
  <c r="B1265" i="11"/>
  <c r="A725" i="11"/>
  <c r="B548" i="11"/>
  <c r="B2" i="9"/>
  <c r="B66" i="11"/>
  <c r="A1106" i="11"/>
  <c r="A1875" i="11"/>
  <c r="B1415" i="11"/>
  <c r="B1103" i="11"/>
  <c r="B896" i="11"/>
  <c r="A1421" i="11"/>
  <c r="A1132" i="11"/>
  <c r="A1373" i="11"/>
  <c r="A930" i="11"/>
  <c r="A998" i="11"/>
  <c r="A1315" i="11"/>
  <c r="A949" i="11"/>
  <c r="B1041" i="11"/>
  <c r="A1058" i="11"/>
  <c r="B1091" i="11"/>
  <c r="A820" i="11"/>
  <c r="B985" i="11"/>
  <c r="A923" i="11"/>
  <c r="B626" i="11"/>
  <c r="B531" i="11"/>
  <c r="B686" i="11"/>
  <c r="A1270" i="11"/>
  <c r="A381" i="11"/>
  <c r="B277" i="11"/>
  <c r="B601" i="11"/>
  <c r="A372" i="11"/>
  <c r="A1545" i="11"/>
  <c r="B911" i="11"/>
  <c r="B809" i="11"/>
  <c r="B993" i="11"/>
  <c r="A598" i="11"/>
  <c r="B675" i="11"/>
  <c r="A446" i="11"/>
  <c r="B343" i="11"/>
  <c r="A958" i="11"/>
  <c r="A588" i="11"/>
  <c r="B14" i="11"/>
  <c r="B2084" i="11"/>
  <c r="B765" i="11"/>
  <c r="A382" i="11"/>
  <c r="B447" i="11"/>
  <c r="A225" i="11"/>
  <c r="B290" i="11"/>
  <c r="A1395" i="11"/>
  <c r="A666" i="11"/>
  <c r="A1505" i="11"/>
  <c r="A1719" i="11"/>
  <c r="B142" i="11"/>
  <c r="D97" i="11"/>
  <c r="B928" i="11"/>
  <c r="H4" i="11"/>
  <c r="A667" i="11"/>
  <c r="B550" i="11"/>
  <c r="A355" i="11"/>
  <c r="B903" i="11"/>
  <c r="A951" i="11"/>
  <c r="A977" i="11"/>
  <c r="A677" i="11"/>
  <c r="A762" i="11"/>
  <c r="A501" i="11"/>
  <c r="A571" i="11"/>
  <c r="A356" i="11"/>
  <c r="B253" i="11"/>
  <c r="A749" i="11"/>
  <c r="B1167" i="11"/>
  <c r="B691" i="11"/>
  <c r="A364" i="11"/>
  <c r="B429" i="11"/>
  <c r="A207" i="11"/>
  <c r="B272" i="11"/>
  <c r="B1036" i="11"/>
  <c r="A1694" i="11"/>
  <c r="A781" i="11"/>
  <c r="B376" i="11"/>
  <c r="A214" i="11"/>
  <c r="B279" i="11"/>
  <c r="A77" i="11"/>
  <c r="B874" i="11"/>
  <c r="B695" i="11"/>
  <c r="A1199" i="11"/>
  <c r="B307" i="11"/>
  <c r="A174" i="11"/>
  <c r="B99" i="11"/>
  <c r="B275" i="11"/>
  <c r="A881" i="11"/>
  <c r="D47" i="11"/>
  <c r="A1059" i="11"/>
  <c r="D56" i="11"/>
  <c r="A1145" i="11"/>
  <c r="B301" i="11"/>
  <c r="B164" i="11"/>
  <c r="B93" i="11"/>
  <c r="B251" i="11"/>
  <c r="B801" i="11"/>
  <c r="D18" i="11"/>
  <c r="B176" i="11"/>
  <c r="B826" i="11"/>
  <c r="A736" i="11"/>
  <c r="B651" i="11"/>
  <c r="D40" i="11"/>
  <c r="D116" i="11"/>
  <c r="A353" i="11"/>
  <c r="F2" i="11"/>
  <c r="B600" i="11"/>
  <c r="A1061" i="11"/>
  <c r="B726" i="11"/>
  <c r="B643" i="11"/>
  <c r="D35" i="11"/>
  <c r="A111" i="11"/>
  <c r="A323" i="11"/>
  <c r="A341" i="11"/>
  <c r="B78" i="11"/>
  <c r="B1176" i="11"/>
  <c r="A266" i="11"/>
  <c r="A408" i="11"/>
  <c r="A437" i="11"/>
  <c r="D10" i="11"/>
  <c r="B80" i="11"/>
  <c r="F21" i="11"/>
  <c r="A133" i="11"/>
  <c r="B1970" i="11"/>
  <c r="B1337" i="11"/>
  <c r="B1341" i="11"/>
  <c r="B1940" i="11"/>
  <c r="B824" i="11"/>
  <c r="B1315" i="11"/>
  <c r="A1039" i="11"/>
  <c r="A1301" i="11"/>
  <c r="A858" i="11"/>
  <c r="A926" i="11"/>
  <c r="A1592" i="11"/>
  <c r="A877" i="11"/>
  <c r="A969" i="11"/>
  <c r="A1850" i="11"/>
  <c r="A1009" i="11"/>
  <c r="B703" i="11"/>
  <c r="A1075" i="11"/>
  <c r="A760" i="11"/>
  <c r="B546" i="11"/>
  <c r="A314" i="11"/>
  <c r="A450" i="11"/>
  <c r="B599" i="11"/>
  <c r="A165" i="11"/>
  <c r="B958" i="11"/>
  <c r="A523" i="11"/>
  <c r="B678" i="11"/>
  <c r="A1029" i="11"/>
  <c r="A1025" i="11"/>
  <c r="B698" i="11"/>
  <c r="A797" i="11"/>
  <c r="B519" i="11"/>
  <c r="B590" i="11"/>
  <c r="A374" i="11"/>
  <c r="B271" i="11"/>
  <c r="A779" i="11"/>
  <c r="A510" i="11"/>
  <c r="A1692" i="11"/>
  <c r="B841" i="11"/>
  <c r="B586" i="11"/>
  <c r="A310" i="11"/>
  <c r="B375" i="11"/>
  <c r="A153" i="11"/>
  <c r="B218" i="11"/>
  <c r="B857" i="11"/>
  <c r="B582" i="11"/>
  <c r="A1701" i="11"/>
  <c r="A972" i="11"/>
  <c r="A46" i="11"/>
  <c r="D49" i="11"/>
  <c r="B761" i="11"/>
  <c r="A910" i="11"/>
  <c r="B583" i="11"/>
  <c r="B475" i="11"/>
  <c r="A283" i="11"/>
  <c r="B748" i="11"/>
  <c r="A519" i="11"/>
  <c r="A1128" i="11"/>
  <c r="B592" i="11"/>
  <c r="B669" i="11"/>
  <c r="A429" i="11"/>
  <c r="B494" i="11"/>
  <c r="A284" i="11"/>
  <c r="B181" i="11"/>
  <c r="A2019" i="11"/>
  <c r="A1336" i="11"/>
  <c r="B527" i="11"/>
  <c r="A292" i="11"/>
  <c r="B357" i="11"/>
  <c r="A135" i="11"/>
  <c r="B200" i="11"/>
  <c r="A816" i="11"/>
  <c r="B1343" i="11"/>
  <c r="B972" i="11"/>
  <c r="B232" i="11"/>
  <c r="A142" i="11"/>
  <c r="B207" i="11"/>
  <c r="A29" i="11"/>
  <c r="B732" i="11"/>
  <c r="B609" i="11"/>
  <c r="B514" i="11"/>
  <c r="B644" i="11"/>
  <c r="A31" i="11"/>
  <c r="B1302" i="11"/>
  <c r="B1482" i="11"/>
  <c r="A1769" i="11"/>
  <c r="A74" i="11"/>
  <c r="A1503" i="11"/>
  <c r="B2072" i="11"/>
  <c r="B792" i="11"/>
  <c r="A2032" i="11"/>
  <c r="B1949" i="11"/>
  <c r="B799" i="11"/>
  <c r="A1660" i="11"/>
  <c r="A1164" i="11"/>
  <c r="B938" i="11"/>
  <c r="B1964" i="11"/>
  <c r="A1979" i="11"/>
  <c r="B544" i="11"/>
  <c r="B619" i="11"/>
  <c r="B608" i="11"/>
  <c r="F19" i="11"/>
  <c r="A242" i="11"/>
  <c r="A378" i="11"/>
  <c r="B448" i="11"/>
  <c r="A101" i="11"/>
  <c r="B779" i="11"/>
  <c r="B450" i="11"/>
  <c r="B263" i="11"/>
  <c r="A597" i="11"/>
  <c r="B1162" i="11"/>
  <c r="A612" i="11"/>
  <c r="B690" i="11"/>
  <c r="A447" i="11"/>
  <c r="B512" i="11"/>
  <c r="A302" i="11"/>
  <c r="B199" i="11"/>
  <c r="B679" i="11"/>
  <c r="A438" i="11"/>
  <c r="A1171" i="11"/>
  <c r="A925" i="11"/>
  <c r="B436" i="11"/>
  <c r="A238" i="11"/>
  <c r="B303" i="11"/>
  <c r="A93" i="11"/>
  <c r="B945" i="11"/>
  <c r="B724" i="11"/>
  <c r="A505" i="11"/>
  <c r="A1565" i="11"/>
  <c r="B1163" i="11"/>
  <c r="A970" i="11"/>
  <c r="A10" i="11"/>
  <c r="B668" i="11"/>
  <c r="B751" i="11"/>
  <c r="A506" i="11"/>
  <c r="B403" i="11"/>
  <c r="A211" i="11"/>
  <c r="A658" i="11"/>
  <c r="B848" i="11"/>
  <c r="A1180" i="11"/>
  <c r="A514" i="11"/>
  <c r="B585" i="11"/>
  <c r="A357" i="11"/>
  <c r="B422" i="11"/>
  <c r="A212" i="11"/>
  <c r="B886" i="11"/>
  <c r="A1733" i="11"/>
  <c r="A787" i="11"/>
  <c r="B382" i="11"/>
  <c r="A220" i="11"/>
  <c r="B285" i="11"/>
  <c r="A81" i="11"/>
  <c r="B891" i="11"/>
  <c r="B702" i="11"/>
  <c r="B1410" i="11"/>
  <c r="A1246" i="11"/>
  <c r="A102" i="11"/>
  <c r="D85" i="11"/>
  <c r="B875" i="11"/>
  <c r="A1451" i="11"/>
  <c r="A646" i="11"/>
  <c r="B530" i="11"/>
  <c r="B744" i="11"/>
  <c r="A415" i="11"/>
  <c r="B593" i="11"/>
  <c r="A826" i="11"/>
  <c r="B49" i="11"/>
  <c r="B139" i="11"/>
  <c r="B975" i="11"/>
  <c r="A671" i="11"/>
  <c r="B105" i="11"/>
  <c r="B736" i="11"/>
  <c r="A409" i="11"/>
  <c r="A443" i="11"/>
  <c r="A756" i="11"/>
  <c r="A44" i="11"/>
  <c r="B131" i="11"/>
  <c r="B561" i="11"/>
  <c r="F18" i="11"/>
  <c r="B92" i="11"/>
  <c r="A483" i="11"/>
  <c r="B348" i="11"/>
  <c r="A306" i="11"/>
  <c r="B15" i="9"/>
  <c r="D64" i="11"/>
  <c r="B868" i="11"/>
  <c r="B74" i="11"/>
  <c r="A917" i="11"/>
  <c r="A477" i="11"/>
  <c r="B342" i="11"/>
  <c r="A282" i="11"/>
  <c r="A1063" i="11"/>
  <c r="D59" i="11"/>
  <c r="B606" i="11"/>
  <c r="B323" i="11"/>
  <c r="A1802" i="11"/>
  <c r="B1197" i="11"/>
  <c r="D100" i="11"/>
  <c r="B77" i="11"/>
  <c r="B189" i="11"/>
  <c r="A649" i="11"/>
  <c r="A685" i="11"/>
  <c r="B413" i="11"/>
  <c r="A130" i="11"/>
  <c r="B869" i="11"/>
  <c r="A100" i="11"/>
  <c r="A209" i="11"/>
  <c r="A275" i="11"/>
  <c r="A189" i="11"/>
  <c r="A1144" i="11"/>
  <c r="B1939" i="11"/>
  <c r="B1534" i="11"/>
  <c r="A1251" i="11"/>
  <c r="A26" i="11"/>
  <c r="B1229" i="11"/>
  <c r="B1845" i="11"/>
  <c r="B1354" i="11"/>
  <c r="A1844" i="11"/>
  <c r="B2037" i="11"/>
  <c r="A1438" i="11"/>
  <c r="A1538" i="11"/>
  <c r="B1066" i="11"/>
  <c r="B866" i="11"/>
  <c r="B1784" i="11"/>
  <c r="B1791" i="11"/>
  <c r="A470" i="11"/>
  <c r="B466" i="11"/>
  <c r="A530" i="11"/>
  <c r="B705" i="11"/>
  <c r="B576" i="11"/>
  <c r="A479" i="11"/>
  <c r="A706" i="11"/>
  <c r="B597" i="11"/>
  <c r="B595" i="11"/>
  <c r="B378" i="11"/>
  <c r="D112" i="11"/>
  <c r="B926" i="11"/>
  <c r="B1252" i="11"/>
  <c r="B533" i="11"/>
  <c r="A605" i="11"/>
  <c r="A375" i="11"/>
  <c r="B440" i="11"/>
  <c r="A230" i="11"/>
  <c r="B940" i="11"/>
  <c r="A595" i="11"/>
  <c r="A366" i="11"/>
  <c r="A1580" i="11"/>
  <c r="A1053" i="11"/>
  <c r="B292" i="11"/>
  <c r="A166" i="11"/>
  <c r="B231" i="11"/>
  <c r="A45" i="11"/>
  <c r="B771" i="11"/>
  <c r="B637" i="11"/>
  <c r="A433" i="11"/>
  <c r="B1444" i="11"/>
  <c r="A1401" i="11"/>
  <c r="B785" i="11"/>
  <c r="A947" i="11"/>
  <c r="B584" i="11"/>
  <c r="B660" i="11"/>
  <c r="A434" i="11"/>
  <c r="B331" i="11"/>
  <c r="A922" i="11"/>
  <c r="A575" i="11"/>
  <c r="A968" i="11"/>
  <c r="A1057" i="11"/>
  <c r="A442" i="11"/>
  <c r="B507" i="11"/>
  <c r="A285" i="11"/>
  <c r="B350" i="11"/>
  <c r="A140" i="11"/>
  <c r="B741" i="11"/>
  <c r="B1349" i="11"/>
  <c r="B978" i="11"/>
  <c r="B238" i="11"/>
  <c r="A148" i="11"/>
  <c r="B213" i="11"/>
  <c r="A33" i="11"/>
  <c r="B742" i="11"/>
  <c r="B616" i="11"/>
  <c r="A1568" i="11"/>
  <c r="A900" i="11"/>
  <c r="F22" i="11"/>
  <c r="D37" i="11"/>
  <c r="B735" i="11"/>
  <c r="A862" i="11"/>
  <c r="A564" i="11"/>
  <c r="B457" i="11"/>
  <c r="A280" i="11"/>
  <c r="A199" i="11"/>
  <c r="B137" i="11"/>
  <c r="A329" i="11"/>
  <c r="B11" i="9"/>
  <c r="A64" i="11"/>
  <c r="A642" i="11"/>
  <c r="A204" i="11"/>
  <c r="F10" i="11"/>
  <c r="A274" i="11"/>
  <c r="A193" i="11"/>
  <c r="B127" i="11"/>
  <c r="A305" i="11"/>
  <c r="B1023" i="11"/>
  <c r="A59" i="11"/>
  <c r="A131" i="11"/>
  <c r="A167" i="11"/>
  <c r="B1848" i="11"/>
  <c r="A1111" i="11"/>
  <c r="A950" i="11"/>
  <c r="B1838" i="11"/>
  <c r="A901" i="11"/>
  <c r="A2087" i="11"/>
  <c r="B1994" i="11"/>
  <c r="A843" i="11"/>
  <c r="B1475" i="11"/>
  <c r="B996" i="11"/>
  <c r="A1720" i="11"/>
  <c r="B1128" i="11"/>
  <c r="A626" i="11"/>
  <c r="A1997" i="11"/>
  <c r="A828" i="11"/>
  <c r="B439" i="11"/>
  <c r="A334" i="11"/>
  <c r="B390" i="11"/>
  <c r="B618" i="11"/>
  <c r="B427" i="11"/>
  <c r="D83" i="11"/>
  <c r="A540" i="11"/>
  <c r="B446" i="11"/>
  <c r="A517" i="11"/>
  <c r="B306" i="11"/>
  <c r="A47" i="11"/>
  <c r="B1047" i="11"/>
  <c r="B1049" i="11"/>
  <c r="A460" i="11"/>
  <c r="B526" i="11"/>
  <c r="A303" i="11"/>
  <c r="B368" i="11"/>
  <c r="A158" i="11"/>
  <c r="A768" i="11"/>
  <c r="B516" i="11"/>
  <c r="B635" i="11"/>
  <c r="B1618" i="11"/>
  <c r="A1841" i="11"/>
  <c r="B148" i="11"/>
  <c r="D101" i="11"/>
  <c r="B946" i="11"/>
  <c r="B7" i="11"/>
  <c r="B674" i="11"/>
  <c r="A557" i="11"/>
  <c r="A361" i="11"/>
  <c r="A957" i="11"/>
  <c r="A1013" i="11"/>
  <c r="A684" i="11"/>
  <c r="A773" i="11"/>
  <c r="A507" i="11"/>
  <c r="B577" i="11"/>
  <c r="A362" i="11"/>
  <c r="B259" i="11"/>
  <c r="B757" i="11"/>
  <c r="A498" i="11"/>
  <c r="B1281" i="11"/>
  <c r="B706" i="11"/>
  <c r="A370" i="11"/>
  <c r="B435" i="11"/>
  <c r="A213" i="11"/>
  <c r="B278" i="11"/>
  <c r="A1103" i="11"/>
  <c r="A652" i="11"/>
  <c r="A1418" i="11"/>
  <c r="A1258" i="11"/>
  <c r="A110" i="11"/>
  <c r="D89" i="11"/>
  <c r="B892" i="11"/>
  <c r="B10" i="9"/>
  <c r="A653" i="11"/>
  <c r="B537" i="11"/>
  <c r="A2140" i="11"/>
  <c r="A1066" i="11"/>
  <c r="B915" i="11"/>
  <c r="H2" i="11"/>
  <c r="A647" i="11"/>
  <c r="B725" i="11"/>
  <c r="A488" i="11"/>
  <c r="B385" i="11"/>
  <c r="B879" i="11"/>
  <c r="B672" i="11"/>
  <c r="D51" i="11"/>
  <c r="B134" i="11"/>
  <c r="A425" i="11"/>
  <c r="A9" i="11"/>
  <c r="B75" i="11"/>
  <c r="A497" i="11"/>
  <c r="B299" i="11"/>
  <c r="A863" i="11"/>
  <c r="B658" i="11"/>
  <c r="D46" i="11"/>
  <c r="A126" i="11"/>
  <c r="A389" i="11"/>
  <c r="A6" i="11"/>
  <c r="D52" i="11"/>
  <c r="B897" i="11"/>
  <c r="D79" i="11"/>
  <c r="B551" i="11"/>
  <c r="B730" i="11"/>
  <c r="B56" i="11"/>
  <c r="B161" i="11"/>
  <c r="B528" i="11"/>
  <c r="A186" i="11"/>
  <c r="B156" i="11"/>
  <c r="F11" i="11"/>
  <c r="A545" i="11"/>
  <c r="B722" i="11"/>
  <c r="B51" i="11"/>
  <c r="B151" i="11"/>
  <c r="B491" i="11"/>
  <c r="B63" i="11"/>
  <c r="B789" i="11"/>
  <c r="B572" i="11"/>
  <c r="A343" i="11"/>
  <c r="A311" i="11"/>
  <c r="B621" i="11"/>
  <c r="A28" i="11"/>
  <c r="A1650" i="11"/>
  <c r="B490" i="11"/>
  <c r="A878" i="11"/>
  <c r="A2129" i="11"/>
  <c r="A829" i="11"/>
  <c r="A1876" i="11"/>
  <c r="A1275" i="11"/>
  <c r="A771" i="11"/>
  <c r="B1379" i="11"/>
  <c r="B924" i="11"/>
  <c r="A1598" i="11"/>
  <c r="A1037" i="11"/>
  <c r="B1336" i="11"/>
  <c r="B1822" i="11"/>
  <c r="B989" i="11"/>
  <c r="B367" i="11"/>
  <c r="A262" i="11"/>
  <c r="B318" i="11"/>
  <c r="A697" i="11"/>
  <c r="B211" i="11"/>
  <c r="B1890" i="11"/>
  <c r="A322" i="11"/>
  <c r="B230" i="11"/>
  <c r="A445" i="11"/>
  <c r="B234" i="11"/>
  <c r="B4" i="9"/>
  <c r="A614" i="11"/>
  <c r="A774" i="11"/>
  <c r="A388" i="11"/>
  <c r="B453" i="11"/>
  <c r="A231" i="11"/>
  <c r="B296" i="11"/>
  <c r="B96" i="11"/>
  <c r="A673" i="11"/>
  <c r="B444" i="11"/>
  <c r="B239" i="11"/>
  <c r="B1814" i="11"/>
  <c r="A978" i="11"/>
  <c r="A50" i="11"/>
  <c r="D53" i="11"/>
  <c r="B772" i="11"/>
  <c r="A928" i="11"/>
  <c r="A590" i="11"/>
  <c r="B481" i="11"/>
  <c r="A289" i="11"/>
  <c r="A525" i="11"/>
  <c r="A1137" i="11"/>
  <c r="A599" i="11"/>
  <c r="B676" i="11"/>
  <c r="A435" i="11"/>
  <c r="B500" i="11"/>
  <c r="A290" i="11"/>
  <c r="B187" i="11"/>
  <c r="B665" i="11"/>
  <c r="B1589" i="11"/>
  <c r="B769" i="11"/>
  <c r="B540" i="11"/>
  <c r="A298" i="11"/>
  <c r="B363" i="11"/>
  <c r="A141" i="11"/>
  <c r="B206" i="11"/>
  <c r="B831" i="11"/>
  <c r="B569" i="11"/>
  <c r="B1576" i="11"/>
  <c r="A906" i="11"/>
  <c r="A38" i="11"/>
  <c r="D41" i="11"/>
  <c r="B743" i="11"/>
  <c r="A875" i="11"/>
  <c r="B570" i="11"/>
  <c r="B463" i="11"/>
  <c r="B1359" i="11"/>
  <c r="A1209" i="11"/>
  <c r="B754" i="11"/>
  <c r="A893" i="11"/>
  <c r="A565" i="11"/>
  <c r="B639" i="11"/>
  <c r="A416" i="11"/>
  <c r="B313" i="11"/>
  <c r="B345" i="11"/>
  <c r="B510" i="11"/>
  <c r="B1169" i="11"/>
  <c r="D60" i="11"/>
  <c r="B159" i="11"/>
  <c r="H11" i="11"/>
  <c r="A198" i="11"/>
  <c r="B157" i="11"/>
  <c r="F3" i="11"/>
  <c r="B339" i="11"/>
  <c r="B498" i="11"/>
  <c r="A935" i="11"/>
  <c r="D55" i="11"/>
  <c r="B150" i="11"/>
  <c r="D107" i="11"/>
  <c r="B419" i="11"/>
  <c r="B982" i="11"/>
  <c r="B1404" i="11"/>
  <c r="B861" i="11"/>
  <c r="A562" i="11"/>
  <c r="D4" i="11"/>
  <c r="B76" i="11"/>
  <c r="A187" i="11"/>
  <c r="B129" i="11"/>
  <c r="B12" i="9"/>
  <c r="A1380" i="11"/>
  <c r="A845" i="11"/>
  <c r="B555" i="11"/>
  <c r="B17" i="9"/>
  <c r="B2045" i="11"/>
  <c r="A838" i="11"/>
  <c r="A943" i="11"/>
  <c r="A459" i="11"/>
  <c r="B957" i="11"/>
  <c r="A159" i="11"/>
  <c r="B1678" i="11"/>
  <c r="A512" i="11"/>
  <c r="A592" i="11"/>
  <c r="B1392" i="11"/>
  <c r="B909" i="11"/>
  <c r="B5" i="11"/>
  <c r="B1688" i="11"/>
  <c r="B241" i="11"/>
  <c r="D75" i="11"/>
  <c r="D108" i="11"/>
  <c r="A4" i="11"/>
  <c r="A197" i="11"/>
  <c r="A420" i="11"/>
  <c r="B91" i="11"/>
  <c r="A807" i="11"/>
  <c r="A473" i="11"/>
  <c r="D21" i="11"/>
  <c r="A136" i="11"/>
  <c r="B671" i="11"/>
  <c r="H18" i="11"/>
  <c r="A203" i="11"/>
  <c r="B1677" i="11"/>
  <c r="A337" i="11"/>
  <c r="B628" i="11"/>
  <c r="A324" i="11"/>
  <c r="D32" i="11"/>
  <c r="A1343" i="11"/>
  <c r="A524" i="11"/>
  <c r="B443" i="11"/>
  <c r="B144" i="11"/>
  <c r="B461" i="11"/>
  <c r="H12" i="11"/>
  <c r="B685" i="11"/>
  <c r="A678" i="11"/>
  <c r="A748" i="11"/>
  <c r="D77" i="11"/>
  <c r="B843" i="11"/>
  <c r="D88" i="11"/>
  <c r="B180" i="11"/>
  <c r="A613" i="11"/>
  <c r="A221" i="11"/>
  <c r="D68" i="11"/>
  <c r="D17" i="11"/>
  <c r="A487" i="11"/>
  <c r="B777" i="11"/>
  <c r="B4" i="11"/>
  <c r="A71" i="11"/>
  <c r="F17" i="11"/>
  <c r="A824" i="11"/>
  <c r="B116" i="11"/>
  <c r="A348" i="11"/>
  <c r="B281" i="11"/>
  <c r="A899" i="11"/>
  <c r="B54" i="11"/>
  <c r="F13" i="11"/>
  <c r="F6" i="11"/>
  <c r="A143" i="11"/>
  <c r="B485" i="11"/>
  <c r="B881" i="11"/>
  <c r="B20" i="11"/>
  <c r="H9" i="11"/>
  <c r="A19" i="11"/>
  <c r="B520" i="11"/>
  <c r="A137" i="11"/>
  <c r="D106" i="11"/>
  <c r="B999" i="11"/>
  <c r="B233" i="11"/>
  <c r="D98" i="11"/>
  <c r="F20" i="11"/>
  <c r="A301" i="11"/>
  <c r="B168" i="11"/>
  <c r="A365" i="11"/>
  <c r="A952" i="11"/>
  <c r="B257" i="11"/>
  <c r="B2133" i="11"/>
  <c r="B713" i="11"/>
  <c r="A871" i="11"/>
  <c r="A387" i="11"/>
  <c r="B778" i="11"/>
  <c r="A97" i="11"/>
  <c r="A1534" i="11"/>
  <c r="A440" i="11"/>
  <c r="B513" i="11"/>
  <c r="B1432" i="11"/>
  <c r="B750" i="11"/>
  <c r="A911" i="11"/>
  <c r="A1065" i="11"/>
  <c r="A1371" i="11"/>
  <c r="A16" i="11"/>
  <c r="B149" i="11"/>
  <c r="A467" i="11"/>
  <c r="B111" i="11"/>
  <c r="A594" i="11"/>
  <c r="B27" i="11"/>
  <c r="B1605" i="11"/>
  <c r="B171" i="11"/>
  <c r="B26" i="11"/>
  <c r="B647" i="11"/>
  <c r="B162" i="11"/>
  <c r="B245" i="11"/>
  <c r="B729" i="11"/>
  <c r="B220" i="11"/>
  <c r="B629" i="11"/>
  <c r="A234" i="11"/>
  <c r="B133" i="11"/>
  <c r="A1942" i="11"/>
  <c r="B1760" i="11"/>
  <c r="A844" i="11"/>
  <c r="B89" i="11"/>
  <c r="A67" i="11"/>
  <c r="A169" i="11"/>
  <c r="B567" i="11"/>
  <c r="A264" i="11"/>
  <c r="B45" i="11"/>
  <c r="A55" i="11"/>
  <c r="A559" i="11"/>
  <c r="B575" i="11"/>
  <c r="B11" i="11"/>
  <c r="D87" i="11"/>
  <c r="A227" i="11"/>
  <c r="D95" i="11"/>
  <c r="B47" i="11"/>
  <c r="A424" i="11"/>
  <c r="A271" i="11"/>
  <c r="A215" i="11"/>
  <c r="B467" i="11"/>
  <c r="B13" i="11"/>
  <c r="B1071" i="11"/>
  <c r="A834" i="11"/>
  <c r="B445" i="11"/>
  <c r="B215" i="11"/>
  <c r="B117" i="11"/>
  <c r="B353" i="11"/>
  <c r="B3" i="11"/>
  <c r="A270" i="11"/>
  <c r="A491" i="11"/>
  <c r="A276" i="11"/>
  <c r="A726" i="11"/>
  <c r="A149" i="11"/>
  <c r="B431" i="11"/>
  <c r="D91" i="11"/>
  <c r="A761" i="11"/>
  <c r="B492" i="11"/>
  <c r="B1168" i="11"/>
  <c r="A352" i="11"/>
  <c r="B851" i="11"/>
  <c r="B389" i="11"/>
  <c r="B18" i="9"/>
  <c r="B1491" i="11"/>
  <c r="A168" i="11"/>
  <c r="A325" i="11"/>
  <c r="B39" i="11"/>
  <c r="B2038" i="11"/>
  <c r="B740" i="11"/>
  <c r="A1233" i="11"/>
  <c r="A982" i="11"/>
  <c r="A1764" i="11"/>
  <c r="B224" i="11"/>
  <c r="B1173" i="11"/>
  <c r="B409" i="11"/>
  <c r="A363" i="11"/>
  <c r="A853" i="11"/>
  <c r="B709" i="11"/>
  <c r="A654" i="11"/>
  <c r="B662" i="11"/>
  <c r="B558" i="11"/>
  <c r="A347" i="11"/>
  <c r="B508" i="11"/>
  <c r="B110" i="11"/>
  <c r="A14" i="11"/>
  <c r="A839" i="11"/>
  <c r="B42" i="11"/>
  <c r="B267" i="11"/>
  <c r="D44" i="11"/>
  <c r="A318" i="11"/>
  <c r="B1544" i="11"/>
  <c r="A17" i="11"/>
  <c r="A108" i="11"/>
  <c r="A556" i="11"/>
  <c r="A566" i="11"/>
  <c r="B474" i="11"/>
  <c r="B106" i="11"/>
  <c r="H6" i="11"/>
  <c r="B264" i="11"/>
  <c r="A1236" i="11"/>
  <c r="A550" i="11"/>
  <c r="B952" i="11"/>
  <c r="H10" i="11"/>
  <c r="B81" i="11"/>
  <c r="B198" i="11"/>
  <c r="A27" i="11"/>
  <c r="A60" i="11"/>
  <c r="B649" i="11"/>
  <c r="B849" i="11"/>
  <c r="B426" i="11"/>
  <c r="A548" i="11"/>
  <c r="A24" i="11"/>
  <c r="B103" i="11"/>
  <c r="B59" i="11"/>
  <c r="A346" i="11"/>
  <c r="D33" i="11"/>
  <c r="B739" i="11"/>
  <c r="D78" i="11"/>
  <c r="B170" i="11"/>
  <c r="A574" i="11"/>
  <c r="B34" i="11"/>
  <c r="A934" i="11"/>
  <c r="A724" i="11"/>
  <c r="B73" i="11"/>
  <c r="A51" i="11"/>
  <c r="A455" i="11"/>
  <c r="D36" i="11"/>
  <c r="B420" i="11"/>
  <c r="A418" i="11"/>
  <c r="A80" i="11"/>
  <c r="B128" i="11"/>
  <c r="H15" i="11"/>
  <c r="B126" i="11"/>
  <c r="B504" i="11"/>
  <c r="B1300" i="11"/>
  <c r="B72" i="11"/>
  <c r="A23" i="11"/>
  <c r="F24" i="11"/>
  <c r="A396" i="11"/>
  <c r="B70" i="11"/>
  <c r="A239" i="11"/>
  <c r="B731" i="11"/>
  <c r="B1460" i="11"/>
  <c r="A1821" i="11"/>
  <c r="A1341" i="11"/>
  <c r="B1126" i="11"/>
  <c r="A379" i="11"/>
  <c r="A1183" i="11"/>
  <c r="B963" i="11"/>
  <c r="A1430" i="11"/>
  <c r="B337" i="11"/>
  <c r="A291" i="11"/>
  <c r="B1038" i="11"/>
  <c r="B623" i="11"/>
  <c r="B571" i="11"/>
  <c r="B579" i="11"/>
  <c r="A123" i="11"/>
  <c r="D42" i="11"/>
  <c r="A552" i="11"/>
  <c r="D70" i="11"/>
  <c r="B43" i="11"/>
  <c r="A127" i="11"/>
  <c r="B560" i="11"/>
  <c r="A69" i="11"/>
  <c r="A395" i="11"/>
  <c r="B101" i="11"/>
  <c r="B602" i="11"/>
  <c r="A233" i="11"/>
  <c r="A43" i="11"/>
  <c r="B395" i="11"/>
  <c r="B640" i="11"/>
  <c r="B330" i="11"/>
  <c r="B40" i="11"/>
  <c r="B497" i="11"/>
  <c r="D71" i="11"/>
  <c r="A98" i="11"/>
  <c r="A331" i="11"/>
  <c r="A263" i="11"/>
  <c r="B541" i="11"/>
  <c r="D19" i="11"/>
  <c r="A96" i="11"/>
  <c r="B449" i="11"/>
  <c r="B8" i="9"/>
  <c r="A383" i="11"/>
  <c r="A333" i="11"/>
  <c r="B282" i="11"/>
  <c r="B192" i="11"/>
  <c r="A707" i="11"/>
  <c r="D38" i="11"/>
  <c r="B22" i="11"/>
  <c r="A253" i="11"/>
  <c r="B489" i="11"/>
  <c r="A569" i="11"/>
  <c r="B8" i="11"/>
  <c r="D82" i="11"/>
  <c r="A132" i="11"/>
  <c r="D86" i="11"/>
  <c r="F12" i="11"/>
  <c r="A481" i="11"/>
  <c r="A721" i="11"/>
  <c r="B16" i="9"/>
  <c r="B65" i="11"/>
  <c r="B167" i="11"/>
  <c r="B36" i="11"/>
  <c r="B656" i="11"/>
  <c r="B3" i="9"/>
  <c r="A265" i="11"/>
  <c r="B260" i="11"/>
  <c r="A582" i="11"/>
  <c r="B933" i="11"/>
  <c r="A879" i="11"/>
  <c r="A344" i="11"/>
  <c r="B632" i="11"/>
  <c r="B141" i="11"/>
  <c r="B966" i="11"/>
  <c r="A377" i="11"/>
  <c r="B55" i="11"/>
  <c r="B186" i="11"/>
  <c r="A104" i="11"/>
  <c r="B309" i="11"/>
  <c r="D9" i="11"/>
  <c r="A194" i="11"/>
  <c r="B503" i="11"/>
  <c r="D62" i="11"/>
  <c r="A1863" i="11"/>
  <c r="B1742" i="11"/>
  <c r="B10" i="11"/>
  <c r="A1706" i="11"/>
  <c r="B847" i="11"/>
  <c r="A874" i="11"/>
  <c r="A1018" i="11"/>
  <c r="A217" i="11"/>
  <c r="B428" i="11"/>
  <c r="B394" i="11"/>
  <c r="A493" i="11"/>
  <c r="B733" i="11"/>
  <c r="A744" i="11"/>
  <c r="B366" i="11"/>
  <c r="A240" i="11"/>
  <c r="A117" i="11"/>
  <c r="A13" i="11"/>
  <c r="A813" i="11"/>
  <c r="A509" i="11"/>
  <c r="D84" i="11"/>
  <c r="A332" i="11"/>
  <c r="B71" i="11"/>
  <c r="B68" i="11"/>
  <c r="A563" i="11"/>
  <c r="D104" i="11"/>
  <c r="A976" i="11"/>
  <c r="A115" i="11"/>
  <c r="B1233" i="11"/>
  <c r="A1079" i="11"/>
  <c r="A401" i="11"/>
  <c r="A87" i="11"/>
  <c r="A419" i="11"/>
  <c r="A496" i="11"/>
  <c r="B856" i="11"/>
  <c r="D94" i="11"/>
  <c r="B191" i="11"/>
  <c r="A32" i="11"/>
  <c r="B1119" i="11"/>
  <c r="B885" i="11"/>
  <c r="B94" i="11"/>
  <c r="A269" i="11"/>
  <c r="B509" i="11"/>
  <c r="F15" i="11"/>
  <c r="B183" i="11"/>
  <c r="A880" i="11"/>
  <c r="A1255" i="11"/>
  <c r="D34" i="11"/>
  <c r="B371" i="11"/>
  <c r="A448" i="11"/>
  <c r="B762" i="11"/>
  <c r="A272" i="11"/>
  <c r="B29" i="11"/>
  <c r="B226" i="11"/>
  <c r="A245" i="11"/>
  <c r="B825" i="11"/>
  <c r="H3" i="11"/>
  <c r="A144" i="11"/>
  <c r="A91" i="11"/>
  <c r="A56" i="11"/>
  <c r="A551" i="11"/>
  <c r="A1263" i="11"/>
  <c r="A1618" i="11"/>
  <c r="B863" i="11"/>
  <c r="A1110" i="11"/>
  <c r="A931" i="11"/>
  <c r="A732" i="11"/>
  <c r="B797" i="11"/>
  <c r="A940" i="11"/>
  <c r="B356" i="11"/>
  <c r="B250" i="11"/>
  <c r="A421" i="11"/>
  <c r="B646" i="11"/>
  <c r="B654" i="11"/>
  <c r="B222" i="11"/>
  <c r="B5" i="9"/>
  <c r="A637" i="11"/>
  <c r="B317" i="11"/>
  <c r="A1730" i="11"/>
  <c r="A181" i="11"/>
  <c r="B52" i="11"/>
  <c r="B681" i="11"/>
  <c r="D13" i="11"/>
  <c r="B152" i="11"/>
  <c r="A886" i="11"/>
  <c r="D39" i="11"/>
  <c r="A600" i="11"/>
  <c r="A1924" i="11"/>
  <c r="A405" i="11"/>
  <c r="A708" i="11"/>
  <c r="B153" i="11"/>
  <c r="D23" i="11"/>
  <c r="B711" i="11"/>
  <c r="D81" i="11"/>
  <c r="B588" i="11"/>
  <c r="H17" i="11"/>
  <c r="D92" i="11"/>
  <c r="A251" i="11"/>
  <c r="B377" i="11"/>
  <c r="B85" i="11"/>
  <c r="B411" i="11"/>
  <c r="B174" i="11"/>
  <c r="B398" i="11"/>
  <c r="B650" i="11"/>
  <c r="B30" i="11"/>
  <c r="A116" i="11"/>
  <c r="B347" i="11"/>
  <c r="D31" i="11"/>
  <c r="D66" i="11"/>
  <c r="A267" i="11"/>
  <c r="B276" i="11"/>
  <c r="B182" i="11"/>
  <c r="A664" i="11"/>
  <c r="A195" i="11"/>
  <c r="B1666" i="11"/>
  <c r="D29" i="11"/>
  <c r="A731" i="11"/>
  <c r="D67" i="11"/>
  <c r="A162" i="11"/>
  <c r="B534" i="11"/>
  <c r="F8" i="11"/>
  <c r="B402" i="11"/>
  <c r="A541" i="11"/>
  <c r="B381" i="11"/>
  <c r="B638" i="11"/>
  <c r="A342" i="11"/>
  <c r="A37" i="11"/>
  <c r="B31" i="11"/>
  <c r="B556" i="11"/>
  <c r="A259" i="11"/>
  <c r="A151" i="11"/>
  <c r="A1577" i="11"/>
  <c r="B1097" i="11"/>
  <c r="A247" i="11"/>
  <c r="A250" i="11"/>
  <c r="A593" i="11"/>
  <c r="A589" i="11"/>
  <c r="D12" i="11"/>
  <c r="B854" i="11"/>
  <c r="A218" i="11"/>
  <c r="A226" i="11"/>
  <c r="A1460" i="11"/>
  <c r="A494" i="11"/>
  <c r="A489" i="11"/>
  <c r="B365" i="11"/>
  <c r="A449" i="11"/>
  <c r="B354" i="11"/>
  <c r="B15" i="11"/>
  <c r="B273" i="11"/>
  <c r="D50" i="11"/>
  <c r="B642" i="11"/>
  <c r="B486" i="11"/>
  <c r="B574" i="11"/>
  <c r="B48" i="11"/>
  <c r="B636" i="11"/>
  <c r="A535" i="11"/>
  <c r="B197" i="11"/>
  <c r="A185" i="11"/>
  <c r="A22" i="11"/>
  <c r="A402" i="11"/>
  <c r="A72" i="11"/>
  <c r="A700" i="11"/>
  <c r="B373" i="11"/>
  <c r="B565" i="11"/>
  <c r="B438" i="11"/>
  <c r="B587" i="11"/>
  <c r="D28" i="11"/>
  <c r="B109" i="11"/>
  <c r="A216" i="11"/>
  <c r="D63" i="11"/>
  <c r="A476" i="11"/>
  <c r="A1337" i="11"/>
  <c r="A631" i="11"/>
  <c r="A492" i="11"/>
  <c r="B838" i="11"/>
  <c r="B50" i="11"/>
  <c r="B140" i="11"/>
  <c r="B107" i="11"/>
  <c r="A461" i="11"/>
  <c r="B845" i="11"/>
  <c r="A869" i="11"/>
  <c r="B88" i="11"/>
  <c r="A252" i="11"/>
  <c r="B718" i="11"/>
  <c r="A709" i="11"/>
  <c r="B483" i="11"/>
  <c r="B562" i="11"/>
  <c r="F4" i="11"/>
  <c r="D76" i="11"/>
  <c r="B188" i="11"/>
  <c r="A640" i="11"/>
  <c r="A155" i="11"/>
  <c r="D43" i="11"/>
  <c r="A1068" i="11"/>
  <c r="B332" i="11"/>
  <c r="D24" i="11"/>
  <c r="D110" i="11"/>
  <c r="A635" i="11"/>
  <c r="A719" i="11"/>
  <c r="B473" i="11"/>
  <c r="F16" i="11"/>
  <c r="A373" i="11"/>
  <c r="B123" i="11"/>
  <c r="F5" i="11"/>
  <c r="A76" i="11"/>
  <c r="B69" i="11"/>
  <c r="B57" i="11"/>
  <c r="A119" i="11"/>
  <c r="B18" i="11"/>
  <c r="B16" i="11"/>
  <c r="A480" i="11"/>
  <c r="A1468" i="11"/>
  <c r="B1013" i="11"/>
  <c r="B1086" i="11"/>
  <c r="A809" i="11"/>
  <c r="B442" i="11"/>
  <c r="A511" i="11"/>
  <c r="B969" i="11"/>
  <c r="A974" i="11"/>
  <c r="A146" i="11"/>
  <c r="A154" i="11"/>
  <c r="B1365" i="11"/>
  <c r="A422" i="11"/>
  <c r="A417" i="11"/>
  <c r="A145" i="11"/>
  <c r="H5" i="11"/>
  <c r="B210" i="11"/>
  <c r="A868" i="11"/>
  <c r="A73" i="11"/>
  <c r="A431" i="11"/>
  <c r="B97" i="11"/>
  <c r="B1323" i="11"/>
  <c r="B132" i="11"/>
  <c r="B670" i="11"/>
  <c r="B480" i="11"/>
  <c r="A92" i="11"/>
  <c r="B58" i="11"/>
  <c r="B359" i="11"/>
  <c r="B470" i="11"/>
  <c r="B479" i="11"/>
  <c r="H13" i="11"/>
  <c r="B115" i="11"/>
  <c r="B258" i="11"/>
  <c r="B862" i="11"/>
  <c r="B294" i="11"/>
  <c r="A210" i="11"/>
  <c r="B755" i="11"/>
  <c r="A139" i="11"/>
  <c r="B113" i="11"/>
  <c r="A469" i="11"/>
  <c r="A1636" i="11"/>
  <c r="A188" i="11"/>
  <c r="A360" i="11"/>
  <c r="B329" i="11"/>
  <c r="B14" i="9"/>
  <c r="B64" i="11"/>
  <c r="B12" i="11"/>
  <c r="A643" i="11"/>
  <c r="A482" i="11"/>
  <c r="B414" i="11"/>
  <c r="A85" i="11"/>
  <c r="A503" i="11"/>
  <c r="B37" i="11"/>
  <c r="B86" i="11"/>
  <c r="B1095" i="11"/>
  <c r="A504" i="11"/>
  <c r="A94" i="11"/>
  <c r="A894" i="11"/>
  <c r="A294" i="11"/>
  <c r="B667" i="11"/>
  <c r="B204" i="11"/>
  <c r="D102" i="11"/>
  <c r="B23" i="11"/>
  <c r="A1098" i="11"/>
  <c r="B1048" i="11"/>
  <c r="B399" i="11"/>
  <c r="B987" i="11"/>
  <c r="A316" i="11"/>
  <c r="B372" i="11"/>
  <c r="A676" i="11"/>
  <c r="A1234" i="11"/>
  <c r="B904" i="11"/>
  <c r="B291" i="11"/>
  <c r="B1073" i="11"/>
  <c r="B391" i="11"/>
  <c r="A558" i="11"/>
  <c r="A35" i="11"/>
  <c r="A629" i="11"/>
  <c r="B25" i="11"/>
  <c r="A413" i="11"/>
  <c r="A338" i="11"/>
  <c r="D16" i="11"/>
  <c r="B839" i="11"/>
  <c r="A414" i="11"/>
  <c r="D6" i="11"/>
  <c r="B549" i="11"/>
  <c r="B515" i="11"/>
  <c r="B747" i="11"/>
  <c r="A2" i="11"/>
  <c r="D80" i="11"/>
  <c r="A260" i="11"/>
  <c r="A95" i="11"/>
  <c r="A581" i="11"/>
  <c r="D48" i="11"/>
  <c r="A36" i="11"/>
  <c r="B1223" i="11"/>
  <c r="B921" i="11"/>
  <c r="D99" i="11"/>
  <c r="A300" i="11"/>
  <c r="A1000" i="11"/>
  <c r="B95" i="11"/>
  <c r="B102" i="11"/>
  <c r="A622" i="11"/>
  <c r="A1146" i="11"/>
  <c r="B517" i="11"/>
  <c r="B407" i="11"/>
  <c r="B135" i="11"/>
  <c r="B425" i="11"/>
  <c r="B9" i="11"/>
  <c r="B408" i="11"/>
  <c r="B1467" i="11"/>
  <c r="B557" i="11"/>
  <c r="A486" i="11"/>
  <c r="A766" i="11"/>
  <c r="B44" i="11"/>
  <c r="B379" i="11"/>
  <c r="A40" i="11"/>
  <c r="A261" i="11"/>
  <c r="B270" i="11"/>
  <c r="A173" i="11"/>
  <c r="B620" i="11"/>
  <c r="D27" i="11"/>
  <c r="B716" i="11"/>
  <c r="A107" i="11"/>
  <c r="A336" i="11"/>
  <c r="A287" i="11"/>
  <c r="A150" i="11"/>
  <c r="B543" i="11"/>
  <c r="B451" i="11"/>
  <c r="A636" i="11"/>
  <c r="A1169" i="11"/>
  <c r="D30" i="11"/>
  <c r="A490" i="11"/>
  <c r="A714" i="11"/>
  <c r="A1014" i="11"/>
  <c r="A975" i="11"/>
  <c r="B327" i="11"/>
  <c r="A380" i="11"/>
  <c r="A244" i="11"/>
  <c r="B300" i="11"/>
  <c r="B591" i="11"/>
  <c r="A1036" i="11"/>
  <c r="B749" i="11"/>
  <c r="B219" i="11"/>
  <c r="A1217" i="11"/>
  <c r="B319" i="11"/>
  <c r="B482" i="11"/>
  <c r="A7" i="11"/>
  <c r="A288" i="11"/>
  <c r="A330" i="11"/>
  <c r="B221" i="11"/>
  <c r="B688" i="11"/>
  <c r="B613" i="11"/>
  <c r="B437" i="11"/>
  <c r="B554" i="11"/>
  <c r="B177" i="11"/>
  <c r="B401" i="11"/>
  <c r="F14" i="11"/>
  <c r="A299" i="11"/>
  <c r="B179" i="11"/>
  <c r="A157" i="11"/>
  <c r="A596" i="11"/>
  <c r="D11" i="11"/>
  <c r="A99" i="11"/>
  <c r="B9" i="9"/>
  <c r="A628" i="11"/>
  <c r="B404" i="11"/>
  <c r="A665" i="11"/>
  <c r="B35" i="11"/>
  <c r="B125" i="11"/>
  <c r="B383" i="11"/>
  <c r="D26" i="11"/>
  <c r="B79" i="11"/>
  <c r="B145" i="11"/>
  <c r="A1135" i="11"/>
  <c r="B827" i="11"/>
  <c r="A84" i="11"/>
  <c r="B61" i="11"/>
  <c r="A161" i="11"/>
  <c r="A528" i="11"/>
  <c r="A163" i="11"/>
  <c r="A830" i="11"/>
  <c r="A122" i="11"/>
  <c r="A354" i="11"/>
  <c r="B305" i="11"/>
  <c r="B1024" i="11"/>
  <c r="B723" i="11"/>
  <c r="A125" i="11"/>
  <c r="B832" i="11"/>
  <c r="A856" i="11"/>
  <c r="B83" i="11"/>
  <c r="A228" i="11"/>
  <c r="A738" i="11"/>
  <c r="A474" i="11"/>
  <c r="A790" i="11"/>
  <c r="A1305" i="11"/>
  <c r="B766" i="11"/>
  <c r="B934" i="11"/>
  <c r="D7" i="11"/>
  <c r="B326" i="11"/>
  <c r="B41" i="11"/>
  <c r="D115" i="11"/>
  <c r="B906" i="11"/>
  <c r="D74" i="11"/>
  <c r="A79" i="11"/>
  <c r="B122" i="11"/>
  <c r="C793" i="5" l="1"/>
  <c r="C305" i="5"/>
  <c r="C637" i="5"/>
  <c r="C217" i="5"/>
  <c r="C357" i="5"/>
  <c r="C81" i="5"/>
  <c r="C540" i="5"/>
  <c r="C402" i="5"/>
  <c r="C435" i="5"/>
  <c r="C562" i="5"/>
  <c r="C61" i="5"/>
  <c r="C350" i="5"/>
  <c r="C219" i="5"/>
  <c r="C311" i="5"/>
  <c r="C246" i="5"/>
  <c r="C279" i="5"/>
  <c r="C406" i="5"/>
  <c r="C458" i="5"/>
  <c r="C134" i="5"/>
  <c r="C238" i="5"/>
  <c r="C487" i="5"/>
  <c r="C556" i="5"/>
  <c r="C780" i="5"/>
  <c r="C115" i="5"/>
  <c r="C49" i="5"/>
  <c r="C96" i="5"/>
  <c r="C535" i="5"/>
  <c r="C654" i="5"/>
  <c r="C687" i="5"/>
  <c r="C336" i="5"/>
  <c r="C214" i="5"/>
  <c r="C87" i="5"/>
  <c r="C131" i="5"/>
  <c r="C205" i="5"/>
  <c r="C319" i="5"/>
  <c r="C388" i="5"/>
  <c r="C612" i="5"/>
  <c r="C298" i="5"/>
  <c r="C596" i="5"/>
  <c r="C767" i="5"/>
  <c r="C282" i="5"/>
  <c r="C630" i="5"/>
  <c r="C663" i="5"/>
  <c r="C790" i="5"/>
  <c r="C186" i="5"/>
  <c r="C63" i="5"/>
  <c r="C107" i="5"/>
  <c r="C315" i="5"/>
  <c r="C474" i="5"/>
  <c r="C507" i="5"/>
  <c r="C634" i="5"/>
  <c r="C30" i="5"/>
  <c r="C587" i="5"/>
  <c r="C726" i="5"/>
  <c r="C715" i="5"/>
  <c r="C784" i="5"/>
  <c r="C541" i="5"/>
  <c r="C513" i="5"/>
  <c r="C196" i="5"/>
  <c r="C438" i="5"/>
  <c r="C383" i="5"/>
  <c r="C485" i="5"/>
  <c r="C482" i="5"/>
  <c r="C56" i="5"/>
  <c r="C254" i="5"/>
  <c r="C323" i="5"/>
  <c r="C679" i="5"/>
  <c r="C34" i="5"/>
  <c r="C10" i="5"/>
  <c r="C82" i="5"/>
  <c r="C465" i="5"/>
  <c r="C272" i="5"/>
  <c r="C123" i="5"/>
  <c r="C534" i="5"/>
  <c r="C269" i="5"/>
  <c r="C644" i="5"/>
  <c r="C307" i="5"/>
  <c r="C95" i="5"/>
  <c r="C262" i="5"/>
  <c r="C166" i="5"/>
  <c r="C321" i="5"/>
  <c r="C464" i="5"/>
  <c r="C685" i="5"/>
  <c r="C667" i="5"/>
  <c r="C736" i="5"/>
  <c r="C493" i="5"/>
  <c r="C362" i="5"/>
  <c r="C148" i="5"/>
  <c r="C322" i="5"/>
  <c r="C19" i="5"/>
  <c r="C258" i="5"/>
  <c r="C291" i="5"/>
  <c r="C418" i="5"/>
  <c r="C503" i="5"/>
  <c r="C146" i="5"/>
  <c r="C582" i="5"/>
  <c r="C16" i="5"/>
  <c r="C713" i="5"/>
  <c r="C710" i="5"/>
  <c r="C335" i="5"/>
  <c r="C185" i="5"/>
  <c r="C36" i="5"/>
  <c r="C717" i="5"/>
  <c r="C343" i="5"/>
  <c r="C412" i="5"/>
  <c r="C636" i="5"/>
  <c r="C37" i="5"/>
  <c r="C692" i="5"/>
  <c r="C58" i="5"/>
  <c r="C604" i="5"/>
  <c r="C510" i="5"/>
  <c r="C543" i="5"/>
  <c r="C670" i="5"/>
  <c r="C66" i="5"/>
  <c r="C731" i="5"/>
  <c r="C70" i="5"/>
  <c r="C426" i="5"/>
  <c r="C786" i="5"/>
  <c r="C244" i="5"/>
  <c r="C468" i="5"/>
  <c r="C512" i="5"/>
  <c r="C225" i="5"/>
  <c r="C299" i="5"/>
  <c r="C603" i="5"/>
  <c r="C486" i="5"/>
  <c r="C519" i="5"/>
  <c r="C646" i="5"/>
  <c r="C42" i="5"/>
  <c r="C635" i="5"/>
  <c r="C69" i="5"/>
  <c r="C396" i="5"/>
  <c r="C330" i="5"/>
  <c r="C363" i="5"/>
  <c r="C490" i="5"/>
  <c r="C21" i="5"/>
  <c r="C224" i="5"/>
  <c r="C758" i="5"/>
  <c r="C571" i="5"/>
  <c r="C640" i="5"/>
  <c r="C397" i="5"/>
  <c r="C201" i="5"/>
  <c r="C52" i="5"/>
  <c r="C473" i="5"/>
  <c r="C729" i="5"/>
  <c r="C341" i="5"/>
  <c r="C673" i="5"/>
  <c r="C455" i="5"/>
  <c r="C747" i="5"/>
  <c r="C703" i="5"/>
  <c r="C529" i="5"/>
  <c r="C407" i="5"/>
  <c r="C723" i="5"/>
  <c r="C567" i="5"/>
  <c r="C287" i="5"/>
  <c r="C236" i="5"/>
  <c r="C376" i="5"/>
  <c r="C195" i="5"/>
  <c r="C773" i="5"/>
  <c r="C781" i="5"/>
  <c r="C631" i="5"/>
  <c r="C480" i="5"/>
  <c r="C669" i="5"/>
  <c r="C277" i="5"/>
  <c r="C170" i="5"/>
  <c r="C101" i="5"/>
  <c r="C523" i="5"/>
  <c r="C592" i="5"/>
  <c r="C349" i="5"/>
  <c r="C151" i="5"/>
  <c r="C4" i="5"/>
  <c r="C132" i="5"/>
  <c r="C160" i="5"/>
  <c r="C725" i="5"/>
  <c r="C722" i="5"/>
  <c r="C368" i="5"/>
  <c r="C197" i="5"/>
  <c r="C85" i="5"/>
  <c r="C471" i="5"/>
  <c r="C284" i="5"/>
  <c r="C569" i="5"/>
  <c r="C566" i="5"/>
  <c r="C140" i="5"/>
  <c r="C41" i="5"/>
  <c r="C585" i="5"/>
  <c r="C403" i="5"/>
  <c r="C199" i="5"/>
  <c r="C268" i="5"/>
  <c r="C492" i="5"/>
  <c r="C608" i="5"/>
  <c r="C264" i="5"/>
  <c r="C345" i="5"/>
  <c r="C795" i="5"/>
  <c r="C366" i="5"/>
  <c r="C399" i="5"/>
  <c r="C526" i="5"/>
  <c r="C668" i="5"/>
  <c r="C285" i="5"/>
  <c r="C119" i="5"/>
  <c r="C317" i="5"/>
  <c r="C642" i="5"/>
  <c r="C675" i="5"/>
  <c r="C791" i="5"/>
  <c r="C200" i="5"/>
  <c r="C75" i="5"/>
  <c r="C168" i="5"/>
  <c r="C361" i="5"/>
  <c r="C342" i="5"/>
  <c r="C375" i="5"/>
  <c r="C502" i="5"/>
  <c r="C141" i="5"/>
  <c r="C241" i="5"/>
  <c r="C260" i="5"/>
  <c r="C163" i="5"/>
  <c r="C799" i="5"/>
  <c r="C796" i="5"/>
  <c r="C611" i="5"/>
  <c r="C310" i="5"/>
  <c r="C74" i="5"/>
  <c r="C742" i="5"/>
  <c r="C427" i="5"/>
  <c r="C496" i="5"/>
  <c r="C720" i="5"/>
  <c r="C55" i="5"/>
  <c r="C615" i="5"/>
  <c r="C772" i="5"/>
  <c r="C184" i="5"/>
  <c r="C505" i="5"/>
  <c r="C372" i="5"/>
  <c r="C694" i="5"/>
  <c r="C680" i="5"/>
  <c r="C676" i="5"/>
  <c r="C548" i="5"/>
  <c r="C497" i="5"/>
  <c r="C266" i="5"/>
  <c r="C316" i="5"/>
  <c r="C404" i="5"/>
  <c r="C256" i="5"/>
  <c r="C91" i="5"/>
  <c r="C618" i="5"/>
  <c r="C501" i="5"/>
  <c r="C379" i="5"/>
  <c r="C448" i="5"/>
  <c r="C672" i="5"/>
  <c r="C7" i="5"/>
  <c r="C9" i="5"/>
  <c r="C237" i="5"/>
  <c r="C26" i="5"/>
  <c r="C581" i="5"/>
  <c r="C578" i="5"/>
  <c r="C152" i="5"/>
  <c r="C53" i="5"/>
  <c r="C633" i="5"/>
  <c r="C408" i="5"/>
  <c r="C47" i="5"/>
  <c r="C425" i="5"/>
  <c r="C757" i="5"/>
  <c r="C51" i="5"/>
  <c r="C789" i="5"/>
  <c r="C221" i="5"/>
  <c r="C616" i="5"/>
  <c r="C666" i="5"/>
  <c r="C699" i="5"/>
  <c r="C348" i="5"/>
  <c r="C228" i="5"/>
  <c r="C99" i="5"/>
  <c r="C143" i="5"/>
  <c r="C176" i="5"/>
  <c r="C222" i="5"/>
  <c r="C255" i="5"/>
  <c r="C755" i="5"/>
  <c r="C386" i="5"/>
  <c r="C110" i="5"/>
  <c r="C623" i="5"/>
  <c r="C746" i="5"/>
  <c r="C498" i="5"/>
  <c r="C531" i="5"/>
  <c r="C658" i="5"/>
  <c r="C54" i="5"/>
  <c r="C683" i="5"/>
  <c r="C294" i="5"/>
  <c r="C32" i="5"/>
  <c r="C198" i="5"/>
  <c r="C231" i="5"/>
  <c r="C659" i="5"/>
  <c r="C332" i="5"/>
  <c r="C86" i="5"/>
  <c r="C276" i="5"/>
  <c r="C77" i="5"/>
  <c r="C653" i="5"/>
  <c r="C650" i="5"/>
  <c r="C230" i="5"/>
  <c r="C125" i="5"/>
  <c r="C297" i="5"/>
  <c r="C175" i="5"/>
  <c r="C283" i="5"/>
  <c r="C352" i="5"/>
  <c r="C576" i="5"/>
  <c r="C572" i="5"/>
  <c r="C453" i="5"/>
  <c r="C696" i="5"/>
  <c r="C559" i="5"/>
  <c r="C628" i="5"/>
  <c r="C385" i="5"/>
  <c r="C187" i="5"/>
  <c r="C40" i="5"/>
  <c r="C71" i="5"/>
  <c r="C431" i="5"/>
  <c r="C761" i="5"/>
  <c r="C369" i="5"/>
  <c r="C93" i="5"/>
  <c r="C391" i="5"/>
  <c r="C90" i="5"/>
  <c r="C624" i="5"/>
  <c r="C220" i="5"/>
  <c r="C762" i="5"/>
  <c r="C13" i="5"/>
  <c r="C50" i="5"/>
  <c r="C706" i="5"/>
  <c r="C153" i="5"/>
  <c r="C457" i="5"/>
  <c r="C560" i="5"/>
  <c r="C38" i="5"/>
  <c r="C651" i="5"/>
  <c r="C118" i="5"/>
  <c r="C374" i="5"/>
  <c r="C235" i="5"/>
  <c r="C304" i="5"/>
  <c r="C528" i="5"/>
  <c r="C752" i="5"/>
  <c r="C325" i="5"/>
  <c r="C441" i="5"/>
  <c r="C191" i="5"/>
  <c r="C437" i="5"/>
  <c r="C769" i="5"/>
  <c r="C8" i="5"/>
  <c r="C45" i="5"/>
  <c r="C240" i="5"/>
  <c r="C138" i="5"/>
  <c r="C787" i="5"/>
  <c r="C281" i="5"/>
  <c r="C613" i="5"/>
  <c r="C33" i="5"/>
  <c r="C309" i="5"/>
  <c r="C728" i="5"/>
  <c r="C470" i="5"/>
  <c r="C522" i="5"/>
  <c r="C555" i="5"/>
  <c r="C682" i="5"/>
  <c r="C78" i="5"/>
  <c r="C779" i="5"/>
  <c r="C180" i="5"/>
  <c r="C227" i="5"/>
  <c r="C689" i="5"/>
  <c r="C686" i="5"/>
  <c r="C296" i="5"/>
  <c r="C161" i="5"/>
  <c r="C218" i="5"/>
  <c r="C575" i="5"/>
  <c r="C730" i="5"/>
  <c r="C354" i="5"/>
  <c r="C387" i="5"/>
  <c r="C514" i="5"/>
  <c r="C338" i="5"/>
  <c r="C263" i="5"/>
  <c r="C617" i="5"/>
  <c r="C2" i="5"/>
  <c r="C665" i="5"/>
  <c r="C662" i="5"/>
  <c r="C252" i="5"/>
  <c r="C137" i="5"/>
  <c r="C524" i="5"/>
  <c r="C259" i="5"/>
  <c r="C416" i="5"/>
  <c r="C509" i="5"/>
  <c r="C506" i="5"/>
  <c r="C80" i="5"/>
  <c r="C145" i="5"/>
  <c r="C380" i="5"/>
  <c r="C172" i="5"/>
  <c r="C750" i="5"/>
  <c r="C783" i="5"/>
  <c r="C432" i="5"/>
  <c r="C392" i="5"/>
  <c r="C183" i="5"/>
  <c r="C429" i="5"/>
  <c r="C415" i="5"/>
  <c r="C484" i="5"/>
  <c r="C708" i="5"/>
  <c r="C43" i="5"/>
  <c r="C476" i="5"/>
  <c r="C126" i="5"/>
  <c r="C760" i="5"/>
  <c r="C681" i="5"/>
  <c r="C57" i="5"/>
  <c r="C621" i="5"/>
  <c r="C419" i="5"/>
  <c r="C797" i="5"/>
  <c r="C347" i="5"/>
  <c r="C20" i="5"/>
  <c r="C324" i="5"/>
  <c r="C800" i="5"/>
  <c r="C72" i="5"/>
  <c r="C778" i="5"/>
  <c r="C117" i="5"/>
  <c r="C702" i="5"/>
  <c r="C735" i="5"/>
  <c r="C384" i="5"/>
  <c r="C289" i="5"/>
  <c r="C135" i="5"/>
  <c r="C179" i="5"/>
  <c r="C792" i="5"/>
  <c r="C293" i="5"/>
  <c r="C625" i="5"/>
  <c r="C129" i="5"/>
  <c r="C326" i="5"/>
  <c r="C776" i="5"/>
  <c r="C159" i="5"/>
  <c r="C643" i="5"/>
  <c r="C712" i="5"/>
  <c r="C469" i="5"/>
  <c r="C312" i="5"/>
  <c r="C124" i="5"/>
  <c r="C278" i="5"/>
  <c r="C454" i="5"/>
  <c r="C378" i="5"/>
  <c r="C411" i="5"/>
  <c r="C538" i="5"/>
  <c r="C154" i="5"/>
  <c r="C302" i="5"/>
  <c r="C691" i="5"/>
  <c r="C716" i="5"/>
  <c r="C545" i="5"/>
  <c r="C542" i="5"/>
  <c r="C116" i="5"/>
  <c r="C17" i="5"/>
  <c r="C489" i="5"/>
  <c r="C547" i="5"/>
  <c r="C393" i="5"/>
  <c r="C210" i="5"/>
  <c r="C243" i="5"/>
  <c r="C707" i="5"/>
  <c r="C358" i="5"/>
  <c r="C98" i="5"/>
  <c r="C329" i="5"/>
  <c r="C356" i="5"/>
  <c r="C521" i="5"/>
  <c r="C518" i="5"/>
  <c r="C92" i="5"/>
  <c r="C39" i="5"/>
  <c r="C410" i="5"/>
  <c r="C614" i="5"/>
  <c r="C479" i="5"/>
  <c r="C365" i="5"/>
  <c r="C697" i="5"/>
  <c r="C204" i="5"/>
  <c r="C549" i="5"/>
  <c r="C73" i="5"/>
  <c r="C301" i="5"/>
  <c r="C606" i="5"/>
  <c r="C639" i="5"/>
  <c r="C766" i="5"/>
  <c r="C162" i="5"/>
  <c r="C12" i="5"/>
  <c r="C46" i="5"/>
  <c r="C271" i="5"/>
  <c r="C340" i="5"/>
  <c r="C564" i="5"/>
  <c r="C417" i="5"/>
  <c r="C690" i="5"/>
  <c r="C382" i="5"/>
  <c r="C88" i="5"/>
  <c r="C444" i="5"/>
  <c r="C770" i="5"/>
  <c r="C102" i="5"/>
  <c r="C423" i="5"/>
  <c r="C261" i="5"/>
  <c r="C756" i="5"/>
  <c r="C461" i="5"/>
  <c r="C765" i="5"/>
  <c r="C558" i="5"/>
  <c r="C591" i="5"/>
  <c r="C718" i="5"/>
  <c r="C114" i="5"/>
  <c r="C314" i="5"/>
  <c r="C35" i="5"/>
  <c r="C655" i="5"/>
  <c r="C724" i="5"/>
  <c r="C481" i="5"/>
  <c r="C334" i="5"/>
  <c r="C136" i="5"/>
  <c r="C300" i="5"/>
  <c r="C573" i="5"/>
  <c r="C499" i="5"/>
  <c r="C568" i="5"/>
  <c r="C794" i="5"/>
  <c r="C127" i="5"/>
  <c r="C109" i="5"/>
  <c r="C108" i="5"/>
  <c r="C31" i="5"/>
  <c r="C234" i="5"/>
  <c r="C267" i="5"/>
  <c r="C394" i="5"/>
  <c r="C422" i="5"/>
  <c r="C122" i="5"/>
  <c r="C759" i="5"/>
  <c r="C346" i="5"/>
  <c r="C401" i="5"/>
  <c r="C733" i="5"/>
  <c r="C25" i="5"/>
  <c r="C693" i="5"/>
  <c r="C193" i="5"/>
  <c r="C472" i="5"/>
  <c r="C599" i="5"/>
  <c r="C677" i="5"/>
  <c r="C674" i="5"/>
  <c r="C274" i="5"/>
  <c r="C149" i="5"/>
  <c r="C94" i="5"/>
  <c r="C328" i="5"/>
  <c r="C370" i="5"/>
  <c r="C377" i="5"/>
  <c r="C709" i="5"/>
  <c r="C477" i="5"/>
  <c r="C597" i="5"/>
  <c r="C97" i="5"/>
  <c r="C598" i="5"/>
  <c r="C727" i="5"/>
  <c r="C798" i="5"/>
  <c r="C553" i="5"/>
  <c r="C561" i="5"/>
  <c r="C212" i="5"/>
  <c r="C488" i="5"/>
  <c r="C247" i="5"/>
  <c r="C462" i="5"/>
  <c r="C495" i="5"/>
  <c r="C622" i="5"/>
  <c r="C18" i="5"/>
  <c r="C539" i="5"/>
  <c r="C777" i="5"/>
  <c r="C738" i="5"/>
  <c r="C771" i="5"/>
  <c r="C420" i="5"/>
  <c r="C359" i="5"/>
  <c r="C171" i="5"/>
  <c r="C327" i="5"/>
  <c r="C253" i="5"/>
  <c r="C344" i="5"/>
  <c r="C44" i="5"/>
  <c r="C65" i="5"/>
  <c r="C275" i="5"/>
  <c r="C775" i="5"/>
  <c r="C400" i="5"/>
  <c r="C251" i="5"/>
  <c r="C570" i="5"/>
  <c r="C68" i="5"/>
  <c r="C189" i="5"/>
  <c r="C579" i="5"/>
  <c r="C83" i="5"/>
  <c r="C290" i="5"/>
  <c r="C182" i="5"/>
  <c r="C232" i="5"/>
  <c r="C174" i="5"/>
  <c r="C626" i="5"/>
  <c r="C414" i="5"/>
  <c r="C447" i="5"/>
  <c r="C574" i="5"/>
  <c r="C121" i="5"/>
  <c r="C381" i="5"/>
  <c r="C167" i="5"/>
  <c r="C511" i="5"/>
  <c r="C580" i="5"/>
  <c r="C337" i="5"/>
  <c r="C139" i="5"/>
  <c r="C3" i="5"/>
  <c r="C120" i="5"/>
  <c r="C714" i="5"/>
  <c r="C355" i="5"/>
  <c r="C424" i="5"/>
  <c r="C648" i="5"/>
  <c r="C169" i="5"/>
  <c r="C740" i="5"/>
  <c r="C130" i="5"/>
  <c r="C89" i="5"/>
  <c r="C701" i="5"/>
  <c r="C698" i="5"/>
  <c r="C313" i="5"/>
  <c r="C173" i="5"/>
  <c r="C525" i="5"/>
  <c r="C552" i="5"/>
  <c r="C763" i="5"/>
  <c r="C257" i="5"/>
  <c r="C589" i="5"/>
  <c r="C705" i="5"/>
  <c r="C265" i="5"/>
  <c r="C632" i="5"/>
  <c r="C661" i="5"/>
  <c r="C147" i="5"/>
  <c r="C533" i="5"/>
  <c r="C530" i="5"/>
  <c r="C104" i="5"/>
  <c r="C5" i="5"/>
  <c r="C446" i="5"/>
  <c r="C517" i="5"/>
  <c r="C739" i="5"/>
  <c r="C233" i="5"/>
  <c r="C565" i="5"/>
  <c r="C609" i="5"/>
  <c r="C226" i="5"/>
  <c r="C536" i="5"/>
  <c r="C27" i="5"/>
  <c r="C583" i="5"/>
  <c r="C652" i="5"/>
  <c r="C409" i="5"/>
  <c r="C215" i="5"/>
  <c r="C64" i="5"/>
  <c r="C192" i="5"/>
  <c r="C460" i="5"/>
  <c r="C318" i="5"/>
  <c r="C351" i="5"/>
  <c r="C478" i="5"/>
  <c r="C743" i="5"/>
  <c r="C208" i="5"/>
  <c r="C749" i="5"/>
  <c r="C594" i="5"/>
  <c r="C627" i="5"/>
  <c r="C754" i="5"/>
  <c r="C150" i="5"/>
  <c r="C373" i="5"/>
  <c r="C590" i="5"/>
  <c r="C684" i="5"/>
  <c r="C753" i="5"/>
  <c r="C331" i="5"/>
  <c r="C433" i="5"/>
  <c r="C719" i="5"/>
  <c r="C494" i="5"/>
  <c r="C546" i="5"/>
  <c r="C442" i="5"/>
  <c r="C700" i="5"/>
  <c r="C764" i="5"/>
  <c r="C463" i="5"/>
  <c r="C456" i="5"/>
  <c r="C353" i="5"/>
  <c r="C105" i="5"/>
  <c r="C270" i="5"/>
  <c r="C303" i="5"/>
  <c r="C430" i="5"/>
  <c r="C551" i="5"/>
  <c r="C158" i="5"/>
  <c r="C23" i="5"/>
  <c r="C367" i="5"/>
  <c r="C436" i="5"/>
  <c r="C660" i="5"/>
  <c r="C15" i="5"/>
  <c r="C788" i="5"/>
  <c r="C178" i="5"/>
  <c r="C605" i="5"/>
  <c r="C211" i="5"/>
  <c r="C280" i="5"/>
  <c r="C504" i="5"/>
  <c r="C656" i="5"/>
  <c r="C286" i="5"/>
  <c r="C371" i="5"/>
  <c r="C452" i="5"/>
  <c r="C557" i="5"/>
  <c r="C554" i="5"/>
  <c r="C128" i="5"/>
  <c r="C29" i="5"/>
  <c r="C537" i="5"/>
  <c r="C620" i="5"/>
  <c r="C619" i="5"/>
  <c r="C688" i="5"/>
  <c r="C445" i="5"/>
  <c r="C273" i="5"/>
  <c r="C100" i="5"/>
  <c r="C239" i="5"/>
  <c r="C188" i="5"/>
  <c r="C144" i="5"/>
  <c r="C389" i="5"/>
  <c r="C721" i="5"/>
  <c r="C24" i="5"/>
  <c r="C645" i="5"/>
  <c r="C181" i="5"/>
  <c r="C467" i="5"/>
  <c r="C595" i="5"/>
  <c r="C664" i="5"/>
  <c r="C421" i="5"/>
  <c r="C229" i="5"/>
  <c r="C76" i="5"/>
  <c r="C206" i="5"/>
  <c r="C106" i="5"/>
  <c r="C439" i="5"/>
  <c r="C508" i="5"/>
  <c r="C732" i="5"/>
  <c r="C67" i="5"/>
  <c r="C190" i="5"/>
  <c r="C48" i="5"/>
  <c r="C649" i="5"/>
  <c r="C785" i="5"/>
  <c r="C782" i="5"/>
  <c r="C563" i="5"/>
  <c r="C288" i="5"/>
  <c r="C62" i="5"/>
  <c r="C748" i="5"/>
  <c r="C450" i="5"/>
  <c r="C483" i="5"/>
  <c r="C610" i="5"/>
  <c r="C6" i="5"/>
  <c r="C491" i="5"/>
  <c r="C164" i="5"/>
  <c r="C320" i="5"/>
  <c r="C28" i="5"/>
  <c r="C600" i="5"/>
  <c r="C428" i="5"/>
  <c r="C586" i="5"/>
  <c r="C449" i="5"/>
  <c r="C550" i="5"/>
  <c r="C242" i="5"/>
  <c r="C774" i="5"/>
  <c r="C133" i="5"/>
  <c r="C202" i="5"/>
  <c r="C737" i="5"/>
  <c r="C734" i="5"/>
  <c r="C395" i="5"/>
  <c r="C213" i="5"/>
  <c r="C14" i="5"/>
  <c r="C59" i="5"/>
  <c r="C223" i="5"/>
  <c r="C292" i="5"/>
  <c r="C516" i="5"/>
  <c r="C704" i="5"/>
  <c r="C308" i="5"/>
  <c r="C405" i="5"/>
  <c r="C459" i="5"/>
  <c r="C678" i="5"/>
  <c r="C711" i="5"/>
  <c r="C360" i="5"/>
  <c r="C250" i="5"/>
  <c r="C111" i="5"/>
  <c r="C155" i="5"/>
  <c r="C156" i="5"/>
  <c r="C413" i="5"/>
  <c r="C745" i="5"/>
  <c r="C157" i="5"/>
  <c r="C741" i="5"/>
  <c r="C207" i="5"/>
  <c r="C249" i="5"/>
  <c r="C475" i="5"/>
  <c r="C544" i="5"/>
  <c r="C768" i="5"/>
  <c r="C103" i="5"/>
  <c r="C11" i="5"/>
  <c r="C84" i="5"/>
  <c r="C333" i="5"/>
  <c r="C751" i="5"/>
  <c r="C245" i="5"/>
  <c r="C577" i="5"/>
  <c r="C657" i="5"/>
  <c r="C248" i="5"/>
  <c r="C584" i="5"/>
  <c r="C203" i="5"/>
  <c r="C451" i="5"/>
  <c r="C520" i="5"/>
  <c r="C744" i="5"/>
  <c r="C79" i="5"/>
  <c r="C440" i="5"/>
  <c r="C60" i="5"/>
  <c r="C527" i="5"/>
  <c r="C295" i="5"/>
  <c r="C364" i="5"/>
  <c r="C588" i="5"/>
  <c r="C22" i="5"/>
  <c r="C500" i="5"/>
  <c r="C671" i="5"/>
  <c r="C398" i="5"/>
  <c r="C641" i="5"/>
  <c r="C638" i="5"/>
  <c r="C216" i="5"/>
  <c r="C113" i="5"/>
  <c r="C165" i="5"/>
  <c r="C602" i="5"/>
  <c r="C306" i="5"/>
  <c r="C339" i="5"/>
  <c r="C466" i="5"/>
  <c r="C695" i="5"/>
  <c r="C194" i="5"/>
  <c r="C647" i="5"/>
  <c r="C593" i="5"/>
  <c r="C601" i="5"/>
  <c r="C607" i="5"/>
  <c r="C142" i="5"/>
  <c r="C434" i="5"/>
  <c r="C515" i="5"/>
  <c r="C177" i="5"/>
  <c r="C390" i="5"/>
  <c r="C112" i="5"/>
  <c r="C532" i="5"/>
  <c r="C209" i="5"/>
  <c r="C443" i="5"/>
  <c r="C629" i="5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theme="1"/>
            <rFont val="Calibri"/>
            <scheme val="minor"/>
          </rPr>
          <t>Коды с 50000 по 59999 не используются диагностикой!
Коды с 5000 до 5999 используются для побудительных сообщений
	-Андрей Воронцов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7" authorId="0" shapeId="0">
      <text>
        <r>
          <rPr>
            <sz val="11"/>
            <color theme="1"/>
            <rFont val="Calibri"/>
            <scheme val="minor"/>
          </rPr>
          <t>Не надо задавать. Эти метки для перевода названий таблиц последних значений. Для русского языка названия берутся из названий групп.
----
Не надо задавать. Эти метки для перевода названий таблиц последних значений. Для русского языка названия берутся из названий групп.
	-Skiff Solo</t>
        </r>
      </text>
    </comment>
  </commentList>
</comments>
</file>

<file path=xl/sharedStrings.xml><?xml version="1.0" encoding="utf-8"?>
<sst xmlns="http://schemas.openxmlformats.org/spreadsheetml/2006/main" count="3342" uniqueCount="3147">
  <si>
    <t>no</t>
  </si>
  <si>
    <t>code</t>
  </si>
  <si>
    <t>name</t>
  </si>
  <si>
    <t>ru</t>
  </si>
  <si>
    <t>Русский</t>
  </si>
  <si>
    <t>en</t>
  </si>
  <si>
    <t>msg_code</t>
  </si>
  <si>
    <t>txt_msg_code</t>
  </si>
  <si>
    <t xml:space="preserve">diag_msg_h2 </t>
  </si>
  <si>
    <t>Газ: водород (H2).</t>
  </si>
  <si>
    <t>Gas: hydrogen (H2).</t>
  </si>
  <si>
    <t>diag_msg_co</t>
  </si>
  <si>
    <t>Газ: монооксид углерода (CO).</t>
  </si>
  <si>
    <t>Gas: carbon monoxide (CO).</t>
  </si>
  <si>
    <t>diag_msg_co2</t>
  </si>
  <si>
    <t>Газ: диоксид углерода (CO2).</t>
  </si>
  <si>
    <t>Gas: carbon dioxide (CO2).</t>
  </si>
  <si>
    <t>diag_msg_ch4</t>
  </si>
  <si>
    <t>Газ: метан (CH4).</t>
  </si>
  <si>
    <t>Gas: methane (CH4).</t>
  </si>
  <si>
    <t>diag_msg_c2h4</t>
  </si>
  <si>
    <t>Газ: этилен (C2H4).</t>
  </si>
  <si>
    <t>Gas: ethylene (C2H4).</t>
  </si>
  <si>
    <t>diag_msg_c2h6</t>
  </si>
  <si>
    <t>Газ: этан (C2H6).</t>
  </si>
  <si>
    <t>Gas: ethane (C2H6).</t>
  </si>
  <si>
    <t>diag_msg_c2h2</t>
  </si>
  <si>
    <t>Газ: ацетилен (C2H2).</t>
  </si>
  <si>
    <t>Gas: acetylene (C2H2).</t>
  </si>
  <si>
    <t>diag_msg_tg</t>
  </si>
  <si>
    <t>Газ: общая концентрация растворённых газов.</t>
  </si>
  <si>
    <t>Gas: the total concentration of dissolved gases.</t>
  </si>
  <si>
    <t>diag_msg_tсg</t>
  </si>
  <si>
    <t>Газ: общая концентрация горючих газов.</t>
  </si>
  <si>
    <t>Gas: the total concentration of combustible gases.</t>
  </si>
  <si>
    <t>diag_msg_tcgh2</t>
  </si>
  <si>
    <t>Газ: общая концентрация горючих газов и водорода.</t>
  </si>
  <si>
    <t>Gas: the total concentration of combustible gases and hydrogen.</t>
  </si>
  <si>
    <t>diag_msg_tdсg</t>
  </si>
  <si>
    <t>Газ: общая концентрация растворённых горючих газов и монооксида углерода.</t>
  </si>
  <si>
    <t>Gas: the total concentration of dissolved combustible gases and carbon monoxide.</t>
  </si>
  <si>
    <t>diag_msg_thg</t>
  </si>
  <si>
    <t>Газ: общая концентрация теплового газа.</t>
  </si>
  <si>
    <t>Gas: the total concentration of thermal gas.</t>
  </si>
  <si>
    <t>diag_msg_n2</t>
  </si>
  <si>
    <t>Газ: азот (N2).</t>
  </si>
  <si>
    <t>Gas: nitrogen (N2).</t>
  </si>
  <si>
    <t>diag_msg_o2</t>
  </si>
  <si>
    <t>Газ: кислород (O2).</t>
  </si>
  <si>
    <t>Gas: oxygen (O2).</t>
  </si>
  <si>
    <t>diag_msg_lim0</t>
  </si>
  <si>
    <t>Превышение ДЗ.</t>
  </si>
  <si>
    <t>Alarm threshold exceeded.</t>
  </si>
  <si>
    <t>diag_msg_lim1</t>
  </si>
  <si>
    <t>Превышение ПДЗ.</t>
  </si>
  <si>
    <t>Fault threshold exceeded.</t>
  </si>
  <si>
    <t>diag_msg_level</t>
  </si>
  <si>
    <t>Контроль уровня.</t>
  </si>
  <si>
    <t>Level control.</t>
  </si>
  <si>
    <t>diag_msg_dlevel</t>
  </si>
  <si>
    <t>Контроль изменения.</t>
  </si>
  <si>
    <t>Change control.</t>
  </si>
  <si>
    <t>diag_msg_down_lim0</t>
  </si>
  <si>
    <t>Уровень ниже ДЗ.</t>
  </si>
  <si>
    <t>Below alarm threshold.</t>
  </si>
  <si>
    <t>diag_msg_down_lim1</t>
  </si>
  <si>
    <t>Уровень ниже ПДЗ.</t>
  </si>
  <si>
    <t>Below fault threshold.</t>
  </si>
  <si>
    <t>diag_msg_current_lim0</t>
  </si>
  <si>
    <t>Допустимая по уровню аварийная токовая перегрузка.</t>
  </si>
  <si>
    <t>The permissible level of emergency current overload.</t>
  </si>
  <si>
    <t>diag_msg_current_lim1</t>
  </si>
  <si>
    <t>Недопустимая по уровню аварийная токовая перегрузка.</t>
  </si>
  <si>
    <t>An unacceptable level of emergency current overload.</t>
  </si>
  <si>
    <t>diag_msg_current_time</t>
  </si>
  <si>
    <t>Превышение допустимой длительности аварийной токовой перегрузки.</t>
  </si>
  <si>
    <t>Exceeding the permissible duration of an emergency current overload.</t>
  </si>
  <si>
    <t>diag_msg_c_model1</t>
  </si>
  <si>
    <t>Диагностика по соотношению пар газов.</t>
  </si>
  <si>
    <t>Diagnostics based on the ratio of gas vapors.</t>
  </si>
  <si>
    <t>diag_msg_c_model2</t>
  </si>
  <si>
    <t>Диагностика по номограммам.</t>
  </si>
  <si>
    <t>Diagnosis by nomograms.</t>
  </si>
  <si>
    <t>diag_msg_c_model3</t>
  </si>
  <si>
    <t>Диагностика по методу Давиденко-Овчинникова.</t>
  </si>
  <si>
    <t>Diagnosis by the Davidenko-Ovchinnikov method.</t>
  </si>
  <si>
    <t>diag_msg_c_model4</t>
  </si>
  <si>
    <t>Диагностика по соотношению CO2 / CO.</t>
  </si>
  <si>
    <t>Diagnostics based on the CO2/CO ratio.</t>
  </si>
  <si>
    <t>diag_msg_duval31</t>
  </si>
  <si>
    <t>Диагностика по треугольнику Дюваля.</t>
  </si>
  <si>
    <t>Diagnosis according to the Duval triangle.</t>
  </si>
  <si>
    <t>diag_msg_duval51</t>
  </si>
  <si>
    <t>Диагностика по пятиугольнику Дюваля 1.</t>
  </si>
  <si>
    <t>Diagnosis according to the Duval pentagon 1.</t>
  </si>
  <si>
    <t>diag_msg_defect</t>
  </si>
  <si>
    <t>Общее заключение о выявленном дефекте.</t>
  </si>
  <si>
    <t>A general conclusion about the detected defect.</t>
  </si>
  <si>
    <t>diag_msg_c_sto</t>
  </si>
  <si>
    <t>СТО 34.01-23-003-2019</t>
  </si>
  <si>
    <t>OrgS 34.01-23-003-2019</t>
  </si>
  <si>
    <t>diag_msg_c_rd</t>
  </si>
  <si>
    <t>РД 153-34.0-46.302-00</t>
  </si>
  <si>
    <t>RD 153-34.0-46.302-00</t>
  </si>
  <si>
    <t>diag_msg_model4_min</t>
  </si>
  <si>
    <t>Повреждением затронута целлюлозная изоляция и вероятно наличие искрения или горячей точки с температурой более 200 - 250 °С.</t>
  </si>
  <si>
    <t>The cellulose insulation is affected by the damage and there is likely to be a spark or a hot spot with a temperature of more than 200 - 250 °C.</t>
  </si>
  <si>
    <t>diag_msg_model4_max</t>
  </si>
  <si>
    <t>Повреждением затронута целлюлозная изоляция и  вероятен низкотемпературный дефект с температурой менее 160 °С.</t>
  </si>
  <si>
    <t>Cellulose insulation is affected by the damage and a low-temperature defect with a temperature of less than 160 °C is likely.</t>
  </si>
  <si>
    <t>diag_msg_c_1</t>
  </si>
  <si>
    <t>Дефект: термический дефект в диапазоне низких температур (до 300°С).</t>
  </si>
  <si>
    <t>Defect: a thermal defect in the low temperature range (up to 300°C).</t>
  </si>
  <si>
    <t>diag_msg_c_2</t>
  </si>
  <si>
    <t>Дефект: искровые разряды низкой энергии.</t>
  </si>
  <si>
    <t>Defect: low-energy spark discharges.</t>
  </si>
  <si>
    <t>diag_msg_c_4</t>
  </si>
  <si>
    <t>Дефект: частичные разряды.</t>
  </si>
  <si>
    <t>Defect: partial discharges.</t>
  </si>
  <si>
    <t>diag_msg_c_5</t>
  </si>
  <si>
    <t>Дефект: композиция дефектов с преобладанием дефекта электрического характера.</t>
  </si>
  <si>
    <t>Defect: a composition of defects with a predominance of an electrical defect.</t>
  </si>
  <si>
    <t>diag_msg_c_6</t>
  </si>
  <si>
    <t>Дефект: композиция дефекта с преобладанием дефекта термического характера.</t>
  </si>
  <si>
    <t>Defect: a composition of a defect with a predominance of a defect of a thermal nature.</t>
  </si>
  <si>
    <t>diag_msg_c_7</t>
  </si>
  <si>
    <t>Дефект: термический дефект в диапазоне средних температур (от 300 до 700 °С).</t>
  </si>
  <si>
    <t>Defect: a thermal defect in the medium temperature range (from 300 to 700 °C).</t>
  </si>
  <si>
    <t>diag_msg_c_8</t>
  </si>
  <si>
    <t>Дефект: термический дефект высокой температуры (свыше 700 °С).</t>
  </si>
  <si>
    <t>Defect: thermal defect of high temperature (over 700 °C).</t>
  </si>
  <si>
    <t>diag_msg_c_9</t>
  </si>
  <si>
    <t>Дефект: искровые разряды высокой энергии, дуга.</t>
  </si>
  <si>
    <t>Defect: high-energy spark discharges, arc.</t>
  </si>
  <si>
    <t>diag_msg_c_s</t>
  </si>
  <si>
    <t>Выявлено рассеянное газовыделение.</t>
  </si>
  <si>
    <t>Diffuse gas emission was detected.</t>
  </si>
  <si>
    <t>diag_msg_c_model2_acc</t>
  </si>
  <si>
    <t>Совпадение с типовой номограммой {param1} с точностью {param2} %.</t>
  </si>
  <si>
    <t>Match with a typical nomogram {param1} with an accuracy of {param2} %.</t>
  </si>
  <si>
    <t>diag_msg_c_model3_add</t>
  </si>
  <si>
    <t>Частичное совпадение буквенного кода.</t>
  </si>
  <si>
    <t>A partial match of the letter code.</t>
  </si>
  <si>
    <t>diag_msg_key_gas_h2</t>
  </si>
  <si>
    <t>Основной газ - водород H2.</t>
  </si>
  <si>
    <t>The main gas is hydrogen H2.</t>
  </si>
  <si>
    <t>diag_msg_key_gas_ch4</t>
  </si>
  <si>
    <t>Основной газ - метан CH4.</t>
  </si>
  <si>
    <t>The main gas is methane CH4.</t>
  </si>
  <si>
    <t>diag_msg_key_gas_c2h4</t>
  </si>
  <si>
    <t>Основной газ - этилен C2H4.</t>
  </si>
  <si>
    <t>The main gas is ethylene C2H4.</t>
  </si>
  <si>
    <t>diag_msg_key_gas_c2h2</t>
  </si>
  <si>
    <t>Основной газ - ацитилен C2H2.</t>
  </si>
  <si>
    <t>The main gas is acitylene C2H2.</t>
  </si>
  <si>
    <t>diag_msg_c_4_low</t>
  </si>
  <si>
    <t>Низкая плотность энергии.</t>
  </si>
  <si>
    <t>Low energy density.</t>
  </si>
  <si>
    <t>diag_msg_c_4_high</t>
  </si>
  <si>
    <t>Высокая плотность энергии.</t>
  </si>
  <si>
    <t>High energy density.</t>
  </si>
  <si>
    <t>diag_msg_c_up_to_150</t>
  </si>
  <si>
    <t>Дефект: термический дефект в диапазоне низких температур (до 150°С).</t>
  </si>
  <si>
    <t>Defect: a thermal defect in the low temperature range (up to 150°C).</t>
  </si>
  <si>
    <t>diag_msg_c_up_to_300</t>
  </si>
  <si>
    <t>Дефект: термический дефект в диапазоне низких температур (от 150°С до 300°С).</t>
  </si>
  <si>
    <t>Defect: a thermal defect in the low temperature range (from 150°C to 300°C).</t>
  </si>
  <si>
    <t>diag_msg_c_1_rd</t>
  </si>
  <si>
    <t>Дефект, вызванный разрядами: разряды малой мощности.</t>
  </si>
  <si>
    <t>Defect, low energy discharges.</t>
  </si>
  <si>
    <t>diag_msg_c_2_rd</t>
  </si>
  <si>
    <t>Дефект, вызванный разрядами: частичные разряды с низкой плотностью энергии.</t>
  </si>
  <si>
    <t>Defect: low energy PD.</t>
  </si>
  <si>
    <t>diag_msg_c_3_rd</t>
  </si>
  <si>
    <t>Дефект, вызванный искрением.</t>
  </si>
  <si>
    <t>Defect, sparking.</t>
  </si>
  <si>
    <t>diag_msg_c_4_rd</t>
  </si>
  <si>
    <t>Дефект, вызванный дугой.</t>
  </si>
  <si>
    <t>Defect, arcing.</t>
  </si>
  <si>
    <t>diag_msg_c_5_rd</t>
  </si>
  <si>
    <t>Дефект термического характера в диапазоне средних температур.</t>
  </si>
  <si>
    <t>Thermal fault, 300 to 700 deg.C.</t>
  </si>
  <si>
    <t>diag_msg_c_6_rd</t>
  </si>
  <si>
    <t>Дефект термического характера в диапазоне средних температур, переходящий в частичные разряды.</t>
  </si>
  <si>
    <t>Thermal fault, 300 to 700 deg.C, evolving into PD.</t>
  </si>
  <si>
    <t>diag_msg_c_7_rd</t>
  </si>
  <si>
    <t>Дефект термического характера в диапазоне высоких температур.</t>
  </si>
  <si>
    <t>Thermal fault, over 700 deg.C.</t>
  </si>
  <si>
    <t>diag_msg_c_8_rd</t>
  </si>
  <si>
    <t>Высокотемпературный нагрев, переходящий в дугу.</t>
  </si>
  <si>
    <t>High temperature overheating, evolving into arc.</t>
  </si>
  <si>
    <t>diag_msg_c</t>
  </si>
  <si>
    <t>Контроль концентрации газа.</t>
  </si>
  <si>
    <t>Gas concentration control.</t>
  </si>
  <si>
    <t>diag_msg_roc_abs_day</t>
  </si>
  <si>
    <t>Контроль абсолютной суточной скорости роста.</t>
  </si>
  <si>
    <t>Control of the absolute daily growth rate.</t>
  </si>
  <si>
    <t>diag_msg_roc_rel_day</t>
  </si>
  <si>
    <t>Контроль относительной суточной скорости роста.</t>
  </si>
  <si>
    <t>Control of the relative daily growth rate.</t>
  </si>
  <si>
    <t>diag_msg_roc_abs_week</t>
  </si>
  <si>
    <t>Контроль абсолютной недельной скорости роста.</t>
  </si>
  <si>
    <t>Control of the absolute weekly growth rate.</t>
  </si>
  <si>
    <t>diag_msg_roc_rel_week</t>
  </si>
  <si>
    <t>Контроль относительной недельной скорости роста.</t>
  </si>
  <si>
    <t>Control of the relative weekly growth rate.</t>
  </si>
  <si>
    <t>diag_msg_roc_abs_month</t>
  </si>
  <si>
    <t>Контроль абсолютной месячной скорости роста.</t>
  </si>
  <si>
    <t>Control of the absolute monthly growth rate.</t>
  </si>
  <si>
    <t>diag_msg_roc_rel_month</t>
  </si>
  <si>
    <t>Контроль относительной месячной скорости роста.</t>
  </si>
  <si>
    <t>Control of the relative monthly growth rate.</t>
  </si>
  <si>
    <t>diag_msg_roc_abs_year</t>
  </si>
  <si>
    <t>Контроль абсолютной годовой скорости роста.</t>
  </si>
  <si>
    <t>Control of the absolute annual growth rate.</t>
  </si>
  <si>
    <t>diag_msg_roc_rel_year</t>
  </si>
  <si>
    <t>Контроль относительной годовой скорости роста.</t>
  </si>
  <si>
    <t>Control of the relative annual growth rate.</t>
  </si>
  <si>
    <t>diag_msg_t</t>
  </si>
  <si>
    <t>Контроль температуры.</t>
  </si>
  <si>
    <t>Temperature control.</t>
  </si>
  <si>
    <t>diag_msg_t_cont</t>
  </si>
  <si>
    <t>Контроль температуры контактных соединений.</t>
  </si>
  <si>
    <t>Temperature control of the contact connections.</t>
  </si>
  <si>
    <t>diag_msg_bush_i_creepage</t>
  </si>
  <si>
    <t>Контроль тока поверхностной утечки.</t>
  </si>
  <si>
    <t>Monitoring of surface leakage current.</t>
  </si>
  <si>
    <t>diag_msg_bush_pd_leve</t>
  </si>
  <si>
    <t>Контроль уровня активности ЧР.</t>
  </si>
  <si>
    <t>Monitoring the activity level of the PD.</t>
  </si>
  <si>
    <t>diag_msg_life_loss</t>
  </si>
  <si>
    <t>Контроль суточного расхода ресурса изоляции.</t>
  </si>
  <si>
    <t>Monitoring of the daily consumption of the insulation resource.</t>
  </si>
  <si>
    <t>diag_msg_ageing</t>
  </si>
  <si>
    <t>Контроль суточной скорости износа изоляции.</t>
  </si>
  <si>
    <t>Monitoring of the daily wear rate of insulation.</t>
  </si>
  <si>
    <t>diag_msg_life_remaining</t>
  </si>
  <si>
    <t>Контроль остаточного ресурса изоляции.</t>
  </si>
  <si>
    <t>Monitoring of the remaining insulation life.</t>
  </si>
  <si>
    <t>diag_msg_ltc_electrical_wear</t>
  </si>
  <si>
    <t>Контроль электрического износа контактов РПН.</t>
  </si>
  <si>
    <t>Monitoring of electrical wear of the AUL contacts.</t>
  </si>
  <si>
    <t>diag_msg_ltc_mechanical_wear</t>
  </si>
  <si>
    <t>Контроль механического износа контактов РПН.</t>
  </si>
  <si>
    <t>Control of mechanical wear of the AUL contacts.</t>
  </si>
  <si>
    <t>diag_msg_u</t>
  </si>
  <si>
    <t>Контроль уровня напряжения.</t>
  </si>
  <si>
    <t>Voltage level monitoring.</t>
  </si>
  <si>
    <t>diag_msg_u_duration</t>
  </si>
  <si>
    <t>Контроль длительности превышения напряжения.</t>
  </si>
  <si>
    <t>Monitoring the duration of over voltage.</t>
  </si>
  <si>
    <t>diag_msg_u_count</t>
  </si>
  <si>
    <t>Контроль числа повышений напряжения.</t>
  </si>
  <si>
    <t>Monitoring the number of voltage increases.</t>
  </si>
  <si>
    <t>diag_msg_u_pause</t>
  </si>
  <si>
    <t>Контроль паузы между превышения напряжений.</t>
  </si>
  <si>
    <t>Monitoring the pause between voltage surges.</t>
  </si>
  <si>
    <t>diag_msg_i_leakage</t>
  </si>
  <si>
    <t>Контроль утечки тока через основную изоляцию ввода.</t>
  </si>
  <si>
    <t>Monitoring of current leakage through the main input insulation.</t>
  </si>
  <si>
    <t>diag_msg_wcl</t>
  </si>
  <si>
    <t>Абсолютная влажность масла.</t>
  </si>
  <si>
    <t>The absolute humidity of the oil.</t>
  </si>
  <si>
    <t>diag_msg_rs</t>
  </si>
  <si>
    <t>Относительная влажность масла.</t>
  </si>
  <si>
    <t>The relative humidity of the oil.</t>
  </si>
  <si>
    <t>diag_msg_wcp</t>
  </si>
  <si>
    <t>Влажность твёрдой изоляции.</t>
  </si>
  <si>
    <t>Humidity of solid insulation.</t>
  </si>
  <si>
    <t>diag_msg_bush_c1</t>
  </si>
  <si>
    <t>Ёмкость С1 основной изоляции.</t>
  </si>
  <si>
    <t>Capacity C1 of the main insulation.</t>
  </si>
  <si>
    <t>diag_msg_bush_tgd</t>
  </si>
  <si>
    <t>Тангенс дельта основной изоляции.</t>
  </si>
  <si>
    <t>The tangent delta of the main insulation.</t>
  </si>
  <si>
    <t>diag_msg_t_hst</t>
  </si>
  <si>
    <t>Температура наиболее нагретой точки.</t>
  </si>
  <si>
    <t>The temperature of the most heated point.</t>
  </si>
  <si>
    <t>diag_msg_t_tp</t>
  </si>
  <si>
    <t>Температура верхних слоёв.</t>
  </si>
  <si>
    <t>The temperature of the upper layers.</t>
  </si>
  <si>
    <t>diag_msg_t_ltc</t>
  </si>
  <si>
    <t>Температура в баке РПН.</t>
  </si>
  <si>
    <t>The temperature in the AUL tank.</t>
  </si>
  <si>
    <t>diag_msg_pa</t>
  </si>
  <si>
    <t>Фаза А.</t>
  </si>
  <si>
    <t>Phase A.</t>
  </si>
  <si>
    <t>diag_msg_pb</t>
  </si>
  <si>
    <t>Фаза В.</t>
  </si>
  <si>
    <t>Phase B.</t>
  </si>
  <si>
    <t>diag_msg_pc</t>
  </si>
  <si>
    <t>Фаза С.</t>
  </si>
  <si>
    <t>Phase C.</t>
  </si>
  <si>
    <t>diag_msg_mgg_hv</t>
  </si>
  <si>
    <t>ВН</t>
  </si>
  <si>
    <t>HV</t>
  </si>
  <si>
    <t>diag_msg_mgg_mv</t>
  </si>
  <si>
    <t>СН</t>
  </si>
  <si>
    <t>MV</t>
  </si>
  <si>
    <t>diag_msg_mgg_lv</t>
  </si>
  <si>
    <t>НН</t>
  </si>
  <si>
    <t>LV</t>
  </si>
  <si>
    <t>diag_msg_mgg_lv1</t>
  </si>
  <si>
    <t>НН1</t>
  </si>
  <si>
    <t>LV1</t>
  </si>
  <si>
    <t>diag_msg_mgg_lv2</t>
  </si>
  <si>
    <t>НН2</t>
  </si>
  <si>
    <t>LV2</t>
  </si>
  <si>
    <t>diag_msg_roc_pd_level</t>
  </si>
  <si>
    <t>Уровень относительного роста характеристик ЧР</t>
  </si>
  <si>
    <t>Relative change of PD characteristics</t>
  </si>
  <si>
    <t>diag_msg_pd_level</t>
  </si>
  <si>
    <t>Уровень активности ЧР</t>
  </si>
  <si>
    <t>PD characteristics</t>
  </si>
  <si>
    <t>diag_msg_pd_sensor_i</t>
  </si>
  <si>
    <t>Датчик ЧР №{param1}.</t>
  </si>
  <si>
    <t>PD Sensor No{param1}.</t>
  </si>
  <si>
    <t>diag_msg_sf6_sensor_i</t>
  </si>
  <si>
    <t>Датчик №{param1}.</t>
  </si>
  <si>
    <t>Sensor No{param1}.</t>
  </si>
  <si>
    <t>diag_msg_sf6_control</t>
  </si>
  <si>
    <t>Контроль давления элегаза.</t>
  </si>
  <si>
    <t>SF6 pressure control.</t>
  </si>
  <si>
    <t>diag_msg_sf6_temp_down</t>
  </si>
  <si>
    <t>Температура элегаза ниже температуры сжижения.</t>
  </si>
  <si>
    <t>The temperature of the SF6 gas is below the liquefaction temperature.</t>
  </si>
  <si>
    <t>diag_msg_sf6_leakage_year</t>
  </si>
  <si>
    <t>Значение утечки элегаза за год превысило допустимое значение.</t>
  </si>
  <si>
    <t>The annual SF6 leakage rate exceeded the permissible value.</t>
  </si>
  <si>
    <t>diag_msg_sf6_leakage_month</t>
  </si>
  <si>
    <t>Значение утечки элегаза за месяц превысило допустимое годовое значение.</t>
  </si>
  <si>
    <t>The monthly SF6 leakage value exceeded the permissible annual value.</t>
  </si>
  <si>
    <t>diag_msg_sf6_leakage_day</t>
  </si>
  <si>
    <t>Значение утечки элегаза за сутки превысило допустимое годовое значение.</t>
  </si>
  <si>
    <t>The day SF6 leakage value exceeded the permissible annual value.</t>
  </si>
  <si>
    <t>diag_msg_sf6_dens_control</t>
  </si>
  <si>
    <t>Контроль плотности элегаза.</t>
  </si>
  <si>
    <t>SF6 density control.</t>
  </si>
  <si>
    <t>diag_msg_roc_pd_level_sensors</t>
  </si>
  <si>
    <t>Присутсвует превышение предельно-допустимого уровня активности ЧР на датчиках: {param1}.</t>
  </si>
  <si>
    <t>Exceeded activity level of PD characteristics detected on sensors: {param1}.</t>
  </si>
  <si>
    <t>diag_msg_pd_level_sensors</t>
  </si>
  <si>
    <t>Присутсвует превышение пердельно-допустимого уровня относительного роста характеристик ЧР на датчиках: {param1}.</t>
  </si>
  <si>
    <t>Exceeded activity level of Relative change of PD characteristics detected on sensors:</t>
  </si>
  <si>
    <t>diag_msg_pd_electrode</t>
  </si>
  <si>
    <t>Обнаружен дефект типа "Плавающий электрод на датчиках" на датчиках: {param1}.</t>
  </si>
  <si>
    <t>A "Floating Electrode" type defect was detected on the sensors:</t>
  </si>
  <si>
    <t>diag_msg_pd_corona</t>
  </si>
  <si>
    <t>Обнаружен дефект типа "Корона" на датчиках: {param1}.</t>
  </si>
  <si>
    <t>A "Corona" type defect was detected on the sensors:</t>
  </si>
  <si>
    <t>diag_msg_pd_void</t>
  </si>
  <si>
    <t>Обнаружен дефект типа "Внутренние полости в изоляции" на датчиках: {param1}.</t>
  </si>
  <si>
    <t>A "Void" type defect was detected on the sensors:</t>
  </si>
  <si>
    <t>diag_msg_pd_particle</t>
  </si>
  <si>
    <t>Обнаружен дефект типа "Свободные частицы" на датчиках: {param1}.</t>
  </si>
  <si>
    <t>A "Particle" type defect was detected on the sensors:</t>
  </si>
  <si>
    <t>diag_msg_pd_surface</t>
  </si>
  <si>
    <t>Обнаружен дефект типа "Поверхностный разряд" на датчиках: {param1}.</t>
  </si>
  <si>
    <t>A "Surface" type defect was detected on the sensors:</t>
  </si>
  <si>
    <t>diag_msg_motivation_pd</t>
  </si>
  <si>
    <t>Провести визуальный контроль видимых цепей заземления.
Выполнить измерение параметров ЧР.
Замерить сопротивление цепи заземления постоянному току.</t>
  </si>
  <si>
    <t>Perform visual inspection of grounding circuitry.
Check PD level readings.
Measure grounding circuitry resistance to AC voltage.</t>
  </si>
  <si>
    <t>diag_msg_motivation_d1</t>
  </si>
  <si>
    <t>Провести визуальный контроль видимых цепей заземления.
Выполнить измерение параметров ЧР.
Замерить  сопротивление цепи заземления постоянному току.</t>
  </si>
  <si>
    <t>diag_msg_motivation_d2</t>
  </si>
  <si>
    <t>Выполнить измерение параметров ЧР. 
Замерить потери и ток холостого хода при малом напряжении (для диагностики межвитковых замыканий).
Провести испытания изоляции обмоток и вводов повышенным напряжением.</t>
  </si>
  <si>
    <t>Check PD level readings.
Magnetisation current.
Measure insulation resistance</t>
  </si>
  <si>
    <t>diag_msg_motivation_d_volt</t>
  </si>
  <si>
    <t>Для исключения влияния перенапряжения выполнить анализ растворённых газов после изменения режима работы оборудования. 
Если изменить режим невозможно, то ориентироваться на динамику роста концентраций, чтобы не пропустить развитие дефекта</t>
  </si>
  <si>
    <t>After the incident perform dissolved gas analysis.
Monitor the dynamics of changes in gas concentrations.</t>
  </si>
  <si>
    <t>diag_msg_motivation_t_volt</t>
  </si>
  <si>
    <t>Проверить  цепи заземления трансформатора (измерение сопротивления, визуальный осмотр при отключении трансформатора).
Замерить потери и ток холостого хода при малом напряжении (для диагностики межвитковых замыканий).
Выполнить измерение параметров ЧР.
Замерить уровни параметров вибрации на стенке бака силового трансформатора под нагрузкой и в режиме холостого хода.</t>
  </si>
  <si>
    <t>Perform visual inspection of grounding circuitry.
Measure insulation resistance of grounding circuitry.
Magnetisation current.
Measure vibration on the housing with and without load.</t>
  </si>
  <si>
    <t>diag_msg_motivation_t1</t>
  </si>
  <si>
    <t>Выполнить тепловизионный контроль.
Провести оценку маркеров деградации состояния бумажной изоляции.
Проанализировать соотношение CO2/CO.
При длительном развитии дефекта:
1. Измерить потери холостого хода при малом напряжении;
2. Выполнить контроль показателей качества масла с целью проверить необходимость регенерации масла</t>
  </si>
  <si>
    <t>Thermal imaging examination.
Check CO2/CO.
To evaluate the markers of degradation of paper insulation.
With prolonged development of the defect:
1. Magnetisation current.
2. Check the oil quality.</t>
  </si>
  <si>
    <t>diag_msg_motivation_t2</t>
  </si>
  <si>
    <t>Выполнить тепловизионный контроль.
Выполнить измерение параметров ЧР.
Замерить потери и ток холостого хода при малом напряжении (для диагностики межвитковых замыканий).
При длительном развитии дефекта выполнить контроль показателей качества масла для проверки необходимости регенерации масла. Проанализировать соотношение CO2/CO.</t>
  </si>
  <si>
    <t>Thermal imaging examination.
Check PD level readings.
Magnetisation current.
With prolonged development of the defect:
1. Check CO2/CO.
2. Check the oil quality.</t>
  </si>
  <si>
    <t>diag_msg_motivation_t3</t>
  </si>
  <si>
    <t>Выполнить тепловизионный контроль.
Замерить сопротивление цепи заземления постоянному току.
Выполнить измерение сопротивления обмоток постоянному току.
Замерить потери и ток холостого хода при малом напряжении (для диагностики межвитковых замыканий)</t>
  </si>
  <si>
    <t>Thermal imaging examination.
Measure grounding circuitry resistance to AC voltage.
Winding Resistance.
Magnetisation current.</t>
  </si>
  <si>
    <t>diag_msg_motivation_t_d</t>
  </si>
  <si>
    <t>Провести тепловизионные исследования.
Выполнить измерение сопротивления обмоток постоянному току.</t>
  </si>
  <si>
    <t>Thermal imaging examination.
Measure grounding circuitry resistance to AC voltage.</t>
  </si>
  <si>
    <t>diag_msg_motivation_t_hst</t>
  </si>
  <si>
    <t>После изменения режима работы оборудования выполнить анализ растворённых газов в масле. Если изменить режим невозможно, то ориентироваться на динамику роста концентраций, чтобы не пропустить развитие дефекта</t>
  </si>
  <si>
    <t>diag_msg_motivation_wcl_rc</t>
  </si>
  <si>
    <r>
      <rPr>
        <i/>
        <sz val="11"/>
        <color theme="1"/>
        <rFont val="Calibri"/>
      </rPr>
      <t>Возможно увлажнение масла</t>
    </r>
    <r>
      <rPr>
        <sz val="11"/>
        <color theme="1"/>
        <rFont val="Calibri"/>
      </rPr>
      <t xml:space="preserve">.
Выполнить измерение абсолютного влагосодержания масла.
При длительном развитии дефекта измерить диэлектрические параметры изоляции, влагосодержание твердой изоляции. Контроль СО2/СО. Определить удельное объемное сопротивление трансформаторного масла.
</t>
    </r>
    <r>
      <rPr>
        <i/>
        <sz val="11"/>
        <color theme="1"/>
        <rFont val="Calibri"/>
      </rPr>
      <t>Возможно нарушение работы воздухоосушителя/пленки.</t>
    </r>
    <r>
      <rPr>
        <sz val="11"/>
        <color theme="1"/>
        <rFont val="Calibri"/>
      </rPr>
      <t xml:space="preserve">
Выполнить внешний осмотр воздухоосушителя, выполнить измерение абсолютного влагосодержания масла,
кислотного числа масла, содержания антиокислительной присадки в масле.
При длительном развитии дефекта измерить диэлектрические параметры масла и твёрдой изоляции, тангенс угла диэлектрических потерь.
</t>
    </r>
    <r>
      <rPr>
        <i/>
        <sz val="11"/>
        <color theme="1"/>
        <rFont val="Calibri"/>
      </rPr>
      <t>Возможна разгерметизация бака.</t>
    </r>
    <r>
      <rPr>
        <sz val="11"/>
        <color theme="1"/>
        <rFont val="Calibri"/>
      </rPr>
      <t xml:space="preserve">
Выполнить внешний осмотр оборудования.
Проконтролировать общее газосодержание в масле.
Выполнить измерение абсолютного газосодержания в масле, определить кислотное число масло, проанализировать соотношение O2/N2.
При длительном развитии дефекта измерить диэлектрические параметры масла и твёрдой изоляции, тангенс угла диэлектрических потерь, влагосодержание твердой изоляции, содержание антиокислительной присадки (в случае, если кислотное число не соответствует норме).</t>
    </r>
  </si>
  <si>
    <t>Oil humidification is possible.
Measure the oil moisture content.
With prolonged development of the defect: 
1. Insulation Resistance.
2. Check CO2/CO.
3. Check the oil quality.
Possible leakproofness.
Visual inspection of the equipment.
Measure the oil moisture content.
Check O2/N2.
With prolonged development of the defect: 
1. Capacitance and DF/PF.
2. Check the oil quality.</t>
  </si>
  <si>
    <t>diag_msg_motivation_wcp</t>
  </si>
  <si>
    <t>Выполнить измерение диэлектрических параметров изоляции.
Определить влагосодержания твердой изоляции расчетными методами.
Запланировать проведение сушки твердой изоляции</t>
  </si>
  <si>
    <t>Insulation Resistance.
Determine the moisture content of the paper</t>
  </si>
  <si>
    <t>diag_msg_device_busbar</t>
  </si>
  <si>
    <t>Отсек сборных шин.</t>
  </si>
  <si>
    <t>The busbar compartment.</t>
  </si>
  <si>
    <t>diag_msg_device_input</t>
  </si>
  <si>
    <t>Отсек ввода.</t>
  </si>
  <si>
    <t>The input compartment.</t>
  </si>
  <si>
    <t>diag_msg_device_insulator_tp</t>
  </si>
  <si>
    <t>Верхний изолятор.</t>
  </si>
  <si>
    <t>The upper insulator.</t>
  </si>
  <si>
    <t>diag_msg_device_insulator_bt</t>
  </si>
  <si>
    <t>Нижний изолятор.</t>
  </si>
  <si>
    <t>The lower insulator.</t>
  </si>
  <si>
    <t>diag_msg_bush</t>
  </si>
  <si>
    <t>Высоковольтный ввод</t>
  </si>
  <si>
    <t>High voltage input</t>
  </si>
  <si>
    <t>diag_msg_winding</t>
  </si>
  <si>
    <t>Обмотка</t>
  </si>
  <si>
    <t>The winding</t>
  </si>
  <si>
    <t>diag_msg_gis</t>
  </si>
  <si>
    <t>КРУЭ.</t>
  </si>
  <si>
    <t>Gas Insulated Switchgear (GIS).</t>
  </si>
  <si>
    <t>diag_msg_point</t>
  </si>
  <si>
    <t>.</t>
  </si>
  <si>
    <t>diag_msg_only_param</t>
  </si>
  <si>
    <t>{param1}</t>
  </si>
  <si>
    <t>diag_msg_signal_quality</t>
  </si>
  <si>
    <t>Сигнал {param1} получен с качеством {param2}.</t>
  </si>
  <si>
    <t>The signal {param1} was received with the quality {param2}.</t>
  </si>
  <si>
    <t>diag_msg_signal_read_err</t>
  </si>
  <si>
    <t>Сигнал {param1} от {param2} не удалось получить с {param3}:{param4}, {param5}.</t>
  </si>
  <si>
    <t>The signal {param1} from {param2} could not be received from {param3}:{param4}, {param5}.</t>
  </si>
  <si>
    <t>diag_msg_signal_incorrect_model</t>
  </si>
  <si>
    <t>Сигнал {param1} - некорректно указано название модели {param2}.</t>
  </si>
  <si>
    <t>Signal {param1} - the name of the model {param2} is incorrect.</t>
  </si>
  <si>
    <t>diag_msg_signal_bad_formula</t>
  </si>
  <si>
    <t>Сигнал {param1} - формула {param2} содержит алфавитные символы.</t>
  </si>
  <si>
    <t>Signal {param1} - the formula {param2} contains alphabetic characters.</t>
  </si>
  <si>
    <t>diag_msg_signal_no_quality</t>
  </si>
  <si>
    <t>Сигнал {param1} - не удалось получить метку качества, {param2}.</t>
  </si>
  <si>
    <t>Signal {param1} - failed to get a quality label, {param2}.</t>
  </si>
  <si>
    <t>diag_msg_signal_bad_address_or_type</t>
  </si>
  <si>
    <t>Сигнал {param1} - неправильно сконфигурирован общий адрес или тип.</t>
  </si>
  <si>
    <t>Signal {param1} - the shared address or type is incorrectly configured.</t>
  </si>
  <si>
    <t>diag_msg_signal_bad_type</t>
  </si>
  <si>
    <t>Сигнал {param1} - неправильно указан тип {param2}.</t>
  </si>
  <si>
    <t>Signal {param1} - the type {param2} is incorrectly specified.</t>
  </si>
  <si>
    <t>diag_msg_signal_read_err2</t>
  </si>
  <si>
    <t>Сигнал {param1} не удалось получить по адресу {param2}.{param3}, {param4}  function={param5}, bytes count={param6}.</t>
  </si>
  <si>
    <t>The signal {param1} could not be received at {param2}.{param3}, {param4} function={param5}, bytes count={param6}.</t>
  </si>
  <si>
    <t>diag_msg_signal_read_err3</t>
  </si>
  <si>
    <t>Сигнал {param1} не удалось получить по адресу {param2}</t>
  </si>
  <si>
    <t>The signal {param1} could not be received at {param2}</t>
  </si>
  <si>
    <t>diag_msg_devices_connect_status</t>
  </si>
  <si>
    <t>Не удалось подключиться к {param1}:{param2}, статус {param3}.</t>
  </si>
  <si>
    <t>Failed to connect to {param1}:{param2}, status {param3}.</t>
  </si>
  <si>
    <t>diag_msg_devices_connect_error</t>
  </si>
  <si>
    <t>Не удалось подключиться к {param1}:{param2}, ошибка: {param3}.</t>
  </si>
  <si>
    <t>Failed to connect to {param1}:{param2}, error: {param3}.</t>
  </si>
  <si>
    <t>diag_msg_return_nan</t>
  </si>
  <si>
    <t>Вернул nan.</t>
  </si>
  <si>
    <t>Returned nan.</t>
  </si>
  <si>
    <t>diag_msg_model_check_all_values</t>
  </si>
  <si>
    <t>Для запуска модели {param1} необходимы все значения {param2}.</t>
  </si>
  <si>
    <t>To run the model {param1} all values of {param2} are required.</t>
  </si>
  <si>
    <t>diag_msg_model_check_any_values</t>
  </si>
  <si>
    <t>Для запуска модели {param1} необходимо хотя бы одно значение из {param2} {param3}.</t>
  </si>
  <si>
    <t>To run the model {param1}, at least one value from {param2} {param3} are required.</t>
  </si>
  <si>
    <t>diag_msg_model_skip_same_timestamp</t>
  </si>
  <si>
    <t>Запуск модели {param1} пропускается, т.к. уже запущена на этой отметке времени {param2}.</t>
  </si>
  <si>
    <t>Model {param1} run is skipped because it is already running at this timestamp {param2}.</t>
  </si>
  <si>
    <t>diag_msg_model_skip_before_period</t>
  </si>
  <si>
    <t>Запуск модели {param1} пропускается, т.к. уже запущена в течении периода {param2} секунд.</t>
  </si>
  <si>
    <t>Model {param1} run is skipped because it has already been running for {param2} seconds.</t>
  </si>
  <si>
    <t>diag_msg_model_fail_request</t>
  </si>
  <si>
    <t>Запуск модели {param1} не удался, код {param2}, ответ: {param3}.</t>
  </si>
  <si>
    <t>Model {param1} run failed, code {param2}, response: {param3}.</t>
  </si>
  <si>
    <t>diag_msg_model_fail_decode</t>
  </si>
  <si>
    <t>Запуск модели {param1} не удался, {param2}.</t>
  </si>
  <si>
    <t>Model {param1} run failed, response reading error, {param2}.</t>
  </si>
  <si>
    <t>decreasing_the_load</t>
  </si>
  <si>
    <t>Высокая скорость износа ({param1}).</t>
  </si>
  <si>
    <t>High ageing rate ({param1}).</t>
  </si>
  <si>
    <t>high_methane</t>
  </si>
  <si>
    <t>Высокая концентрация метана, этилена и этана.</t>
  </si>
  <si>
    <t>High methane, ethylene and ethane concentration.</t>
  </si>
  <si>
    <t>high_temperature</t>
  </si>
  <si>
    <t>Высокотемпературный дефект в треугольнике и пятиугольнике Дюваля.</t>
  </si>
  <si>
    <t>High temperature defect per Duval triangle and pentagon.</t>
  </si>
  <si>
    <t>moisture_a_b</t>
  </si>
  <si>
    <t>Коэффициенты влажности A и B обновлены в соответствии с представленными оффлайн данными ХАРГ. Обновлены следующие значения: A - с 7,11 до 7,23, B - с 1453 до 1511.</t>
  </si>
  <si>
    <t>Moisture A and B coefficients updated per the submitted offline DGA data. Updates are: A value from 7.11 to 7.23, B value from 1453 to 1511.</t>
  </si>
  <si>
    <t>hysteresis_curve</t>
  </si>
  <si>
    <t>Смещение кривой гистерезиса в нижнюю область.</t>
  </si>
  <si>
    <t>Hysteresis curve migration to lower region.</t>
  </si>
  <si>
    <t>curve_pattern</t>
  </si>
  <si>
    <t>В данных ёмкости ввода фазы B обнаружен ступенчатый характер изменения.</t>
  </si>
  <si>
    <t>Step up curve pattern recognized in phase B bushing capacitance.</t>
  </si>
  <si>
    <t>proposal_90000</t>
  </si>
  <si>
    <t>Рассмотрите возможность снижения нагрузки.</t>
  </si>
  <si>
    <t>Consider decreasing the load.</t>
  </si>
  <si>
    <t>proposal_90002</t>
  </si>
  <si>
    <t>Выполните лабораторный ХАРГ для подтверждения. Проверьте прибор контроля концентраций газов на наличие неисправностей. Рассмотрите возможность вывода трансформатора из работы для осмотра.</t>
  </si>
  <si>
    <t>Initiate lab sampling for confirmation. Check online DGA monitor for malfunctions. Consider shutting down the transformer for investigation.</t>
  </si>
  <si>
    <t>proposal_90001</t>
  </si>
  <si>
    <t>Выполните лабораторный ХАРГ для подтверждения.</t>
  </si>
  <si>
    <t>Initiate lab sampling and analysis for confirmation.</t>
  </si>
  <si>
    <t>proposal_90004</t>
  </si>
  <si>
    <t>Рассмотрите возможность проведения лабораторного ФХА.</t>
  </si>
  <si>
    <t>Consider initiating offline oil sampling and analysis.</t>
  </si>
  <si>
    <t>proposal_90005</t>
  </si>
  <si>
    <t>Рассмотрите возможность ручной проверки ввода при плановом отключении трансформатора.</t>
  </si>
  <si>
    <t>Consider manual bushing checks on scheduled transformer shut down.</t>
  </si>
  <si>
    <t>diag_over_lim</t>
  </si>
  <si>
    <t>Значение {param1} = {param2} превысило {param3}.</t>
  </si>
  <si>
    <t>The value of {param1} = {param2} exceeded {param3}.</t>
  </si>
  <si>
    <t>label.code</t>
  </si>
  <si>
    <t>assetModel</t>
  </si>
  <si>
    <t>Модель</t>
  </si>
  <si>
    <t>Model</t>
  </si>
  <si>
    <t>assetType</t>
  </si>
  <si>
    <t>Тип</t>
  </si>
  <si>
    <t xml:space="preserve">Type </t>
  </si>
  <si>
    <t>conclusTblConclus1</t>
  </si>
  <si>
    <t>При очередном обходе осмотреть прибор ГВС проверить наличие индикации ошибок.</t>
  </si>
  <si>
    <t>Check local DGA monitor fault indication during the next scheduled visual inspection.</t>
  </si>
  <si>
    <t>conclusTblConclus2</t>
  </si>
  <si>
    <t>Необходимо выполнить внеочередной ХАРГ. Ответственный - служба диагностики.</t>
  </si>
  <si>
    <t>Off-schedule DGA lab sampling required.</t>
  </si>
  <si>
    <t>conclusTblConclus3</t>
  </si>
  <si>
    <t>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</si>
  <si>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Report to the diagnostics department. If the load decrease is mandated, check with the grid operator on the acceptable load level.</t>
  </si>
  <si>
    <t>conclusTblConclus4</t>
  </si>
  <si>
    <t>Выполнить визуальный осмотр состояния высоковольтных вводов. Доложить в службу диагностики.</t>
  </si>
  <si>
    <t>Off-schedule bushsing condition required.</t>
  </si>
  <si>
    <t>conclusTblConclus5</t>
  </si>
  <si>
    <t>Доложить в службу диагностики и в оперативно-диспетчерскую службу.</t>
  </si>
  <si>
    <t>Report to the diagnostics and grid regulation departments.</t>
  </si>
  <si>
    <t>conclusTblConclus6</t>
  </si>
  <si>
    <t>Доложить в службу диагностики.</t>
  </si>
  <si>
    <t>Report to the diagnostics department.</t>
  </si>
  <si>
    <t>conclusTblConclus7</t>
  </si>
  <si>
    <t>Выполнить визуальный осмотр системы охлаждения.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</si>
  <si>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Perform a visual inspection of the cooling system. Report to the diagnostic department. If the load decrease is mandated, check with the grid operator on the acceptable load level.</t>
  </si>
  <si>
    <t>conclusTblConclus8</t>
  </si>
  <si>
    <t>Визуализировать допустимую длительность перегрузки при текущей кратности. Доложить в службу диагностики, при получении решения о снижении нагрузки - согласовать его с оперативно-диспетчерской службой, получить требуемый уровень снижения нагрузки.</t>
  </si>
  <si>
    <t>Visualize the allowable overload duration at the current multiplicity. Report to the diagnostic service, upon receipt of a decision to reduce the load, coordinate it with the operational dispatch service, get the required level of load reduction.</t>
  </si>
  <si>
    <t>conclusTblConclus9</t>
  </si>
  <si>
    <t>Выполнить визуальный осмотр. Доложить в службу диагностики.</t>
  </si>
  <si>
    <t>Perform a visual inspection. Report to the diagnostic service.</t>
  </si>
  <si>
    <t>conclusTblRequir1</t>
  </si>
  <si>
    <t>Превышение ПДЗ любой из концентраций.</t>
  </si>
  <si>
    <t>Exceeding the MPV of any concentration.</t>
  </si>
  <si>
    <t>conclusTblRequir10</t>
  </si>
  <si>
    <t>Превышение ДЗ влажности твёрдой изоляции.</t>
  </si>
  <si>
    <t>Exceeding the PV humidity of solid insulation.</t>
  </si>
  <si>
    <t>conclusTblRequir11</t>
  </si>
  <si>
    <t>Превышение ДЗ влажности масла.</t>
  </si>
  <si>
    <t>Exceeding PV oil humidity.</t>
  </si>
  <si>
    <t>conclusTblRequir12</t>
  </si>
  <si>
    <t>Превышение ДЗ температуры верхних слоёв масла.</t>
  </si>
  <si>
    <t>Exceeding the PV temperature of the upper oil layers.</t>
  </si>
  <si>
    <t>conclusTblRequir13</t>
  </si>
  <si>
    <t>Превышение ДЗ механического износа РПН.</t>
  </si>
  <si>
    <t>Exceeding the PV of mechanical wear of the AUL.</t>
  </si>
  <si>
    <t>conclusTblRequir14</t>
  </si>
  <si>
    <t>Превышение ДЗ электрического износа РПН.</t>
  </si>
  <si>
    <t>Exceeding the PV of the electrical wear of the AUL.</t>
  </si>
  <si>
    <t>conclusTblRequir15</t>
  </si>
  <si>
    <t>Превышение ДЗ действующего значения тока по обмотке.</t>
  </si>
  <si>
    <t>Exceeding the PV current value of the winding.</t>
  </si>
  <si>
    <t>conclusTblRequir16</t>
  </si>
  <si>
    <t>Уровень ЧР выше ДЗ.</t>
  </si>
  <si>
    <t>The level of PD is higher than PV.</t>
  </si>
  <si>
    <t>conclusTblRequir2</t>
  </si>
  <si>
    <t>Превышение ПДЗ любой из концентраций и расхождения с лабораторным ХАРГ.</t>
  </si>
  <si>
    <t>Exceeding the MPV of any of the concentrations and discrepancies with the laboratory DGA.</t>
  </si>
  <si>
    <t>conclusTblRequir3</t>
  </si>
  <si>
    <t>Превышение ДЗ скорости износа изоляции.</t>
  </si>
  <si>
    <t>Exceeding the PV wear rate of insulation.</t>
  </si>
  <si>
    <t>conclusTblRequir4</t>
  </si>
  <si>
    <t>Превышение ДЗ или ПДЗ тангенса и ёмкости С1 изоляции вводов.</t>
  </si>
  <si>
    <t>Exceeding the PV or MPV of the tangent and capacitance C1 of the insulation of the inputs.</t>
  </si>
  <si>
    <t>conclusTblRequir5</t>
  </si>
  <si>
    <t>Превышение ДЗ или ПДЗ скорости изменения тангенса и ёмкости С1 изоляции вводов.</t>
  </si>
  <si>
    <t>Exceeding the PV or MPV of the rate of change of the tangent and the capacitance C1 of the insulation of the inputs.</t>
  </si>
  <si>
    <t>conclusTblRequir6</t>
  </si>
  <si>
    <t>Превышение ДЗ величины действующего значения напряжения.</t>
  </si>
  <si>
    <t>Exceeding the PV value of the current voltage value.</t>
  </si>
  <si>
    <t>conclusTblRequir7</t>
  </si>
  <si>
    <t>Превышение ДЗ длительности действующего значения напряжения.</t>
  </si>
  <si>
    <t>Exceeding the PV duration of the current voltage value.</t>
  </si>
  <si>
    <t>conclusTblRequir8</t>
  </si>
  <si>
    <t>Превышение ДЗ допустимого числа перенапряжений.</t>
  </si>
  <si>
    <t>Exceeding the PV permissible number of overvoltages.</t>
  </si>
  <si>
    <t>conclusTblRequir9</t>
  </si>
  <si>
    <t>Превышение ПДЗ ТННТ.</t>
  </si>
  <si>
    <t>Exceeding MPV TMHP.</t>
  </si>
  <si>
    <t>forecast3DConcetrationAxe</t>
  </si>
  <si>
    <t>Концентрация {}, ppm</t>
  </si>
  <si>
    <t>{} concentration, ppm</t>
  </si>
  <si>
    <t>forecast3DCurrentAxe</t>
  </si>
  <si>
    <t>Ток, A</t>
  </si>
  <si>
    <t>Load current, A</t>
  </si>
  <si>
    <t>forecast3DTempAxe</t>
  </si>
  <si>
    <t>Температура верхних слоев масла, C</t>
  </si>
  <si>
    <t>Top oil temperature, C</t>
  </si>
  <si>
    <t>gdTblDefect1</t>
  </si>
  <si>
    <t>Нормально</t>
  </si>
  <si>
    <t>Normally</t>
  </si>
  <si>
    <t>gdTblDefect2</t>
  </si>
  <si>
    <t>ЧР с низкой плотностью энергии</t>
  </si>
  <si>
    <t>PD with low energy density</t>
  </si>
  <si>
    <t>gdTblDefect3</t>
  </si>
  <si>
    <t>ЧР с высокой плотностью энергии</t>
  </si>
  <si>
    <t>PD with high energy density</t>
  </si>
  <si>
    <t>gdTblDefect4</t>
  </si>
  <si>
    <t>Разряды малой мощности</t>
  </si>
  <si>
    <t>Low-power discharges</t>
  </si>
  <si>
    <t>gdTblDefect5</t>
  </si>
  <si>
    <t>Разряды большой мощности</t>
  </si>
  <si>
    <t>High-power discharges</t>
  </si>
  <si>
    <t>gdTblDefect6</t>
  </si>
  <si>
    <t>Термический дефект низкой температуры (до 150 град.С)</t>
  </si>
  <si>
    <t>Low temperature thermal defect (up to 150 degrees C)</t>
  </si>
  <si>
    <t>gdTblDefect7</t>
  </si>
  <si>
    <t>Термический дефект в диапазоне низких температур (150-300 град.С)</t>
  </si>
  <si>
    <t>Thermal defect in the low temperature range (150-300 degrees C)</t>
  </si>
  <si>
    <t>gdTblDefect8</t>
  </si>
  <si>
    <t>Термический дефект в диапазоне средних температур (300-700 град.С)</t>
  </si>
  <si>
    <t>Thermal defect in the medium temperature range (300-700 degrees C)</t>
  </si>
  <si>
    <t>gdTblDefect9</t>
  </si>
  <si>
    <t>Термический дефект высокой температуры (более 700 град.С)</t>
  </si>
  <si>
    <t>Thermal defect of high temperature (more than 700 degrees C)</t>
  </si>
  <si>
    <t>gdTblExampl1</t>
  </si>
  <si>
    <t>Нормальное старение</t>
  </si>
  <si>
    <t>Normal ageing</t>
  </si>
  <si>
    <t>gdTblExampl2</t>
  </si>
  <si>
    <t>Разряды в заполненных газом полостях</t>
  </si>
  <si>
    <t>Discharges in gas-filled cavities</t>
  </si>
  <si>
    <t>gdTblExampl3</t>
  </si>
  <si>
    <t>gdTblExampl4</t>
  </si>
  <si>
    <t>Непрерывное искрение в масле</t>
  </si>
  <si>
    <t>Continuous sparking in oil</t>
  </si>
  <si>
    <t>gdTblExampl5</t>
  </si>
  <si>
    <t>Дуговые разряды</t>
  </si>
  <si>
    <t>Arc discharges</t>
  </si>
  <si>
    <t>gdTblExampl6</t>
  </si>
  <si>
    <t>Перегрев изолированного проводника</t>
  </si>
  <si>
    <t>Overheating of the insulated conductor</t>
  </si>
  <si>
    <t>gdTblExampl7</t>
  </si>
  <si>
    <t>Местный перегрев сердечника</t>
  </si>
  <si>
    <t>Local overheating of the core</t>
  </si>
  <si>
    <t>gdTblExampl8</t>
  </si>
  <si>
    <t>gdTblExampl9</t>
  </si>
  <si>
    <t>Горячая точка в сердечнике</t>
  </si>
  <si>
    <t>A hotspot in the core</t>
  </si>
  <si>
    <t>gis_params</t>
  </si>
  <si>
    <t>Параметры КРУЭ</t>
  </si>
  <si>
    <t>GIS Parameters</t>
  </si>
  <si>
    <t>lastValTableBushing</t>
  </si>
  <si>
    <t>Состояние вводов</t>
  </si>
  <si>
    <t>State of bushing</t>
  </si>
  <si>
    <t>lastValTableGases</t>
  </si>
  <si>
    <t>Газы</t>
  </si>
  <si>
    <t>Gases</t>
  </si>
  <si>
    <t>lastValTableHumidity</t>
  </si>
  <si>
    <t>Влагосодержание</t>
  </si>
  <si>
    <t>Moisture</t>
  </si>
  <si>
    <t>lastValTablePower</t>
  </si>
  <si>
    <t>Мощность</t>
  </si>
  <si>
    <t>Power</t>
  </si>
  <si>
    <t>lastValTableTemp</t>
  </si>
  <si>
    <t>Температура</t>
  </si>
  <si>
    <t>Temperature</t>
  </si>
  <si>
    <t>lastValTableVGases</t>
  </si>
  <si>
    <t>Скорость роста концентраций газов</t>
  </si>
  <si>
    <t>The rate of increase in gas concentrations</t>
  </si>
  <si>
    <t>ageing</t>
  </si>
  <si>
    <t>Ageing</t>
  </si>
  <si>
    <t>bush</t>
  </si>
  <si>
    <t>cooling</t>
  </si>
  <si>
    <t>Cooling</t>
  </si>
  <si>
    <t>gases</t>
  </si>
  <si>
    <t>hi</t>
  </si>
  <si>
    <t>Health index</t>
  </si>
  <si>
    <t>humidity</t>
  </si>
  <si>
    <t>load</t>
  </si>
  <si>
    <t>Load</t>
  </si>
  <si>
    <t>partial discharges</t>
  </si>
  <si>
    <t>ЧР</t>
  </si>
  <si>
    <t>PD</t>
  </si>
  <si>
    <t>pd_intensity</t>
  </si>
  <si>
    <t>Интенсивность ЧР</t>
  </si>
  <si>
    <t>PD intensity</t>
  </si>
  <si>
    <t>pd_level</t>
  </si>
  <si>
    <t>Уровень ЧР</t>
  </si>
  <si>
    <t>PD level</t>
  </si>
  <si>
    <t>sf6</t>
  </si>
  <si>
    <t>SF6</t>
  </si>
  <si>
    <t>sf6_leakage_rate</t>
  </si>
  <si>
    <t>Скорость утечки элегаза</t>
  </si>
  <si>
    <t>SF6 leakage rate</t>
  </si>
  <si>
    <t>sf6_pressure</t>
  </si>
  <si>
    <t>Давление элегаза</t>
  </si>
  <si>
    <t>SF6 pressure</t>
  </si>
  <si>
    <t>temp</t>
  </si>
  <si>
    <t>v_gases</t>
  </si>
  <si>
    <t>Скорость изменения концентрации газов</t>
  </si>
  <si>
    <t>in_year</t>
  </si>
  <si>
    <t>За год</t>
  </si>
  <si>
    <t>In year</t>
  </si>
  <si>
    <t>in_day</t>
  </si>
  <si>
    <t>За сутки</t>
  </si>
  <si>
    <t>In day</t>
  </si>
  <si>
    <t>total</t>
  </si>
  <si>
    <t>Всего</t>
  </si>
  <si>
    <t>Total</t>
  </si>
  <si>
    <t>for_pause</t>
  </si>
  <si>
    <t>По паузе</t>
  </si>
  <si>
    <t>For pause</t>
  </si>
  <si>
    <t>overvolt_110_total_sgn_name</t>
  </si>
  <si>
    <t>Перенапряжения кратностью 1.1</t>
  </si>
  <si>
    <t>Overvoltage multiplicity 1.1</t>
  </si>
  <si>
    <t>overvolt_125_total_sgn_name</t>
  </si>
  <si>
    <t>Перенапряжения кратностью 1.25</t>
  </si>
  <si>
    <t>Overvoltage multiplicity 1.25</t>
  </si>
  <si>
    <t>cat_of_general_params_name</t>
  </si>
  <si>
    <t>Общие параметры</t>
  </si>
  <si>
    <t>General parameters</t>
  </si>
  <si>
    <t>loadcap_mess_for_tbl_coef_8</t>
  </si>
  <si>
    <t>На основании п.17 приказа Минэнерго №81 перегрузка недопустима. ИТС узлов трансформатора не превышают 50.</t>
  </si>
  <si>
    <t>On the basis of paragraph 17 of the order of the Ministry of Energy No. 81, overloading is unacceptable. ITS transformer nodes do not exceed 50.</t>
  </si>
  <si>
    <t>h_ind_insulation_phr</t>
  </si>
  <si>
    <t>ИТС изоляционной системы {}</t>
  </si>
  <si>
    <t>Health index insulation {}</t>
  </si>
  <si>
    <t>h_ind_windings_phr</t>
  </si>
  <si>
    <t>ИТС обмоток {}</t>
  </si>
  <si>
    <t>ITS windings {}</t>
  </si>
  <si>
    <t>h_ind_magn_circ_phr</t>
  </si>
  <si>
    <t>ИТС магнитопровода {}</t>
  </si>
  <si>
    <t>ITS of the magnetic circuit {}</t>
  </si>
  <si>
    <t>on_basis_phr</t>
  </si>
  <si>
    <t>На основании</t>
  </si>
  <si>
    <t>On the basis of</t>
  </si>
  <si>
    <t>calculation_to_table_phr</t>
  </si>
  <si>
    <t>расчёт ведётся по таблице {} приказа Минэнерго №81:</t>
  </si>
  <si>
    <t>the calculation is carried out according to the table {} of the order of the Ministry of Energy No. 81:</t>
  </si>
  <si>
    <t>duration_of_load_phr</t>
  </si>
  <si>
    <t>Продолжительность нагрузки</t>
  </si>
  <si>
    <t>Duration of the load</t>
  </si>
  <si>
    <t>table_overload_coeff_head</t>
  </si>
  <si>
    <t>Коэффициент допустимой аварийной перегрузки Kдоп (о.е.) при температуре охлаждающего воздуха (воды), Θв, °C</t>
  </si>
  <si>
    <t>The coefficient of permissible emergency overload Kdop (r.u.) at the temperature of the cooling air (water), Θa (Θw), °C</t>
  </si>
  <si>
    <t>secs</t>
  </si>
  <si>
    <t>секунд</t>
  </si>
  <si>
    <t>seconds</t>
  </si>
  <si>
    <t>sensor_n1</t>
  </si>
  <si>
    <t>Датчик № 1</t>
  </si>
  <si>
    <t>Sensor № 1</t>
  </si>
  <si>
    <t>sensor_n10</t>
  </si>
  <si>
    <t>Датчик № 10</t>
  </si>
  <si>
    <t>Sensor № 10</t>
  </si>
  <si>
    <t>sensor_n2</t>
  </si>
  <si>
    <t>Датчик № 2</t>
  </si>
  <si>
    <t>Sensor № 2</t>
  </si>
  <si>
    <t>sensor_n3</t>
  </si>
  <si>
    <t>Датчик № 3</t>
  </si>
  <si>
    <t>Sensor № 3</t>
  </si>
  <si>
    <t>sensor_n4</t>
  </si>
  <si>
    <t>Датчик № 4</t>
  </si>
  <si>
    <t>Sensor № 4</t>
  </si>
  <si>
    <t>sensor_n5</t>
  </si>
  <si>
    <t>Датчик № 5</t>
  </si>
  <si>
    <t>Sensor № 5</t>
  </si>
  <si>
    <t>sensor_n6</t>
  </si>
  <si>
    <t>Датчик № 6</t>
  </si>
  <si>
    <t>Sensor № 6</t>
  </si>
  <si>
    <t>sensor_n7</t>
  </si>
  <si>
    <t>Датчик № 7</t>
  </si>
  <si>
    <t>Sensor № 7</t>
  </si>
  <si>
    <t>sensor_n8</t>
  </si>
  <si>
    <t>Датчик № 8</t>
  </si>
  <si>
    <t>Sensor № 8</t>
  </si>
  <si>
    <t>sensor_n9</t>
  </si>
  <si>
    <t>Датчик № 9</t>
  </si>
  <si>
    <t>Sensor № 9</t>
  </si>
  <si>
    <t>min</t>
  </si>
  <si>
    <t>минута</t>
  </si>
  <si>
    <t>minute</t>
  </si>
  <si>
    <t>mins_genitive</t>
  </si>
  <si>
    <t>минут</t>
  </si>
  <si>
    <t>minutes</t>
  </si>
  <si>
    <t>hour</t>
  </si>
  <si>
    <t>час</t>
  </si>
  <si>
    <t>hour_genitive</t>
  </si>
  <si>
    <t>часа</t>
  </si>
  <si>
    <t>hours</t>
  </si>
  <si>
    <t>hours_genitive</t>
  </si>
  <si>
    <t>часов</t>
  </si>
  <si>
    <t>day_short</t>
  </si>
  <si>
    <t>сут.</t>
  </si>
  <si>
    <t>d.</t>
  </si>
  <si>
    <t>hour_short</t>
  </si>
  <si>
    <t>ч.</t>
  </si>
  <si>
    <t>h.</t>
  </si>
  <si>
    <t>min_short</t>
  </si>
  <si>
    <t>мин.</t>
  </si>
  <si>
    <t>min.</t>
  </si>
  <si>
    <t>sec_short</t>
  </si>
  <si>
    <t>сек.</t>
  </si>
  <si>
    <t>sec.</t>
  </si>
  <si>
    <t>asset_info_tbl_sect_pdatas</t>
  </si>
  <si>
    <t>ПАСПОРТНЫЕ ДАННЫЕ</t>
  </si>
  <si>
    <t>PASSPORT DATA</t>
  </si>
  <si>
    <t>asset_info_tbl_sect_limits</t>
  </si>
  <si>
    <t>УСТАВКИ</t>
  </si>
  <si>
    <t>LIMITS</t>
  </si>
  <si>
    <t>asset_info_tbl_sect_constants</t>
  </si>
  <si>
    <t>КОНСТАНТЫ</t>
  </si>
  <si>
    <t>CONSTANTS</t>
  </si>
  <si>
    <t>noDefectsFoundNomogramLabel</t>
  </si>
  <si>
    <t>Дефектов по номограммам не обнаружено</t>
  </si>
  <si>
    <t>No defects were found on the nomograms.</t>
  </si>
  <si>
    <t>d_mess_header_date</t>
  </si>
  <si>
    <t>Время</t>
  </si>
  <si>
    <t>Date</t>
  </si>
  <si>
    <t>d_mess_header_asset</t>
  </si>
  <si>
    <t>Оборудование</t>
  </si>
  <si>
    <t>Asset</t>
  </si>
  <si>
    <t>d_mess_header_mess</t>
  </si>
  <si>
    <t>Сообщение</t>
  </si>
  <si>
    <t>Message</t>
  </si>
  <si>
    <t>d_mess_header_criticalily</t>
  </si>
  <si>
    <t>Критичность</t>
  </si>
  <si>
    <t>Criticalily</t>
  </si>
  <si>
    <t>t_bottom oil_day</t>
  </si>
  <si>
    <t>Температура низ. (за сутки)</t>
  </si>
  <si>
    <t>The temperature of bottom (per day)</t>
  </si>
  <si>
    <t>of_env</t>
  </si>
  <si>
    <t>Окр. среды</t>
  </si>
  <si>
    <t>Environment</t>
  </si>
  <si>
    <t>t_most_heat_point</t>
  </si>
  <si>
    <t>ТННТ</t>
  </si>
  <si>
    <t>TMHP</t>
  </si>
  <si>
    <t>of_top_layers</t>
  </si>
  <si>
    <t>Верхних слоёв</t>
  </si>
  <si>
    <t>Top layers</t>
  </si>
  <si>
    <t>of_bottom_layers</t>
  </si>
  <si>
    <t>Нижних слоёв</t>
  </si>
  <si>
    <t>Bottom layers</t>
  </si>
  <si>
    <t>current</t>
  </si>
  <si>
    <t>Ток</t>
  </si>
  <si>
    <t>Сurrent</t>
  </si>
  <si>
    <t>phase_a_hv</t>
  </si>
  <si>
    <t>ВН, фаза A</t>
  </si>
  <si>
    <t>HV, phase A</t>
  </si>
  <si>
    <t>phase_b_hv</t>
  </si>
  <si>
    <t>ВН, фаза B</t>
  </si>
  <si>
    <t>HV, phase B</t>
  </si>
  <si>
    <t>phase_c_hv</t>
  </si>
  <si>
    <t>ВН, фаза C</t>
  </si>
  <si>
    <t>HV, phase C</t>
  </si>
  <si>
    <t>t_env_day</t>
  </si>
  <si>
    <t>Температура окр. среды (за сутки)</t>
  </si>
  <si>
    <t>Ambient temperature (per day)</t>
  </si>
  <si>
    <t>ve_moisture</t>
  </si>
  <si>
    <t>oil</t>
  </si>
  <si>
    <t>Масло</t>
  </si>
  <si>
    <t>Oil</t>
  </si>
  <si>
    <t>Метки названий панелей</t>
  </si>
  <si>
    <t>p_ins</t>
  </si>
  <si>
    <t>Бум. изол.</t>
  </si>
  <si>
    <t>Paper ins.</t>
  </si>
  <si>
    <t>Метки названий виджетов</t>
  </si>
  <si>
    <t>ve_bush</t>
  </si>
  <si>
    <t>Ввода</t>
  </si>
  <si>
    <t>Bushing</t>
  </si>
  <si>
    <t>capacity</t>
  </si>
  <si>
    <t>Ёмкость</t>
  </si>
  <si>
    <t>Capacity</t>
  </si>
  <si>
    <t>d_capacity</t>
  </si>
  <si>
    <t>Изм. ёмкости</t>
  </si>
  <si>
    <t>Capacity change</t>
  </si>
  <si>
    <t>tgd</t>
  </si>
  <si>
    <t>Танг. дельта</t>
  </si>
  <si>
    <t>Tang. delta</t>
  </si>
  <si>
    <t>d_tgd</t>
  </si>
  <si>
    <t>Изм. танг. дельта</t>
  </si>
  <si>
    <t>Tang. delta change</t>
  </si>
  <si>
    <t>wear_rate</t>
  </si>
  <si>
    <t>Скорость износа</t>
  </si>
  <si>
    <t>Wear rate</t>
  </si>
  <si>
    <t>current_female_phr</t>
  </si>
  <si>
    <t>Текущая</t>
  </si>
  <si>
    <t>Current</t>
  </si>
  <si>
    <t>stoTblDefect1</t>
  </si>
  <si>
    <t>Частичные разряды</t>
  </si>
  <si>
    <t>stoTblDefect2</t>
  </si>
  <si>
    <t>Искровые разряды низкой энергии</t>
  </si>
  <si>
    <t>Low energy spark discharges</t>
  </si>
  <si>
    <t>stoTblDefect3</t>
  </si>
  <si>
    <t>Искровые разряды высокой энергии, дуга</t>
  </si>
  <si>
    <t>High energy spark discharges, arc</t>
  </si>
  <si>
    <t>stoTblDefect4</t>
  </si>
  <si>
    <t>Термический дефект в диапазоне низких температур (до 300 град.С)</t>
  </si>
  <si>
    <t>Low temperature thermal defect (up to 300 degrees C)</t>
  </si>
  <si>
    <t>stoTblDefect5</t>
  </si>
  <si>
    <t>stoTblDefect6</t>
  </si>
  <si>
    <t>object_name</t>
  </si>
  <si>
    <t>Объект</t>
  </si>
  <si>
    <t>Object</t>
  </si>
  <si>
    <t>pnl_overload</t>
  </si>
  <si>
    <t>Нагрузочная способность трансформатора</t>
  </si>
  <si>
    <t>Permissible level of overload</t>
  </si>
  <si>
    <t>pnl_internal_losses</t>
  </si>
  <si>
    <t>Потери мощности в трансформаторе</t>
  </si>
  <si>
    <t>Internal losses</t>
  </si>
  <si>
    <t>pnl_bushings</t>
  </si>
  <si>
    <t>Состояние изоляции высоковольтных вводов</t>
  </si>
  <si>
    <t>pnl_ltc</t>
  </si>
  <si>
    <t>Состояние устройства РПН</t>
  </si>
  <si>
    <t>LTC monitoring</t>
  </si>
  <si>
    <t>pnl_сooling_system</t>
  </si>
  <si>
    <t>Контроль системы охлаждения</t>
  </si>
  <si>
    <t>Cooling system monitoring</t>
  </si>
  <si>
    <t>pnl_insulation_aging</t>
  </si>
  <si>
    <t>Старение изоляции</t>
  </si>
  <si>
    <t>Insulation ageing</t>
  </si>
  <si>
    <t>pnl_gases</t>
  </si>
  <si>
    <t>Анализ растворённых газов</t>
  </si>
  <si>
    <t>Dissolved-gas analysis</t>
  </si>
  <si>
    <t>pnl_humidity</t>
  </si>
  <si>
    <t>Содержание влаги в изоляции</t>
  </si>
  <si>
    <t>Oil and solid insulation humidity</t>
  </si>
  <si>
    <t>pnl_voltage</t>
  </si>
  <si>
    <t>Контроль напряжения</t>
  </si>
  <si>
    <t>Voltage level monitoring</t>
  </si>
  <si>
    <t>pnl_oil_temp</t>
  </si>
  <si>
    <t>Температура верхних слоев масла</t>
  </si>
  <si>
    <t>pnl_whs_temp</t>
  </si>
  <si>
    <t>Контроль температуры ННТ</t>
  </si>
  <si>
    <t>Winding hot spot temperature</t>
  </si>
  <si>
    <t>pnl_power</t>
  </si>
  <si>
    <t>Контроль мощности</t>
  </si>
  <si>
    <t>vdg_voltage</t>
  </si>
  <si>
    <t>Напряжение</t>
  </si>
  <si>
    <t>Voltage</t>
  </si>
  <si>
    <t>vdg_power</t>
  </si>
  <si>
    <t>Полная мощность</t>
  </si>
  <si>
    <t>vdg_hot_spot_temp</t>
  </si>
  <si>
    <t>Температура наиболее нагретой точки обмотки</t>
  </si>
  <si>
    <t>Hot spot temperature</t>
  </si>
  <si>
    <t>vdg_top_oil_temp</t>
  </si>
  <si>
    <t>Температура верхних слоёв масла</t>
  </si>
  <si>
    <t>Top oil temperature</t>
  </si>
  <si>
    <t>vdg_amb_temp</t>
  </si>
  <si>
    <t>Температура окружающей среды</t>
  </si>
  <si>
    <t>Ambient temperature</t>
  </si>
  <si>
    <t>vdg_water_oil</t>
  </si>
  <si>
    <t>Влажность масла абсолютная</t>
  </si>
  <si>
    <t>Water content of oil</t>
  </si>
  <si>
    <t>vdg_water_paper</t>
  </si>
  <si>
    <t>Влажность бумаги</t>
  </si>
  <si>
    <t>Water content of paper</t>
  </si>
  <si>
    <t>vdg_rel_saturation_oil</t>
  </si>
  <si>
    <t>Влажность масла относительная</t>
  </si>
  <si>
    <t>Relative saturation of oil</t>
  </si>
  <si>
    <t>vdg_bottom_oil_temp</t>
  </si>
  <si>
    <t>Температура нижних слоев масла</t>
  </si>
  <si>
    <t>Bottom oil temperature</t>
  </si>
  <si>
    <t>vdg_cooling_syst</t>
  </si>
  <si>
    <t>Состояние системы охлаждения</t>
  </si>
  <si>
    <t>Cooling system</t>
  </si>
  <si>
    <t>vdg_dga</t>
  </si>
  <si>
    <t>Концентрация растворённых газов</t>
  </si>
  <si>
    <t>DGA</t>
  </si>
  <si>
    <t>vdg_rate_gas_conct</t>
  </si>
  <si>
    <t>Скорость роста концентрации</t>
  </si>
  <si>
    <t>vdg_duval_triangle1</t>
  </si>
  <si>
    <t>Треугольник Дюваля 1</t>
  </si>
  <si>
    <t>Duval's Triangle 1</t>
  </si>
  <si>
    <t>vdg_duval_pentagon1</t>
  </si>
  <si>
    <t>Пятиугольник Дюваля 1</t>
  </si>
  <si>
    <t>Duval's Pentagon 1</t>
  </si>
  <si>
    <t>vdg_c_h2_roc_abs_week</t>
  </si>
  <si>
    <t>Скорость роста концентрации водорода абсолютная, неделя</t>
  </si>
  <si>
    <t>H2 absolute rate of change, week</t>
  </si>
  <si>
    <t>vdg_c_co2_roc_abs_week</t>
  </si>
  <si>
    <t>Скорость роста концентрации диоксида углерода абсолютная, неделя</t>
  </si>
  <si>
    <t>CO2 absolute rate of change, week</t>
  </si>
  <si>
    <t>vdg_c_co_roc_abs_week</t>
  </si>
  <si>
    <t>Скорость роста концентрации оксида углерода абсолютная, неделя</t>
  </si>
  <si>
    <t>CO absolute rate of change, week</t>
  </si>
  <si>
    <t>vdg_c_c2h6_roc_abs_week</t>
  </si>
  <si>
    <t>Скорость роста концентрации этана абсолютная, неделя</t>
  </si>
  <si>
    <t>C2H6 absolute rate of change, week</t>
  </si>
  <si>
    <t>vdg_c_c2h4_roc_abs_week</t>
  </si>
  <si>
    <t>Скорость роста концентрации этилена абсолютная, неделя</t>
  </si>
  <si>
    <t>C2H4 absolute rate of change, week</t>
  </si>
  <si>
    <t>vdg_c_ch4_roc_abs_week</t>
  </si>
  <si>
    <t>Скорость роста концентрации метана абсолютная, неделя</t>
  </si>
  <si>
    <t>CH4 absolute rate of change, week</t>
  </si>
  <si>
    <t>vdg_c_c2h2_roc_abs_week</t>
  </si>
  <si>
    <t>Скорость роста концентрации ацетилена абсолютная, неделя</t>
  </si>
  <si>
    <t>C2H2 absolute rate of change, week</t>
  </si>
  <si>
    <t>vdg_wcl_calc</t>
  </si>
  <si>
    <t>Влажность масла абсолютная, расчётная</t>
  </si>
  <si>
    <t>Water content of oil, calculated</t>
  </si>
  <si>
    <t>vdg_t_tp_res_1d</t>
  </si>
  <si>
    <t>Температура верхних слоёв масла для расчётов (1 день)</t>
  </si>
  <si>
    <t>Top oil temperature (day)</t>
  </si>
  <si>
    <t>vdg_t_hst_res_1d</t>
  </si>
  <si>
    <t>Температура наиболее нагретой точки обмотки (1 день)</t>
  </si>
  <si>
    <t>Winding hot spot temperature (day)</t>
  </si>
  <si>
    <t>vdg_t_difference_tp_res_en_1d</t>
  </si>
  <si>
    <t>Разность температур верхних слоёв масла и окружающей среды</t>
  </si>
  <si>
    <t>Ambient and top oil temperature gap</t>
  </si>
  <si>
    <t>vdg_life_loss_day</t>
  </si>
  <si>
    <t>Износ изоляции за последние сутки</t>
  </si>
  <si>
    <t>Insulation ageing, last 24 hrs</t>
  </si>
  <si>
    <t>txt_by_montsinger</t>
  </si>
  <si>
    <t>По Монтзинтгеру</t>
  </si>
  <si>
    <t>per Montsinger</t>
  </si>
  <si>
    <t>txt_ageing_montsinger</t>
  </si>
  <si>
    <t>Скорость износа по Монтзингеру</t>
  </si>
  <si>
    <t>Ageing, per Montsinger</t>
  </si>
  <si>
    <t>txt_time_to_reach_lim0_t_tp</t>
  </si>
  <si>
    <t>Время достижения ДЗ температуры верхних слоёв масла: {t_tp_ttr}, {unit}</t>
  </si>
  <si>
    <t>Top oil temperature, time to reach alarm level: {t_tp_ttr}, {unit}</t>
  </si>
  <si>
    <t>txt_counter_overvoltage_year</t>
  </si>
  <si>
    <t>Количество недопустимых за год повышений напряжения на стороне ВН: {counter_overvoltage_year}</t>
  </si>
  <si>
    <t>HV overvoltages count, last year: {counter_overvoltage_year}</t>
  </si>
  <si>
    <t>txt_linear_voltage</t>
  </si>
  <si>
    <t>Линейное напряжение</t>
  </si>
  <si>
    <t>Linear voltage</t>
  </si>
  <si>
    <t>сapacity_for_20_grad</t>
  </si>
  <si>
    <t>Ёмкость для 20 град.</t>
  </si>
  <si>
    <t>Capacitance, 20C adjusted</t>
  </si>
  <si>
    <t>aboutToolTipText</t>
  </si>
  <si>
    <t>О программе</t>
  </si>
  <si>
    <t>About the program</t>
  </si>
  <si>
    <t>acidNumberLabel</t>
  </si>
  <si>
    <t>Кислотное число</t>
  </si>
  <si>
    <t>Acid number</t>
  </si>
  <si>
    <t>actionLabel</t>
  </si>
  <si>
    <t>Действие</t>
  </si>
  <si>
    <t>Action</t>
  </si>
  <si>
    <t>actions</t>
  </si>
  <si>
    <t>Действия</t>
  </si>
  <si>
    <t>Actions</t>
  </si>
  <si>
    <t>administrationToolTipText</t>
  </si>
  <si>
    <t>Администрирование</t>
  </si>
  <si>
    <t>Administration</t>
  </si>
  <si>
    <t>ageingInTheLast24HoursLabel</t>
  </si>
  <si>
    <t>Износ за последние 24 часа</t>
  </si>
  <si>
    <t>Ageing in the last 24 hours</t>
  </si>
  <si>
    <t>ageingLabel</t>
  </si>
  <si>
    <t>Износ</t>
  </si>
  <si>
    <t>albatrosBtnLabel</t>
  </si>
  <si>
    <t>ЭДИС Альбатрос</t>
  </si>
  <si>
    <t>Lab data summary</t>
  </si>
  <si>
    <t>allLabel</t>
  </si>
  <si>
    <t>Все</t>
  </si>
  <si>
    <t>All</t>
  </si>
  <si>
    <t>and</t>
  </si>
  <si>
    <t>И</t>
  </si>
  <si>
    <t>And</t>
  </si>
  <si>
    <t>applyLabel</t>
  </si>
  <si>
    <t>Применить</t>
  </si>
  <si>
    <t>Apply</t>
  </si>
  <si>
    <t>assetLabel</t>
  </si>
  <si>
    <t>assetNavLabel</t>
  </si>
  <si>
    <t>buildLabel</t>
  </si>
  <si>
    <t>Сборка</t>
  </si>
  <si>
    <t>Build</t>
  </si>
  <si>
    <t>bushingLabel</t>
  </si>
  <si>
    <t>Bushing condition</t>
  </si>
  <si>
    <t>cancel</t>
  </si>
  <si>
    <t>Отменить</t>
  </si>
  <si>
    <t>Cancel</t>
  </si>
  <si>
    <t>capacityLabel</t>
  </si>
  <si>
    <t>Capacitance</t>
  </si>
  <si>
    <t>changeFilterMode</t>
  </si>
  <si>
    <t>Изменить режим фильтра</t>
  </si>
  <si>
    <t>Change filter mode</t>
  </si>
  <si>
    <t>changeSearchMode</t>
  </si>
  <si>
    <t>Изменить режим поиска</t>
  </si>
  <si>
    <t>Change search mode</t>
  </si>
  <si>
    <t>chartsLabel</t>
  </si>
  <si>
    <t>Графики</t>
  </si>
  <si>
    <t>Charts</t>
  </si>
  <si>
    <t>chartsNavLabel</t>
  </si>
  <si>
    <t>clearFilter</t>
  </si>
  <si>
    <t>Очистить фильтр</t>
  </si>
  <si>
    <t>Clear filter</t>
  </si>
  <si>
    <t>clearSearch</t>
  </si>
  <si>
    <t>Очистить поиск</t>
  </si>
  <si>
    <t>Clear search</t>
  </si>
  <si>
    <t>clearSort</t>
  </si>
  <si>
    <t>Очистить сортировку</t>
  </si>
  <si>
    <t>Clear sort</t>
  </si>
  <si>
    <t>clickToCopy</t>
  </si>
  <si>
    <t>Нажмите, чтобы скопировать</t>
  </si>
  <si>
    <t>Click to copy</t>
  </si>
  <si>
    <t>collapse</t>
  </si>
  <si>
    <t>Свернуть</t>
  </si>
  <si>
    <t>Collapse</t>
  </si>
  <si>
    <t>collapseAll</t>
  </si>
  <si>
    <t>Свернуть все</t>
  </si>
  <si>
    <t>Collapse all</t>
  </si>
  <si>
    <t>columnActions</t>
  </si>
  <si>
    <t>Действие колонки</t>
  </si>
  <si>
    <t>Column Actions</t>
  </si>
  <si>
    <t>compositionOfElectricalAndThermalDefectsLabel</t>
  </si>
  <si>
    <t>Композиция дефектов электрического и термического характера</t>
  </si>
  <si>
    <t>Composition of electrical and thermal defects</t>
  </si>
  <si>
    <t>concentrationLabel</t>
  </si>
  <si>
    <t>Концентрация</t>
  </si>
  <si>
    <t>Concentration</t>
  </si>
  <si>
    <t>conditionLabel</t>
  </si>
  <si>
    <t>Условие</t>
  </si>
  <si>
    <t>Condition</t>
  </si>
  <si>
    <t>copiedToClipboard</t>
  </si>
  <si>
    <t>Скопировано в буфер обмена</t>
  </si>
  <si>
    <t>Copied to clipboard</t>
  </si>
  <si>
    <t>currentRateAgeingLabel</t>
  </si>
  <si>
    <t>Текущая скорость износа</t>
  </si>
  <si>
    <t>Current ageing rate</t>
  </si>
  <si>
    <t>currentStateLabel</t>
  </si>
  <si>
    <t>Текущее состояние</t>
  </si>
  <si>
    <t>Current state</t>
  </si>
  <si>
    <t>dangerousLabel</t>
  </si>
  <si>
    <t>Опасно</t>
  </si>
  <si>
    <t>Dangerous</t>
  </si>
  <si>
    <t>dateLabel</t>
  </si>
  <si>
    <t>Дата</t>
  </si>
  <si>
    <t>defectLabel</t>
  </si>
  <si>
    <t>Дефект</t>
  </si>
  <si>
    <t>Defect</t>
  </si>
  <si>
    <t>diagMsgLabel</t>
  </si>
  <si>
    <t>Диагностические сообщения</t>
  </si>
  <si>
    <t>Diagnostic messages</t>
  </si>
  <si>
    <t>diagnosticsCheckBoxLabel</t>
  </si>
  <si>
    <t>Диагностические</t>
  </si>
  <si>
    <t>Diagnostics</t>
  </si>
  <si>
    <t>disconectorsLabel</t>
  </si>
  <si>
    <t>Выключателей</t>
  </si>
  <si>
    <t>Disconnectors</t>
  </si>
  <si>
    <t>dropToGroupBy</t>
  </si>
  <si>
    <t>Добавить в группу к {column}</t>
  </si>
  <si>
    <t>Drop to group by {column}</t>
  </si>
  <si>
    <t>duvaleLabel</t>
  </si>
  <si>
    <t>Дюваля</t>
  </si>
  <si>
    <t>Duval</t>
  </si>
  <si>
    <t>duvalePentagonLabel</t>
  </si>
  <si>
    <t>Пятиугольник Дюваля</t>
  </si>
  <si>
    <t>Duval's Pentagon</t>
  </si>
  <si>
    <t>duvaleTriangleByMEKLabel</t>
  </si>
  <si>
    <t>Треугольник Дюваля по МЭК 60599</t>
  </si>
  <si>
    <t>Duval's Triangle according to IEC 60599</t>
  </si>
  <si>
    <t>edit</t>
  </si>
  <si>
    <t>Редактировать</t>
  </si>
  <si>
    <t>Edit</t>
  </si>
  <si>
    <t>eventsLabel</t>
  </si>
  <si>
    <t>События</t>
  </si>
  <si>
    <t>Events</t>
  </si>
  <si>
    <t>expand</t>
  </si>
  <si>
    <t>Раскрыть</t>
  </si>
  <si>
    <t>Expand</t>
  </si>
  <si>
    <t>expandAll</t>
  </si>
  <si>
    <t>Раскрыть все</t>
  </si>
  <si>
    <t>Expand all</t>
  </si>
  <si>
    <t>expotToLabel</t>
  </si>
  <si>
    <t>Экспорт в</t>
  </si>
  <si>
    <t>Export to</t>
  </si>
  <si>
    <t>filterArrIncludes</t>
  </si>
  <si>
    <t>Включить</t>
  </si>
  <si>
    <t>Include</t>
  </si>
  <si>
    <t>filterArrIncludesAll</t>
  </si>
  <si>
    <t>Влючить все</t>
  </si>
  <si>
    <t>Include all</t>
  </si>
  <si>
    <t>filterArrIncludesSome</t>
  </si>
  <si>
    <t>filterBetween</t>
  </si>
  <si>
    <t>Между</t>
  </si>
  <si>
    <t>Between</t>
  </si>
  <si>
    <t>filterBetweenInclusive</t>
  </si>
  <si>
    <t>Между включительно</t>
  </si>
  <si>
    <t>Between inclusively</t>
  </si>
  <si>
    <t>filterByColumn</t>
  </si>
  <si>
    <t>Фильтровать по колонке {column}</t>
  </si>
  <si>
    <t>Filter by {column}</t>
  </si>
  <si>
    <t>filterContains</t>
  </si>
  <si>
    <t>Содержит</t>
  </si>
  <si>
    <t>Contains</t>
  </si>
  <si>
    <t>filterEmpty</t>
  </si>
  <si>
    <t>Пустой</t>
  </si>
  <si>
    <t>Empty</t>
  </si>
  <si>
    <t>filterEndsWith</t>
  </si>
  <si>
    <t>Оканчивается</t>
  </si>
  <si>
    <t>Ends with</t>
  </si>
  <si>
    <t>filterEquals</t>
  </si>
  <si>
    <t>Равны</t>
  </si>
  <si>
    <t>Equals</t>
  </si>
  <si>
    <t>filterEqualsString</t>
  </si>
  <si>
    <t>filterFuzzy</t>
  </si>
  <si>
    <t>Физзи</t>
  </si>
  <si>
    <t>Fuzzy</t>
  </si>
  <si>
    <t>filterGreaterThan</t>
  </si>
  <si>
    <t>Больше чем</t>
  </si>
  <si>
    <t>Greater than</t>
  </si>
  <si>
    <t>filterGreaterThanOrEqualTo</t>
  </si>
  <si>
    <t>Больше или равно</t>
  </si>
  <si>
    <t>Greater than or equal to</t>
  </si>
  <si>
    <t>filterIncludesString</t>
  </si>
  <si>
    <t>filterIncludesStringSensitive</t>
  </si>
  <si>
    <t>Содержит (регистрозависимый)</t>
  </si>
  <si>
    <t>Contains (string-sensitive)</t>
  </si>
  <si>
    <t>filteringByColumn</t>
  </si>
  <si>
    <t>Фильтр по {column} - {filterType} {filterValue}</t>
  </si>
  <si>
    <t>Filtering by {column} - {filterType} {filterValue}</t>
  </si>
  <si>
    <t>filterInNumberRange</t>
  </si>
  <si>
    <t>filterLessThan</t>
  </si>
  <si>
    <t>Меньше чем</t>
  </si>
  <si>
    <t>Less than</t>
  </si>
  <si>
    <t>filterLessThanOrEqualTo</t>
  </si>
  <si>
    <t>Меньше или равно</t>
  </si>
  <si>
    <t>Less than or equal to</t>
  </si>
  <si>
    <t>filterMode</t>
  </si>
  <si>
    <t>Режим фильтра: {filterType}</t>
  </si>
  <si>
    <t>Filter mode: {filterType}</t>
  </si>
  <si>
    <t>filterNotEmpty</t>
  </si>
  <si>
    <t>Не пустое</t>
  </si>
  <si>
    <t>Not empty</t>
  </si>
  <si>
    <t>filterNotEquals</t>
  </si>
  <si>
    <t>Не равны</t>
  </si>
  <si>
    <t>Not equals</t>
  </si>
  <si>
    <t>filterStartsWith</t>
  </si>
  <si>
    <t>Начинается с</t>
  </si>
  <si>
    <t>Starts with</t>
  </si>
  <si>
    <t>filterWeakEquals</t>
  </si>
  <si>
    <t>fromLabel</t>
  </si>
  <si>
    <t>От</t>
  </si>
  <si>
    <t>From</t>
  </si>
  <si>
    <t>gasesLabel</t>
  </si>
  <si>
    <t>getToWorkLabel</t>
  </si>
  <si>
    <t>Взять в работу</t>
  </si>
  <si>
    <t>Acknowledge</t>
  </si>
  <si>
    <t>gisLabel</t>
  </si>
  <si>
    <t>КРУЭ</t>
  </si>
  <si>
    <t>GIS</t>
  </si>
  <si>
    <t>goToFirstPage</t>
  </si>
  <si>
    <t>Перейти на первую страницу</t>
  </si>
  <si>
    <t>Go to first page</t>
  </si>
  <si>
    <t>goToLastPage</t>
  </si>
  <si>
    <t>Перейти на последнюю страницу</t>
  </si>
  <si>
    <t>Go to last page</t>
  </si>
  <si>
    <t>goToNextPage</t>
  </si>
  <si>
    <t>Перейти на следующую страницу</t>
  </si>
  <si>
    <t>Go to next page</t>
  </si>
  <si>
    <t>goToPreviousPage</t>
  </si>
  <si>
    <t>Перейти на предыдущую страницу</t>
  </si>
  <si>
    <t>Go to previous page</t>
  </si>
  <si>
    <t>grab</t>
  </si>
  <si>
    <t>Захватить</t>
  </si>
  <si>
    <t>Grab</t>
  </si>
  <si>
    <t>groupByColumn</t>
  </si>
  <si>
    <t>Сгруппировать по {column}</t>
  </si>
  <si>
    <t>Group by {column}</t>
  </si>
  <si>
    <t>groupedBy</t>
  </si>
  <si>
    <t>Сгруппированный</t>
  </si>
  <si>
    <t>Grouped by</t>
  </si>
  <si>
    <t>guideLabel</t>
  </si>
  <si>
    <t>Справочник</t>
  </si>
  <si>
    <t>Vocabulary</t>
  </si>
  <si>
    <t>guideNotifications</t>
  </si>
  <si>
    <t>Справочник уведомлений</t>
  </si>
  <si>
    <t>Guide notifications</t>
  </si>
  <si>
    <t>headerLabelText</t>
  </si>
  <si>
    <t>ЕС АСМД</t>
  </si>
  <si>
    <t>MDS Mayak</t>
  </si>
  <si>
    <t>health</t>
  </si>
  <si>
    <t>ИТС</t>
  </si>
  <si>
    <t>hideAll</t>
  </si>
  <si>
    <t>Скрыть всё</t>
  </si>
  <si>
    <t>Hide all</t>
  </si>
  <si>
    <t>hideColumn</t>
  </si>
  <si>
    <t>Скрыть {column} колонку</t>
  </si>
  <si>
    <t>Hide {column} column</t>
  </si>
  <si>
    <t>highEnergySparkDischargeLabel</t>
  </si>
  <si>
    <t>hourLabel</t>
  </si>
  <si>
    <t>hysteresisLabel</t>
  </si>
  <si>
    <t>Гистерезис</t>
  </si>
  <si>
    <t>Hysteresis</t>
  </si>
  <si>
    <t>importanceLevelsLabel</t>
  </si>
  <si>
    <t>Уровни важности</t>
  </si>
  <si>
    <t>Importance levels</t>
  </si>
  <si>
    <t>informationLabel</t>
  </si>
  <si>
    <t>Информация</t>
  </si>
  <si>
    <t>Information</t>
  </si>
  <si>
    <t>lim0Label</t>
  </si>
  <si>
    <t>ДЗ</t>
  </si>
  <si>
    <t>Alarm lvl</t>
  </si>
  <si>
    <t>lim1Label</t>
  </si>
  <si>
    <t>ПДЗ</t>
  </si>
  <si>
    <t>Fault lvl</t>
  </si>
  <si>
    <t>lowEnergySparkDischargeLabel</t>
  </si>
  <si>
    <t>mainNavLabel</t>
  </si>
  <si>
    <t>Главная</t>
  </si>
  <si>
    <t>Main</t>
  </si>
  <si>
    <t>max</t>
  </si>
  <si>
    <t>Макс</t>
  </si>
  <si>
    <t>Max</t>
  </si>
  <si>
    <t>methodDiagrammGasesRdLabel</t>
  </si>
  <si>
    <t>Метод диаграмм состава газов по РД 153-34.0-46.302-00</t>
  </si>
  <si>
    <t>Method of diagrams of the composition of gases according to GD 153-34.0-46.302-00</t>
  </si>
  <si>
    <t>methodRelationKeyGasesRDLabel</t>
  </si>
  <si>
    <t>Метод отношений ключевых газов по РД 153-34.0-46.302-0</t>
  </si>
  <si>
    <t>Key gas ratio method according to GD 153-34.0-46.302-0</t>
  </si>
  <si>
    <t>Мин</t>
  </si>
  <si>
    <t>Min</t>
  </si>
  <si>
    <t>mineralOilGassingLabel</t>
  </si>
  <si>
    <t>Рассеянное газовыделение S минерального масла при 120 °C и 200 °C</t>
  </si>
  <si>
    <t>Diffuse gas emission of S mineral oil at 120 °C and 200 °C</t>
  </si>
  <si>
    <t>modelsLabel</t>
  </si>
  <si>
    <t>Модели</t>
  </si>
  <si>
    <t>Models</t>
  </si>
  <si>
    <t>moistureLabel</t>
  </si>
  <si>
    <t>move</t>
  </si>
  <si>
    <t>Двигать</t>
  </si>
  <si>
    <t>Move</t>
  </si>
  <si>
    <t>msgLabel</t>
  </si>
  <si>
    <t>noRecordsToDisplay</t>
  </si>
  <si>
    <t>Нет записей для показа</t>
  </si>
  <si>
    <t>No records to display</t>
  </si>
  <si>
    <t>noResultsFound</t>
  </si>
  <si>
    <t>Результатов не найдено</t>
  </si>
  <si>
    <t>No results found</t>
  </si>
  <si>
    <t>normalLabel</t>
  </si>
  <si>
    <t>OK</t>
  </si>
  <si>
    <t>notDataLabel</t>
  </si>
  <si>
    <t>Нет данных</t>
  </si>
  <si>
    <t>No data</t>
  </si>
  <si>
    <t>notificationLabel</t>
  </si>
  <si>
    <t>Уведомление</t>
  </si>
  <si>
    <t>Notification</t>
  </si>
  <si>
    <t>of</t>
  </si>
  <si>
    <t>Из</t>
  </si>
  <si>
    <t>Of</t>
  </si>
  <si>
    <t>offlineMeasureBushing</t>
  </si>
  <si>
    <t>Офлайн измерения вводов</t>
  </si>
  <si>
    <t>Offline measure bushing</t>
  </si>
  <si>
    <t>offlineMeasureFHALabel</t>
  </si>
  <si>
    <t>Офлайн измерения ФХА</t>
  </si>
  <si>
    <t>Offline measure FHA</t>
  </si>
  <si>
    <t>offlineMeasureHARGLabel</t>
  </si>
  <si>
    <t>Офлайн измерения ХАРГ</t>
  </si>
  <si>
    <t>Ofline measure DGA</t>
  </si>
  <si>
    <t>or</t>
  </si>
  <si>
    <t>Или</t>
  </si>
  <si>
    <t>Or</t>
  </si>
  <si>
    <t>overvoltageLabel</t>
  </si>
  <si>
    <t>Перенапряжения</t>
  </si>
  <si>
    <t>Overvoltage</t>
  </si>
  <si>
    <t>partialDischargeLabel</t>
  </si>
  <si>
    <t>pDataLabel</t>
  </si>
  <si>
    <t>Nameplate data</t>
  </si>
  <si>
    <t>pdLabel</t>
  </si>
  <si>
    <t>Partial discharges</t>
  </si>
  <si>
    <t>phaseALabel</t>
  </si>
  <si>
    <t>Фаза А</t>
  </si>
  <si>
    <t>Phase A</t>
  </si>
  <si>
    <t>phaseBLabel</t>
  </si>
  <si>
    <t>Фаза B</t>
  </si>
  <si>
    <t>Phase B</t>
  </si>
  <si>
    <t>phaseCLabel</t>
  </si>
  <si>
    <t>Фаза C</t>
  </si>
  <si>
    <t>Phase C</t>
  </si>
  <si>
    <t>pinToLeft</t>
  </si>
  <si>
    <t>Прикрепить слева</t>
  </si>
  <si>
    <t>Pin to left</t>
  </si>
  <si>
    <t>pinToRight</t>
  </si>
  <si>
    <t>Прикрепить справа</t>
  </si>
  <si>
    <t>Pin to right</t>
  </si>
  <si>
    <t>powerLabep</t>
  </si>
  <si>
    <t>rdNomogrammLabel</t>
  </si>
  <si>
    <t>РД, номограммы</t>
  </si>
  <si>
    <t>Defect images</t>
  </si>
  <si>
    <t>rdTabelLabel</t>
  </si>
  <si>
    <t>РД</t>
  </si>
  <si>
    <t>Key gases</t>
  </si>
  <si>
    <t>rejectLabel</t>
  </si>
  <si>
    <t>Отклонить</t>
  </si>
  <si>
    <t>Discard</t>
  </si>
  <si>
    <t>resetColumnSize</t>
  </si>
  <si>
    <t>Сбросить размер колонок</t>
  </si>
  <si>
    <t>Reset column size</t>
  </si>
  <si>
    <t>resetOrder</t>
  </si>
  <si>
    <t>Сбросить порядок</t>
  </si>
  <si>
    <t>Reset order</t>
  </si>
  <si>
    <t>rowActions</t>
  </si>
  <si>
    <t>Действия строки</t>
  </si>
  <si>
    <t>Row actions</t>
  </si>
  <si>
    <t>rowNumber</t>
  </si>
  <si>
    <t>#</t>
  </si>
  <si>
    <t>rowNumbers</t>
  </si>
  <si>
    <t>Количество строк</t>
  </si>
  <si>
    <t>Row numbers</t>
  </si>
  <si>
    <t>rowsPerPage</t>
  </si>
  <si>
    <t>Строк на странице</t>
  </si>
  <si>
    <t>Rows per page</t>
  </si>
  <si>
    <t>save</t>
  </si>
  <si>
    <t>Сохранить</t>
  </si>
  <si>
    <t>Save</t>
  </si>
  <si>
    <t>search</t>
  </si>
  <si>
    <t>Найти</t>
  </si>
  <si>
    <t>Search</t>
  </si>
  <si>
    <t>select</t>
  </si>
  <si>
    <t>Выбрать</t>
  </si>
  <si>
    <t>Select</t>
  </si>
  <si>
    <t>selectedCountOfRowCountRowsSelected</t>
  </si>
  <si>
    <t>{selectedCount} из {rowCount} строк выбрано</t>
  </si>
  <si>
    <t>{selectedCount} of {rowCount} row(s) selected</t>
  </si>
  <si>
    <t>sendLabel</t>
  </si>
  <si>
    <t>Отправить</t>
  </si>
  <si>
    <t>Send</t>
  </si>
  <si>
    <t>serchByAssetLabel</t>
  </si>
  <si>
    <t>Поиск по оборудованию</t>
  </si>
  <si>
    <t>Asset search</t>
  </si>
  <si>
    <t>servicesCheckBoxLabel</t>
  </si>
  <si>
    <t>Сервисные</t>
  </si>
  <si>
    <t>Service</t>
  </si>
  <si>
    <t>sf6Label</t>
  </si>
  <si>
    <t>Элегаз</t>
  </si>
  <si>
    <t>showAll</t>
  </si>
  <si>
    <t>Показать все</t>
  </si>
  <si>
    <t>Show all</t>
  </si>
  <si>
    <t>showAllColumns</t>
  </si>
  <si>
    <t>Показать все колонки</t>
  </si>
  <si>
    <t>Show all columns</t>
  </si>
  <si>
    <t>showHideColumns</t>
  </si>
  <si>
    <t>Показать/скрыть колонки</t>
  </si>
  <si>
    <t>Show/ hide columns</t>
  </si>
  <si>
    <t>showHideFilters</t>
  </si>
  <si>
    <t>Показать/скрыть фильтры</t>
  </si>
  <si>
    <t>Show/hide filters</t>
  </si>
  <si>
    <t>showHideSearch</t>
  </si>
  <si>
    <t>Показать/скрыть поиск</t>
  </si>
  <si>
    <t>Show/hide search</t>
  </si>
  <si>
    <t>signalLabel</t>
  </si>
  <si>
    <t>Сигнал</t>
  </si>
  <si>
    <t>Signal</t>
  </si>
  <si>
    <t>signalsLabel</t>
  </si>
  <si>
    <t>Сигналы</t>
  </si>
  <si>
    <t>Signals</t>
  </si>
  <si>
    <t>sortByColumnAsc</t>
  </si>
  <si>
    <t>Сортировать {column} по возрастанию</t>
  </si>
  <si>
    <t>Sort by {column} ascending</t>
  </si>
  <si>
    <t>sortByColumnDesc</t>
  </si>
  <si>
    <t>Сортировать {column} по убыванию</t>
  </si>
  <si>
    <t>Sort by {column} descending</t>
  </si>
  <si>
    <t>sortedByColumnAsc</t>
  </si>
  <si>
    <t>Отсортировано по возрастанию</t>
  </si>
  <si>
    <t>Sorted by {column} ascending</t>
  </si>
  <si>
    <t>sortedByColumnDesc</t>
  </si>
  <si>
    <t>Отсортировано по убыванию</t>
  </si>
  <si>
    <t>Sorted by {column} descending</t>
  </si>
  <si>
    <t>statusLabel</t>
  </si>
  <si>
    <t>Статус</t>
  </si>
  <si>
    <t>Status</t>
  </si>
  <si>
    <t>substationHasNoEquipmentLabel</t>
  </si>
  <si>
    <t>Подстанция не имеет оборудования</t>
  </si>
  <si>
    <t>The substation has no equipment</t>
  </si>
  <si>
    <t>substNavLabel</t>
  </si>
  <si>
    <t>Site</t>
  </si>
  <si>
    <t>substSchemaNotInstalledLabel</t>
  </si>
  <si>
    <t>Не установлена схема подстанции</t>
  </si>
  <si>
    <t>No substation schematics found</t>
  </si>
  <si>
    <t>switchgearLabel</t>
  </si>
  <si>
    <t>КРУ</t>
  </si>
  <si>
    <t>Switchgear</t>
  </si>
  <si>
    <t>temperatureLabel</t>
  </si>
  <si>
    <t>tgdLabel</t>
  </si>
  <si>
    <t>Тангенс дельта</t>
  </si>
  <si>
    <t>Dissipation factor</t>
  </si>
  <si>
    <t>thenBy</t>
  </si>
  <si>
    <t xml:space="preserve">Затем </t>
  </si>
  <si>
    <t xml:space="preserve">Then by </t>
  </si>
  <si>
    <t>thermalDefectInHighTemperatureRangeLabel</t>
  </si>
  <si>
    <t>Термический дефект в диапазоне высоких температур (свыше 700 °C)</t>
  </si>
  <si>
    <t>Thermal defect in the high temperature range (over 700 °C)</t>
  </si>
  <si>
    <t>thermalDefectInLowTemperatureRangeLabel</t>
  </si>
  <si>
    <t>Термический дефект в диапазоне низких температур (до 300 °C)</t>
  </si>
  <si>
    <t>Thermal defect in the low temperature range (up to 300 °C)</t>
  </si>
  <si>
    <t>thermalDefectInMiddleTemperatureRangeLabel</t>
  </si>
  <si>
    <t>Термический дефект в диапазоне средних температур (от 300 до 700 °C)</t>
  </si>
  <si>
    <t>Thermal defect in the medium temperature range (from 300 to 700 °C)</t>
  </si>
  <si>
    <t>toggleDensity</t>
  </si>
  <si>
    <t>Изменить плотность</t>
  </si>
  <si>
    <t>Change density</t>
  </si>
  <si>
    <t>toggleFullScreen</t>
  </si>
  <si>
    <t>Включить полноэкранный режим</t>
  </si>
  <si>
    <t>Toggle full screen</t>
  </si>
  <si>
    <t>toggleSelectAll</t>
  </si>
  <si>
    <t>Выбрать всё</t>
  </si>
  <si>
    <t>Select all</t>
  </si>
  <si>
    <t>toggleSelectRow</t>
  </si>
  <si>
    <t>Переключить выбор строки</t>
  </si>
  <si>
    <t>Toggle select row</t>
  </si>
  <si>
    <t>toggleVisibility</t>
  </si>
  <si>
    <t>Изменить видимость</t>
  </si>
  <si>
    <t>Toggle visibility</t>
  </si>
  <si>
    <t>toLabel</t>
  </si>
  <si>
    <t>До</t>
  </si>
  <si>
    <t>To</t>
  </si>
  <si>
    <t>totalLabel</t>
  </si>
  <si>
    <t>transformersLabel</t>
  </si>
  <si>
    <t>Трансформатор</t>
  </si>
  <si>
    <t>Power transformer</t>
  </si>
  <si>
    <t>turbidityLabel</t>
  </si>
  <si>
    <t>Мутность</t>
  </si>
  <si>
    <t>Turbidity</t>
  </si>
  <si>
    <t>typicalExamplesLabel</t>
  </si>
  <si>
    <t>Типичные примеры</t>
  </si>
  <si>
    <t>Typical examples</t>
  </si>
  <si>
    <t>undefined</t>
  </si>
  <si>
    <t>Не определено</t>
  </si>
  <si>
    <t>Undefined</t>
  </si>
  <si>
    <t>ungroupByColumn</t>
  </si>
  <si>
    <t>Разгруппировать по {column}</t>
  </si>
  <si>
    <t>Ungroup by {column}</t>
  </si>
  <si>
    <t>unpin</t>
  </si>
  <si>
    <t>Открепить</t>
  </si>
  <si>
    <t>Unpin</t>
  </si>
  <si>
    <t>unpinAll</t>
  </si>
  <si>
    <t>Открепить всё</t>
  </si>
  <si>
    <t>Unpin all</t>
  </si>
  <si>
    <t>unsorted</t>
  </si>
  <si>
    <t>Без сортировки</t>
  </si>
  <si>
    <t>Unsorted</t>
  </si>
  <si>
    <t>useMaterialsLabel</t>
  </si>
  <si>
    <t>Данное программное обеспечение использует следующие материалы</t>
  </si>
  <si>
    <t>This software uses the following materials</t>
  </si>
  <si>
    <t>viewLabel</t>
  </si>
  <si>
    <t>Обзор</t>
  </si>
  <si>
    <t>View</t>
  </si>
  <si>
    <t>viscosityLabel</t>
  </si>
  <si>
    <t>Вязкость</t>
  </si>
  <si>
    <t>Viscosity</t>
  </si>
  <si>
    <t>volLabel</t>
  </si>
  <si>
    <t>Об.%</t>
  </si>
  <si>
    <t>Vol.%</t>
  </si>
  <si>
    <t>volumeForecastLabel</t>
  </si>
  <si>
    <t>3D прогноз</t>
  </si>
  <si>
    <t>3D forecast</t>
  </si>
  <si>
    <t>warning</t>
  </si>
  <si>
    <t>Внимание</t>
  </si>
  <si>
    <t>Warning</t>
  </si>
  <si>
    <t>warningLabel</t>
  </si>
  <si>
    <t>hysteresisChartLabel</t>
  </si>
  <si>
    <t>Петли гистерезиса в зависимости от температуры в соответствии с рекомендациями брошюры CIGRE 741.</t>
  </si>
  <si>
    <t>Hysteresis loops of %RS vs temperature as per CIGRE 741 brochure guidelines.</t>
  </si>
  <si>
    <t>loadLabel</t>
  </si>
  <si>
    <t>Загрузка</t>
  </si>
  <si>
    <t>Loading</t>
  </si>
  <si>
    <t>overvoltageMultiplicityLabel1</t>
  </si>
  <si>
    <t>overvoltageMultiplicityLabel25</t>
  </si>
  <si>
    <t>loadCapacityLabel</t>
  </si>
  <si>
    <t>Нагрузочная способность</t>
  </si>
  <si>
    <t>Load Capacity</t>
  </si>
  <si>
    <t>currentHealthIndexLabel</t>
  </si>
  <si>
    <t>Текущее значение ИТС</t>
  </si>
  <si>
    <t>Current health index</t>
  </si>
  <si>
    <t>saveReportLabel</t>
  </si>
  <si>
    <t>Сохранить отчёт</t>
  </si>
  <si>
    <t>Save report</t>
  </si>
  <si>
    <t>ltcLabel</t>
  </si>
  <si>
    <t>Контроль РПН</t>
  </si>
  <si>
    <t>LTC</t>
  </si>
  <si>
    <t>notApplicableLabel</t>
  </si>
  <si>
    <t>Не применимо</t>
  </si>
  <si>
    <t>Not applicable</t>
  </si>
  <si>
    <t>factLabel</t>
  </si>
  <si>
    <t>Фактическая</t>
  </si>
  <si>
    <t>Fact</t>
  </si>
  <si>
    <t>etalonLabel</t>
  </si>
  <si>
    <t>Эталонная</t>
  </si>
  <si>
    <t>Reference</t>
  </si>
  <si>
    <t>protocolLable</t>
  </si>
  <si>
    <t>Протокол</t>
  </si>
  <si>
    <t>Protocol</t>
  </si>
  <si>
    <t>deviceLabel</t>
  </si>
  <si>
    <t>Устройство</t>
  </si>
  <si>
    <t>Device</t>
  </si>
  <si>
    <t>devicesLabel</t>
  </si>
  <si>
    <t>Устройства</t>
  </si>
  <si>
    <t>Devices</t>
  </si>
  <si>
    <t>enabledLabel</t>
  </si>
  <si>
    <t>Включен</t>
  </si>
  <si>
    <t>Enabled</t>
  </si>
  <si>
    <t>codeLabel</t>
  </si>
  <si>
    <t>Код</t>
  </si>
  <si>
    <t>Code</t>
  </si>
  <si>
    <t>nameLabel</t>
  </si>
  <si>
    <t>Имя</t>
  </si>
  <si>
    <t>Name</t>
  </si>
  <si>
    <t>chartLabel</t>
  </si>
  <si>
    <t>График</t>
  </si>
  <si>
    <t>Chart</t>
  </si>
  <si>
    <t>statsLabel</t>
  </si>
  <si>
    <t>Статистика</t>
  </si>
  <si>
    <t>Statistics</t>
  </si>
  <si>
    <t>datetimeLabel</t>
  </si>
  <si>
    <t>Дата и время</t>
  </si>
  <si>
    <t>Datetime</t>
  </si>
  <si>
    <t>errorMessageLabel</t>
  </si>
  <si>
    <t>Сообщение об ошибке</t>
  </si>
  <si>
    <t>Error message</t>
  </si>
  <si>
    <t>constLimsLabel</t>
  </si>
  <si>
    <t>Уставки и константы</t>
  </si>
  <si>
    <t>Constants and limits</t>
  </si>
  <si>
    <t>doLoadDataLabel</t>
  </si>
  <si>
    <t>Загрузить данные</t>
  </si>
  <si>
    <t>Load data</t>
  </si>
  <si>
    <t>loadDataLabel</t>
  </si>
  <si>
    <t>Загрузка данных</t>
  </si>
  <si>
    <t>Loading data</t>
  </si>
  <si>
    <t>historyLabel</t>
  </si>
  <si>
    <t>История</t>
  </si>
  <si>
    <t>History</t>
  </si>
  <si>
    <t>stepLabel</t>
  </si>
  <si>
    <t>Шаг</t>
  </si>
  <si>
    <t>Step</t>
  </si>
  <si>
    <t>successLabel</t>
  </si>
  <si>
    <t>Успешно</t>
  </si>
  <si>
    <t>Success</t>
  </si>
  <si>
    <t>nextLabel</t>
  </si>
  <si>
    <t>Далее</t>
  </si>
  <si>
    <t>Next</t>
  </si>
  <si>
    <t>backLabel</t>
  </si>
  <si>
    <t>Назад</t>
  </si>
  <si>
    <t>Back</t>
  </si>
  <si>
    <t>connectLabel</t>
  </si>
  <si>
    <t>Подключение</t>
  </si>
  <si>
    <t>Connection</t>
  </si>
  <si>
    <t>doConnectLabel</t>
  </si>
  <si>
    <t>Подключить</t>
  </si>
  <si>
    <t>Connect</t>
  </si>
  <si>
    <t>loadParamsLabel</t>
  </si>
  <si>
    <t>Параметры загрузки</t>
  </si>
  <si>
    <t>Loading parameters</t>
  </si>
  <si>
    <t>validationLabel</t>
  </si>
  <si>
    <t>Валидация</t>
  </si>
  <si>
    <t>Validation</t>
  </si>
  <si>
    <t>dataCollectLabel</t>
  </si>
  <si>
    <t>Сбор данных</t>
  </si>
  <si>
    <t>Data gathering</t>
  </si>
  <si>
    <t>diagosticLabel</t>
  </si>
  <si>
    <t>Диагностика</t>
  </si>
  <si>
    <t>Diagnostic</t>
  </si>
  <si>
    <t>loadedToMessagingBusesLabel</t>
  </si>
  <si>
    <t>Загружены в шину</t>
  </si>
  <si>
    <t>Loaded in data bus</t>
  </si>
  <si>
    <t>inProcessLabel</t>
  </si>
  <si>
    <t>В обработке</t>
  </si>
  <si>
    <t>In processing</t>
  </si>
  <si>
    <t>processedLabel</t>
  </si>
  <si>
    <t>Обработаны</t>
  </si>
  <si>
    <t>Processed</t>
  </si>
  <si>
    <t>errorOnTheProcessedLabel</t>
  </si>
  <si>
    <t>Ошибка при обработке</t>
  </si>
  <si>
    <t>Processing error</t>
  </si>
  <si>
    <t>unsuccessLabel</t>
  </si>
  <si>
    <t>Не удалось получить данные с сервера</t>
  </si>
  <si>
    <t>Failed to retrieve data from the server</t>
  </si>
  <si>
    <t>errorCheckDataLabel</t>
  </si>
  <si>
    <t>Ошибка проверки данных</t>
  </si>
  <si>
    <t>Data validation error</t>
  </si>
  <si>
    <t>diagProcessComplieate</t>
  </si>
  <si>
    <t>Диагностика завершена</t>
  </si>
  <si>
    <t>Diagnostics complete</t>
  </si>
  <si>
    <t>chooseAssetLabel</t>
  </si>
  <si>
    <t>Выберите трансформатор</t>
  </si>
  <si>
    <t>Select a transformer</t>
  </si>
  <si>
    <t>selectDataRangeLable</t>
  </si>
  <si>
    <t>Выберите период</t>
  </si>
  <si>
    <t>Select a period</t>
  </si>
  <si>
    <t>siganlsMissingLabel</t>
  </si>
  <si>
    <t>The values of the following signals are missing, add them in the administrator panel</t>
  </si>
  <si>
    <t>diagnosticCalculateLabel</t>
  </si>
  <si>
    <t>Расчёт диагностики</t>
  </si>
  <si>
    <t>Calculation of diagnostics</t>
  </si>
  <si>
    <t>reportLabel</t>
  </si>
  <si>
    <t>Заключение</t>
  </si>
  <si>
    <t>Conclusion</t>
  </si>
  <si>
    <t>recommendedActionsLabel</t>
  </si>
  <si>
    <t>Рекомендуемые действия</t>
  </si>
  <si>
    <t>Recommended actions</t>
  </si>
  <si>
    <t>signal.code</t>
  </si>
  <si>
    <t>c_co</t>
  </si>
  <si>
    <t>Concentration of carbon monoxide (CO)</t>
  </si>
  <si>
    <t>c_co2</t>
  </si>
  <si>
    <t>Concentration of carbon dioxide (CO2)</t>
  </si>
  <si>
    <t>c_ch4</t>
  </si>
  <si>
    <t>Concentration of methane (CH4)</t>
  </si>
  <si>
    <t>c_c2h4</t>
  </si>
  <si>
    <t>Concentration of ethylene (C2H4)</t>
  </si>
  <si>
    <t>c_c2h6</t>
  </si>
  <si>
    <t>Concentration of ethane (C2H6)</t>
  </si>
  <si>
    <t>c_c2h2</t>
  </si>
  <si>
    <t>Concentration of acetylene (C2H2)</t>
  </si>
  <si>
    <t>c_h2</t>
  </si>
  <si>
    <t>Concentration of hydrogen (H2)</t>
  </si>
  <si>
    <t>rs</t>
  </si>
  <si>
    <t>Relative saturation of oil (H2O)</t>
  </si>
  <si>
    <t>i_pa_hv</t>
  </si>
  <si>
    <t>Load current HV, phase A</t>
  </si>
  <si>
    <t>i_pb_hv</t>
  </si>
  <si>
    <t>Load current HV, phase B</t>
  </si>
  <si>
    <t>i_pc_hv</t>
  </si>
  <si>
    <t>Load current HV, phase C</t>
  </si>
  <si>
    <t>t_tp</t>
  </si>
  <si>
    <t>t_bt</t>
  </si>
  <si>
    <t>c_co_offline</t>
  </si>
  <si>
    <t>Concentration of carbon monoxide (CO) offline</t>
  </si>
  <si>
    <t>c_co2_offline</t>
  </si>
  <si>
    <t>Concentration of carbon dioxide (CO2) offline</t>
  </si>
  <si>
    <t>c_ch4_offline</t>
  </si>
  <si>
    <t>Concentration of methane (CH4) offline</t>
  </si>
  <si>
    <t>c_c2h6_offline</t>
  </si>
  <si>
    <t>Concentration of ethylene (C2H4) offline</t>
  </si>
  <si>
    <t>c_c2h4_offline</t>
  </si>
  <si>
    <t>Concentration of ethane (C2H6) offline</t>
  </si>
  <si>
    <t>c_c2h2_offline</t>
  </si>
  <si>
    <t>Concentration of acetylene (C2H2) offline</t>
  </si>
  <si>
    <t>c_h2_offline</t>
  </si>
  <si>
    <t>Concentration of hydrogen (H2) offline</t>
  </si>
  <si>
    <t>rs_offline</t>
  </si>
  <si>
    <t>Relative saturation of oil (offline)</t>
  </si>
  <si>
    <t>wcl_offline</t>
  </si>
  <si>
    <t xml:space="preserve">Water content of oil (offline) </t>
  </si>
  <si>
    <t>t_en</t>
  </si>
  <si>
    <t>bush_i_leakage_hv_pa</t>
  </si>
  <si>
    <t>Leakage current of HV bushing, phase A</t>
  </si>
  <si>
    <t>bush_i_leakage_hv_pb</t>
  </si>
  <si>
    <t>Leakage current of HV bushing, phase B</t>
  </si>
  <si>
    <t>bush_i_leakage_hv_pc</t>
  </si>
  <si>
    <t>Leakage current of HV bushing, phase C</t>
  </si>
  <si>
    <t>bush_d_c1_pa_hv</t>
  </si>
  <si>
    <t>Change of bushing capacitance, phase A</t>
  </si>
  <si>
    <t>bush_d_tgd_pa_hv</t>
  </si>
  <si>
    <t>Change of bushing tan-delta, phase A</t>
  </si>
  <si>
    <t>bush_c1_pa_hv</t>
  </si>
  <si>
    <t>Capacitance C1 of the bushing, phase A</t>
  </si>
  <si>
    <t>bush_c1_pb_hv</t>
  </si>
  <si>
    <t xml:space="preserve">Capacitance C1 of the bushing, phase </t>
  </si>
  <si>
    <t>bush_c1_pc_hv</t>
  </si>
  <si>
    <t>Capacitance C1 of the bushing, phase C</t>
  </si>
  <si>
    <t>bush_d_c1_pb_hv</t>
  </si>
  <si>
    <t>Change of bushing capacitance, phase B</t>
  </si>
  <si>
    <t>bush_d_tgd_pb_hv</t>
  </si>
  <si>
    <t>Change of bushing tan-delta, phase B</t>
  </si>
  <si>
    <t>bush_tgd_pa_hv</t>
  </si>
  <si>
    <t>Tan-delta of the bushing, phase A</t>
  </si>
  <si>
    <t>bush_tgd_pb_hv</t>
  </si>
  <si>
    <t>Tan-delta of the bushing, phase B</t>
  </si>
  <si>
    <t>bush_tgd_pc_hv</t>
  </si>
  <si>
    <t>Tan-delta of the bushing, phase C</t>
  </si>
  <si>
    <t>bush_d_c1_pc_hv</t>
  </si>
  <si>
    <t>Change of bushing capacitance, phase C</t>
  </si>
  <si>
    <t>bush_d_tgd_pc_hv</t>
  </si>
  <si>
    <t>Change of bushing tan-delta, phase C</t>
  </si>
  <si>
    <t>c_co_intrinsic</t>
  </si>
  <si>
    <t>Concentration of carbon monoxide (cleaned)</t>
  </si>
  <si>
    <t>c_co2_intrinsic</t>
  </si>
  <si>
    <t>Concentration of carbon dioxide (cleaned)</t>
  </si>
  <si>
    <t>c_ch4_intrinsic</t>
  </si>
  <si>
    <t>Concentration of methane (cleaned)</t>
  </si>
  <si>
    <t>c_c2h6_intrinsic</t>
  </si>
  <si>
    <t>Concentration of ethylene (cleaned)</t>
  </si>
  <si>
    <t>c_c2h4_intrinsic</t>
  </si>
  <si>
    <t>Concentration of ethane (cleaned)</t>
  </si>
  <si>
    <t>c_c2h2_intrinsic</t>
  </si>
  <si>
    <t>Concentration of acetylene (cleaned)</t>
  </si>
  <si>
    <t>c_h2_intrinsic</t>
  </si>
  <si>
    <t>Concentration of hydrogen (cleaned)</t>
  </si>
  <si>
    <t>c_h2_roc_abs_day</t>
  </si>
  <si>
    <t>Absolute rate of change dissolved in the oil hydrogen, day</t>
  </si>
  <si>
    <t>c_co_roc_abs_day</t>
  </si>
  <si>
    <t>Absolute rate of change dissolved in the oil carbon monoxide, day</t>
  </si>
  <si>
    <t>c_co2_roc_abs_day</t>
  </si>
  <si>
    <t>Absolute rate of change dissolved in the oil carbon dioxide, day</t>
  </si>
  <si>
    <t>c_ch4_roc_abs_day</t>
  </si>
  <si>
    <t>Absolute rate of change dissolved in the oil methane, day</t>
  </si>
  <si>
    <t>c_c2h6_roc_abs_day</t>
  </si>
  <si>
    <t>Absolute rate of change dissolved in the oil ethane, day</t>
  </si>
  <si>
    <t>c_c2h4_roc_abs_day</t>
  </si>
  <si>
    <t>Absolute rate of change dissolved in the oil ethylene, day</t>
  </si>
  <si>
    <t>c_c2h2_roc_abs_day</t>
  </si>
  <si>
    <t>Absolute rate of change dissolved in the oil acetylene, day</t>
  </si>
  <si>
    <t>c_h2_roc_abs_week</t>
  </si>
  <si>
    <t>Absolute rate of change dissolved in the oil hydrogen, week</t>
  </si>
  <si>
    <t>c_co_roc_abs_week</t>
  </si>
  <si>
    <t>Absolute rate of change dissolved in the oil carbon monoxide, week</t>
  </si>
  <si>
    <t>c_co2_roc_abs_week</t>
  </si>
  <si>
    <t>Absolute rate of change dissolved in the oil carbon dioxide, week</t>
  </si>
  <si>
    <t>c_ch4_roc_abs_week</t>
  </si>
  <si>
    <t>Absolute rate of change dissolved in the oil methane, week</t>
  </si>
  <si>
    <t>c_c2h6_roc_abs_week</t>
  </si>
  <si>
    <t>Absolute rate of change dissolved in the oil ethane, week</t>
  </si>
  <si>
    <t>c_c2h4_roc_abs_week</t>
  </si>
  <si>
    <t>Absolute rate of change dissolved in the oil ethylene, week</t>
  </si>
  <si>
    <t>c_c2h2_roc_abs_week</t>
  </si>
  <si>
    <t>Absolute rate of change dissolved in the oil acetylene, week</t>
  </si>
  <si>
    <t>c_h2_roc_abs_month</t>
  </si>
  <si>
    <t>Absolute rate of change dissolved in the oil hydrogen, month</t>
  </si>
  <si>
    <t>c_co_roc_abs_month</t>
  </si>
  <si>
    <t>Absolute rate of change dissolved in the oil carbon monoxide, month</t>
  </si>
  <si>
    <t>c_co2_roc_abs_month</t>
  </si>
  <si>
    <t>Absolute rate of change dissolved in the oil carbon dioxide, month</t>
  </si>
  <si>
    <t>c_ch4_roc_abs_month</t>
  </si>
  <si>
    <t>Absolute rate of change dissolved in the oil methane, month</t>
  </si>
  <si>
    <t>c_c2h6_roc_abs_month</t>
  </si>
  <si>
    <t>Absolute rate of change dissolved in the oil ethane, month</t>
  </si>
  <si>
    <t>c_c2h4_roc_abs_month</t>
  </si>
  <si>
    <t>Absolute rate of change dissolved in the oil ethylene, month</t>
  </si>
  <si>
    <t>c_c2h2_roc_abs_month</t>
  </si>
  <si>
    <t>Absolute rate of change dissolved in the oil acetylene, month</t>
  </si>
  <si>
    <t>c_h2_roc_abs_year</t>
  </si>
  <si>
    <t>Absolute rate of change dissolved in the oil hydrogen, year</t>
  </si>
  <si>
    <t>c_co_roc_abs_year</t>
  </si>
  <si>
    <t>Absolute rate of change dissolved in the oil carbon monoxide, year</t>
  </si>
  <si>
    <t>c_co2_roc_abs_year</t>
  </si>
  <si>
    <t>Absolute rate of change dissolved in the oil carbon dioxide, year</t>
  </si>
  <si>
    <t>c_ch4_roc_abs_year</t>
  </si>
  <si>
    <t>Absolute rate of change dissolved in the oil methane, year</t>
  </si>
  <si>
    <t>c_c2h6_roc_abs_year</t>
  </si>
  <si>
    <t>Absolute rate of change dissolved in the oil ethane, year</t>
  </si>
  <si>
    <t>c_c2h4_roc_abs_year</t>
  </si>
  <si>
    <t>Absolute rate of change dissolved in the oil ethylene, year</t>
  </si>
  <si>
    <t>c_c2h2_roc_abs_year</t>
  </si>
  <si>
    <t>Absolute rate of change dissolved in the oil acetylene, year</t>
  </si>
  <si>
    <t>c_h2_roc_rel_day</t>
  </si>
  <si>
    <t>Relative rate of change dissolved in the oil hydrogen, day</t>
  </si>
  <si>
    <t>c_co_roc_rel_day</t>
  </si>
  <si>
    <t>Relative rate of change dissolved in the oil carbon monoxide, day</t>
  </si>
  <si>
    <t>c_co2_roc_rel_day</t>
  </si>
  <si>
    <t>Relative rate of change dissolved in the oil carbon dioxide, day</t>
  </si>
  <si>
    <t>c_ch4_roc_rel_day</t>
  </si>
  <si>
    <t>Relative rate of change dissolved in the oil methane, day</t>
  </si>
  <si>
    <t>c_c2h6_roc_rel_day</t>
  </si>
  <si>
    <t>Relative rate of change dissolved in the oil ethane, day</t>
  </si>
  <si>
    <t>c_c2h4_roc_rel_day</t>
  </si>
  <si>
    <t>Relative rate of change dissolved in the oil ethylene, day</t>
  </si>
  <si>
    <t>c_c2h2_roc_rel_day</t>
  </si>
  <si>
    <t>Relative rate of change dissolved in the oil acetylene, day</t>
  </si>
  <si>
    <t>c_h2_roc_rel_week</t>
  </si>
  <si>
    <t>Relative rate of change dissolved in the oil hydrogen, week</t>
  </si>
  <si>
    <t>c_co_roc_rel_week</t>
  </si>
  <si>
    <t>Relative rate of change dissolved in the oil carbon monoxide, week</t>
  </si>
  <si>
    <t>c_co2_roc_rel_week</t>
  </si>
  <si>
    <t>Relative rate of change dissolved in the oil carbon dioxide, week</t>
  </si>
  <si>
    <t>c_ch4_roc_rel_week</t>
  </si>
  <si>
    <t>Relative rate of change dissolved in the oil methane, week</t>
  </si>
  <si>
    <t>c_c2h6_roc_rel_week</t>
  </si>
  <si>
    <t>Relative rate of change dissolved in the oil ethane, week</t>
  </si>
  <si>
    <t>c_c2h4_roc_rel_week</t>
  </si>
  <si>
    <t>Relative rate of change dissolved in the oil ethylene, week</t>
  </si>
  <si>
    <t>c_c2h2_roc_rel_week</t>
  </si>
  <si>
    <t>Relative rate of change dissolved in the oil acetylene, week</t>
  </si>
  <si>
    <t>c_h2_roc_rel_month</t>
  </si>
  <si>
    <t>Relative rate of change dissolved in the oil hydrogen, month</t>
  </si>
  <si>
    <t>c_co_roc_rel_month</t>
  </si>
  <si>
    <t>Relative rate of change dissolved in the oil carbon monoxide, month</t>
  </si>
  <si>
    <t>c_co2_roc_rel_month</t>
  </si>
  <si>
    <t>Relative rate of change dissolved in the oil carbon dioxide, month</t>
  </si>
  <si>
    <t>c_ch4_roc_rel_month</t>
  </si>
  <si>
    <t>Relative rate of change dissolved in the oil methane, month</t>
  </si>
  <si>
    <t>c_c2h6_roc_rel_month</t>
  </si>
  <si>
    <t>Relative rate of change dissolved in the oil ethane, month</t>
  </si>
  <si>
    <t>c_c2h4_roc_rel_month</t>
  </si>
  <si>
    <t>Relative rate of change dissolved in the oil ethylene, month</t>
  </si>
  <si>
    <t>c_c2h2_roc_rel_month</t>
  </si>
  <si>
    <t>Relative rate of change dissolved in the oil acetylene, month</t>
  </si>
  <si>
    <t>c_h2_roc_rel_year</t>
  </si>
  <si>
    <t>Relative rate of change dissolved in the oil hydrogen, year</t>
  </si>
  <si>
    <t>c_co_roc_rel_year</t>
  </si>
  <si>
    <t>Relative rate of change dissolved in the oil carbon monoxide, year</t>
  </si>
  <si>
    <t>c_co2_roc_rel_year</t>
  </si>
  <si>
    <t>Relative rate of change dissolved in the oil carbon dioxide, year</t>
  </si>
  <si>
    <t>c_ch4_roc_rel_year</t>
  </si>
  <si>
    <t>Relative rate of change dissolved in the oil methane, year</t>
  </si>
  <si>
    <t>c_c2h6_roc_rel_year</t>
  </si>
  <si>
    <t>Relative rate of change dissolved in the oil ethane, year</t>
  </si>
  <si>
    <t>c_c2h4_roc_rel_year</t>
  </si>
  <si>
    <t>Relative rate of change dissolved in the oil ethylene, year</t>
  </si>
  <si>
    <t>c_c2h2_roc_rel_year</t>
  </si>
  <si>
    <t>Relative rate of change dissolved in the oil acetylene, year</t>
  </si>
  <si>
    <t>wcl</t>
  </si>
  <si>
    <t>wcl_calc</t>
  </si>
  <si>
    <t>Water content of oil calculated</t>
  </si>
  <si>
    <t>wcp</t>
  </si>
  <si>
    <t>t_tp_calc</t>
  </si>
  <si>
    <t>Top oil temperature calculated</t>
  </si>
  <si>
    <t>t_hst</t>
  </si>
  <si>
    <t>ageing_montsinger</t>
  </si>
  <si>
    <t>Ageing of insulation calculated according to Montzinger</t>
  </si>
  <si>
    <t>ageing_montsinger_wcp</t>
  </si>
  <si>
    <t>Ageing of insulation calculated according to Montzinger with correction for water content of paper</t>
  </si>
  <si>
    <t>life_loss_day</t>
  </si>
  <si>
    <t>Service life decrease per day</t>
  </si>
  <si>
    <t>life_loss_rel_calendar</t>
  </si>
  <si>
    <t>Relative wear of insulation over calendar working time</t>
  </si>
  <si>
    <t>hi_updated</t>
  </si>
  <si>
    <t>Health index adjusted for online data</t>
  </si>
  <si>
    <t>diag_c_h2_roc_abs_day</t>
  </si>
  <si>
    <t>Status of absolute rate of change dissolved in the oil hydrogen, day</t>
  </si>
  <si>
    <t>diag_c_co_roc_abs_day</t>
  </si>
  <si>
    <t>Status of absolute rate of change dissolved in the oil carbon monoxide, day</t>
  </si>
  <si>
    <t>diag_c_co2_roc_abs_day</t>
  </si>
  <si>
    <t>Status of absolute rate of change dissolved in the oil carbon dioxide, day</t>
  </si>
  <si>
    <t>diag_c_ch4_roc_abs_day</t>
  </si>
  <si>
    <t>Status of absolute rate of change dissolved in the oil methane, day</t>
  </si>
  <si>
    <t>diag_c_c2h6_roc_abs_day</t>
  </si>
  <si>
    <t>Status of absolute rate of change dissolved in the oil ethane, day</t>
  </si>
  <si>
    <t>diag_c_c2h4_roc_abs_day</t>
  </si>
  <si>
    <t>Status of absolute rate of change dissolved in the oil ethylene, day</t>
  </si>
  <si>
    <t>diag_c_c2h2_roc_abs_day</t>
  </si>
  <si>
    <t>Status of absolute rate of change dissolved in the oil acetylene, day</t>
  </si>
  <si>
    <t>diag_c_h2_roc_abs_week</t>
  </si>
  <si>
    <t>Status of absolute rate of change dissolved in the oil hydrogen, week</t>
  </si>
  <si>
    <t>diag_c_co_roc_abs_week</t>
  </si>
  <si>
    <t>Status of absolute rate of change dissolved in the oil carbon monoxide, week</t>
  </si>
  <si>
    <t>diag_c_co2_roc_abs_week</t>
  </si>
  <si>
    <t>Status of absolute rate of change dissolved in the oil carbon dioxide, week</t>
  </si>
  <si>
    <t>diag_c_ch4_roc_abs_week</t>
  </si>
  <si>
    <t>Status of absolute rate of change dissolved in the oil methane, week</t>
  </si>
  <si>
    <t>diag_c_c2h6_roc_abs_week</t>
  </si>
  <si>
    <t>Status of absolute rate of change dissolved in the oil ethane, week</t>
  </si>
  <si>
    <t>diag_c_c2h4_roc_abs_week</t>
  </si>
  <si>
    <t>Status of absolute rate of change dissolved in the oil ethylene, week</t>
  </si>
  <si>
    <t>diag_c_c2h2_roc_abs_week</t>
  </si>
  <si>
    <t>Status of absolute rate of change dissolved in the oil acetylene, week</t>
  </si>
  <si>
    <t>diag_c_h2_roc_abs_month</t>
  </si>
  <si>
    <t>Status of absolute rate of change dissolved in the oil hydrogen, month</t>
  </si>
  <si>
    <t>diag_c_co_roc_abs_month</t>
  </si>
  <si>
    <t>Status of absolute rate of change dissolved in the oil carbon monoxide, month</t>
  </si>
  <si>
    <t>diag_c_co2_roc_abs_month</t>
  </si>
  <si>
    <t>Status of absolute rate of change dissolved in the oil carbon dioxide, month</t>
  </si>
  <si>
    <t>diag_c_ch4_roc_abs_month</t>
  </si>
  <si>
    <t>Status of absolute rate of change dissolved in the oil methane, month</t>
  </si>
  <si>
    <t>diag_c_c2h6_roc_abs_month</t>
  </si>
  <si>
    <t>Status of absolute rate of change dissolved in the oil ethane, month</t>
  </si>
  <si>
    <t>diag_c_c2h4_roc_abs_month</t>
  </si>
  <si>
    <t>Status of absolute rate of change dissolved in the oil ethylene, month</t>
  </si>
  <si>
    <t>diag_c_c2h2_roc_abs_month</t>
  </si>
  <si>
    <t>Status of absolute rate of change dissolved in the oil acetylene, month</t>
  </si>
  <si>
    <t>diag_c_h2_roc_abs_year</t>
  </si>
  <si>
    <t>Status of absolute rate of change dissolved in the oil hydrogen, year</t>
  </si>
  <si>
    <t>diag_c_co_roc_abs_year</t>
  </si>
  <si>
    <t>Status of absolute rate of change dissolved in the oil carbon monoxide, year</t>
  </si>
  <si>
    <t>diag_c_co2_roc_abs_year</t>
  </si>
  <si>
    <t>Status of absolute rate of change dissolved in the oil carbon dioxide, year</t>
  </si>
  <si>
    <t>diag_c_ch4_roc_abs_year</t>
  </si>
  <si>
    <t>Status of absolute rate of change dissolved in the oil methane, year</t>
  </si>
  <si>
    <t>diag_c_c2h6_roc_abs_year</t>
  </si>
  <si>
    <t>Status of absolute rate of change dissolved in the oil ethane, year</t>
  </si>
  <si>
    <t>diag_c_c2h4_roc_abs_year</t>
  </si>
  <si>
    <t>Status of absolute rate of change dissolved in the oil ethylene, year</t>
  </si>
  <si>
    <t>diag_c_c2h2_roc_abs_year</t>
  </si>
  <si>
    <t>Status of absolute rate of change dissolved in the oil acetylene, year</t>
  </si>
  <si>
    <t>diag_c_h2_roc_rel_day</t>
  </si>
  <si>
    <t>Status of relative rate of change dissolved in the oil hydrogen, day</t>
  </si>
  <si>
    <t>diag_c_co_roc_rel_day</t>
  </si>
  <si>
    <t>Status of relative rate of change dissolved in the oil carbon monoxide, day</t>
  </si>
  <si>
    <t>diag_c_co2_roc_rel_day</t>
  </si>
  <si>
    <t>Status of relative rate of change dissolved in the oil carbon dioxide, day</t>
  </si>
  <si>
    <t>diag_c_ch4_roc_rel_day</t>
  </si>
  <si>
    <t>Status of relative rate of change dissolved in the oil methane, day</t>
  </si>
  <si>
    <t>diag_c_c2h6_roc_rel_day</t>
  </si>
  <si>
    <t>Status of relative rate of change dissolved in the oil ethane, day</t>
  </si>
  <si>
    <t>diag_c_c2h4_roc_rel_day</t>
  </si>
  <si>
    <t>Status of relative rate of change dissolved in the oil ethylene, day</t>
  </si>
  <si>
    <t>diag_c_c2h2_roc_rel_day</t>
  </si>
  <si>
    <t>Status of relative rate of change dissolved in the oil acetylene, day</t>
  </si>
  <si>
    <t>diag_c_h2_roc_rel_week</t>
  </si>
  <si>
    <t>Status of relative rate of change dissolved in the oil hydrogen, week</t>
  </si>
  <si>
    <t>diag_c_co_roc_rel_week</t>
  </si>
  <si>
    <t>Status of relative rate of change dissolved in the oil carbon monoxide, week</t>
  </si>
  <si>
    <t>diag_c_co2_roc_rel_week</t>
  </si>
  <si>
    <t>Status of relative rate of change dissolved in the oil carbon dioxide, week</t>
  </si>
  <si>
    <t>diag_c_ch4_roc_rel_week</t>
  </si>
  <si>
    <t>Status of relative rate of change dissolved in the oil methane, week</t>
  </si>
  <si>
    <t>diag_c_c2h6_roc_rel_week</t>
  </si>
  <si>
    <t>Status of relative rate of change dissolved in the oil ethane, week</t>
  </si>
  <si>
    <t>diag_c_c2h4_roc_rel_week</t>
  </si>
  <si>
    <t>Status of relative rate of change dissolved in the oil ethylene, week</t>
  </si>
  <si>
    <t>diag_c_c2h2_roc_rel_week</t>
  </si>
  <si>
    <t>Status of relative rate of change dissolved in the oil acetylene, week</t>
  </si>
  <si>
    <t>diag_c_h2_roc_rel_month</t>
  </si>
  <si>
    <t>Status of relative rate of change dissolved in the oil hydrogen, month</t>
  </si>
  <si>
    <t>diag_c_co_roc_rel_month</t>
  </si>
  <si>
    <t>Status of relative rate of change dissolved in the oil carbon monoxide, month</t>
  </si>
  <si>
    <t>diag_c_co2_roc_rel_month</t>
  </si>
  <si>
    <t>Status of relative rate of change dissolved in the oil carbon dioxide, month</t>
  </si>
  <si>
    <t>diag_c_ch4_roc_rel_month</t>
  </si>
  <si>
    <t>Status of relative rate of change dissolved in the oil methane, month</t>
  </si>
  <si>
    <t>diag_c_c2h6_roc_rel_month</t>
  </si>
  <si>
    <t>Status of relative rate of change dissolved in the oil ethane, month</t>
  </si>
  <si>
    <t>diag_c_c2h4_roc_rel_month</t>
  </si>
  <si>
    <t>Status of relative rate of change dissolved in the oil ethylene, month</t>
  </si>
  <si>
    <t>diag_c_c2h2_roc_rel_month</t>
  </si>
  <si>
    <t>Status of relative rate of change dissolved in the oil acetylene, month</t>
  </si>
  <si>
    <t>diag_c_h2_roc_rel_year</t>
  </si>
  <si>
    <t>Status of relative rate of change dissolved in the oil hydrogen, year</t>
  </si>
  <si>
    <t>diag_c_co_roc_rel_year</t>
  </si>
  <si>
    <t>Status of relative rate of change dissolved in the oil carbon monoxide, year</t>
  </si>
  <si>
    <t>diag_c_co2_roc_rel_year</t>
  </si>
  <si>
    <t>Status of relative rate of change dissolved in the oil carbon dioxide, year</t>
  </si>
  <si>
    <t>diag_c_ch4_roc_rel_year</t>
  </si>
  <si>
    <t>Status of relative rate of change dissolved in the oil methane, year</t>
  </si>
  <si>
    <t>diag_c_c2h6_roc_rel_year</t>
  </si>
  <si>
    <t>Status of relative rate of change dissolved in the oil ethane, year</t>
  </si>
  <si>
    <t>diag_c_c2h4_roc_rel_year</t>
  </si>
  <si>
    <t>Status of relative rate of change dissolved in the oil ethylene, year</t>
  </si>
  <si>
    <t>diag_c_c2h2_roc_rel_year</t>
  </si>
  <si>
    <t>Status of relative rate of change dissolved in the oil acetylene, year</t>
  </si>
  <si>
    <t>c_h2_oe_lim0</t>
  </si>
  <si>
    <t>Concentration of carbon monoxide (CO) relative lim0</t>
  </si>
  <si>
    <t>c_co_oe_lim0</t>
  </si>
  <si>
    <t>Concentration of carbon dioxide (CO2) relative lim0</t>
  </si>
  <si>
    <t>c_co2_oe_lim0</t>
  </si>
  <si>
    <t>Concentration of methane (CH4) relative lim0</t>
  </si>
  <si>
    <t>c_ch4_oe_lim0</t>
  </si>
  <si>
    <t>Concentration of ethylene (C2H4) relative lim0</t>
  </si>
  <si>
    <t>c_c2h4_oe_lim0</t>
  </si>
  <si>
    <t>Concentration of ethane (C2H6) relative lim0</t>
  </si>
  <si>
    <t>c_c2h6_oe_lim0</t>
  </si>
  <si>
    <t>Concentration of acetylene (C2H2) relative lim0</t>
  </si>
  <si>
    <t>c_c2h2_oe_lim0</t>
  </si>
  <si>
    <t>Concentration of hydrogen (H2) relative lim0</t>
  </si>
  <si>
    <t>c_h2_oe_lim1</t>
  </si>
  <si>
    <t>Concentration of carbon monoxide (CO) relative lim1</t>
  </si>
  <si>
    <t>c_co_oe_lim1</t>
  </si>
  <si>
    <t>Concentration of carbon dioxide (CO2) relative lim1</t>
  </si>
  <si>
    <t>c_co2_oe_lim1</t>
  </si>
  <si>
    <t>Concentration of methane (CH4) relative lim1</t>
  </si>
  <si>
    <t>c_ch4_oe_lim1</t>
  </si>
  <si>
    <t>Concentration of ethylene (C2H4) relative lim1</t>
  </si>
  <si>
    <t>c_c2h4_oe_lim1</t>
  </si>
  <si>
    <t>Concentration of ethane (C2H6) relative lim1</t>
  </si>
  <si>
    <t>c_c2h6_oe_lim1</t>
  </si>
  <si>
    <t>Concentration of acetylene (C2H2) relative lim1</t>
  </si>
  <si>
    <t>c_c2h2_oe_lim1</t>
  </si>
  <si>
    <t>Concentration of hydrogen (H2) relative lim1</t>
  </si>
  <si>
    <t>diag_c_co</t>
  </si>
  <si>
    <t>Status of concentration of carbon monoxide (CO)</t>
  </si>
  <si>
    <t>diag_c_co2</t>
  </si>
  <si>
    <t>Status of concentration of carbon dioxide (CO2)</t>
  </si>
  <si>
    <t>diag_c_ch4</t>
  </si>
  <si>
    <t>Status of concentration of methane (CH4)</t>
  </si>
  <si>
    <t>diag_c_c2h6</t>
  </si>
  <si>
    <t>Status of concentration of ethylene (C2H4)</t>
  </si>
  <si>
    <t>diag_c_c2h4</t>
  </si>
  <si>
    <t>Status of concentration of ethane (C2H6)</t>
  </si>
  <si>
    <t>diag_c_c2h2</t>
  </si>
  <si>
    <t>Status of concentration of acetylene (C2H2)</t>
  </si>
  <si>
    <t>diag_c_h2</t>
  </si>
  <si>
    <t>Status of concentration of hydrogen (H2)</t>
  </si>
  <si>
    <t>c_frac_c2h2_on_c2h4</t>
  </si>
  <si>
    <t>Gas pair ratio: acetylene/ethylene</t>
  </si>
  <si>
    <t>c_frac_ch4_on_h2</t>
  </si>
  <si>
    <t>Gas pair ratio: methane/hydrogen</t>
  </si>
  <si>
    <t>c_frac_c2h4_on_c2h6</t>
  </si>
  <si>
    <t>Gas pair ratio: ethylene/ethane</t>
  </si>
  <si>
    <t>c_frac_c2h2_on_c2h6</t>
  </si>
  <si>
    <t>Gas pair ratio: acetylene/ethane</t>
  </si>
  <si>
    <t>c_frac_co2_on_co</t>
  </si>
  <si>
    <t>Gas pair ratio: co2/co</t>
  </si>
  <si>
    <t>c_frac_co2_on_co_min</t>
  </si>
  <si>
    <t>Minimum limit of the gas pair ratio co2/co</t>
  </si>
  <si>
    <t>c_frac_co2_on_co_max</t>
  </si>
  <si>
    <t>c_frac_co2_on_co_min_manual</t>
  </si>
  <si>
    <t>Minimum limit of the gas pair ratio co2/co, manual</t>
  </si>
  <si>
    <t>c_frac_co2_on_co_max_manual</t>
  </si>
  <si>
    <t>Maximum limit of the gas pair ratio co2/co, manual</t>
  </si>
  <si>
    <t>diag_c_model1rd_tbl</t>
  </si>
  <si>
    <t>diag_c_model1rd</t>
  </si>
  <si>
    <t>diag_c_model1rd_num_in_table</t>
  </si>
  <si>
    <t>diag_c_model4</t>
  </si>
  <si>
    <t>diag_c_defect</t>
  </si>
  <si>
    <t>diag_c_model2rd</t>
  </si>
  <si>
    <t>diag_c_model2rd_num_nomogram</t>
  </si>
  <si>
    <t>diag_c_model2rd_acc_nomogram</t>
  </si>
  <si>
    <t>diag_c_model2rd_nomogram</t>
  </si>
  <si>
    <t>diag_c_duval31</t>
  </si>
  <si>
    <t>diag_c_duval31_r_ch4</t>
  </si>
  <si>
    <t>diag_c_duval31_r_c2h2</t>
  </si>
  <si>
    <t>diag_c_duval31_r_c2h4</t>
  </si>
  <si>
    <t>diag_c_duval51</t>
  </si>
  <si>
    <t>diag_c_duval51_c_x</t>
  </si>
  <si>
    <t>diag_c_duval51_c_y</t>
  </si>
  <si>
    <t>diag_c_duval51_c_c2h2</t>
  </si>
  <si>
    <t>diag_c_duval51_c_c2h6</t>
  </si>
  <si>
    <t>diag_c_duval51_c_c2h4</t>
  </si>
  <si>
    <t>diag_c_duval51_c_ch4</t>
  </si>
  <si>
    <t>diag_c_duval51_c_h2</t>
  </si>
  <si>
    <t>c_co_lim0</t>
  </si>
  <si>
    <t>Alarm concentration of carbon monoxide</t>
  </si>
  <si>
    <t>c_co2_lim0</t>
  </si>
  <si>
    <t>Alarm concentration of carbon dioxide</t>
  </si>
  <si>
    <t>c_ch4_lim0</t>
  </si>
  <si>
    <t>Alarm of methane concentration</t>
  </si>
  <si>
    <t>c_c2h6_lim0</t>
  </si>
  <si>
    <t>Alarm concentration of ethane</t>
  </si>
  <si>
    <t>c_c2h4_lim0</t>
  </si>
  <si>
    <t>Alarm of ethylene concentration</t>
  </si>
  <si>
    <t>c_c2h2_lim0</t>
  </si>
  <si>
    <t>Alarm acetylene concentration</t>
  </si>
  <si>
    <t>c_h2_lim0</t>
  </si>
  <si>
    <t>Alarm of hydrogen concentration</t>
  </si>
  <si>
    <t>c_co_lim1</t>
  </si>
  <si>
    <t>Fault concentration of carbon monoxide</t>
  </si>
  <si>
    <t>c_co2_lim1</t>
  </si>
  <si>
    <t>Fault concentration of carbon dioxide</t>
  </si>
  <si>
    <t>c_ch4_lim1</t>
  </si>
  <si>
    <t>Fault concentration of methane</t>
  </si>
  <si>
    <t>c_c2h6_lim1</t>
  </si>
  <si>
    <t>Fault of ethane concentration</t>
  </si>
  <si>
    <t>c_c2h4_lim1</t>
  </si>
  <si>
    <t>Fault concentration of ethylene</t>
  </si>
  <si>
    <t>c_c2h2_lim1</t>
  </si>
  <si>
    <t>Fault of acetylene concentration</t>
  </si>
  <si>
    <t>c_h2_lim1</t>
  </si>
  <si>
    <t>Fault hydrogen concentration</t>
  </si>
  <si>
    <t>c_h2_lim0_manual</t>
  </si>
  <si>
    <t>Alarm of hydrogen concentration is manual</t>
  </si>
  <si>
    <t>c_co_lim0_manual</t>
  </si>
  <si>
    <t>Alarm concentration of carbon monoxide is manual</t>
  </si>
  <si>
    <t>c_co2_lim0_manual</t>
  </si>
  <si>
    <t>Alarm carbon dioxide concentration manual</t>
  </si>
  <si>
    <t>c_ch4_lim0_manual</t>
  </si>
  <si>
    <t>Alarm of methane concentration is manual</t>
  </si>
  <si>
    <t>c_c2h6_lim0_manual</t>
  </si>
  <si>
    <t>Alarm of ethane concentration is manual</t>
  </si>
  <si>
    <t>c_c2h4_lim0_manual</t>
  </si>
  <si>
    <t>Alarm ethylene concentration manual</t>
  </si>
  <si>
    <t>c_c2h2_lim0_manual</t>
  </si>
  <si>
    <t>Alarm acetylene concentration manual</t>
  </si>
  <si>
    <t>c_tcgh2_lim0_manual</t>
  </si>
  <si>
    <t>c_h2_lim1_manual</t>
  </si>
  <si>
    <t>Fault hydrogen concentration manual</t>
  </si>
  <si>
    <t>c_co_lim1_manual</t>
  </si>
  <si>
    <t>Fault carbon monoxide concentration manual</t>
  </si>
  <si>
    <t>c_co2_lim1_manual</t>
  </si>
  <si>
    <t>Fault carbon dioxide concentration manual</t>
  </si>
  <si>
    <t>c_ch4_lim1_manual</t>
  </si>
  <si>
    <t>Fault of methane concentration is manual</t>
  </si>
  <si>
    <t>c_c2h6_lim1_manual</t>
  </si>
  <si>
    <t>c_c2h4_lim1_manual</t>
  </si>
  <si>
    <t>Fault of ethylene concentration is manual</t>
  </si>
  <si>
    <t>c_c2h2_lim1_manual</t>
  </si>
  <si>
    <t>Fault acetylene concentration manual</t>
  </si>
  <si>
    <t>c_tcgh2_lim1_manual</t>
  </si>
  <si>
    <t>c_h2_roc_abs_day_lim0</t>
  </si>
  <si>
    <t>Alarm of the absolute hydrogen concentration growth rate, day</t>
  </si>
  <si>
    <t>c_co_roc_abs_day_lim0</t>
  </si>
  <si>
    <t>c_co2_roc_abs_day_lim0</t>
  </si>
  <si>
    <t>c_ch4_roc_abs_day_lim0</t>
  </si>
  <si>
    <t>Alarm of the absolute methane concentration growth rate, day</t>
  </si>
  <si>
    <t>c_c2h6_roc_abs_day_lim0</t>
  </si>
  <si>
    <t>Alarm of the absolute ethane concentration growth rate, day</t>
  </si>
  <si>
    <t>c_c2h4_roc_abs_day_lim0</t>
  </si>
  <si>
    <t>Alarm of the absolute ethylene concentration growth rate, day</t>
  </si>
  <si>
    <t>c_c2h2_roc_abs_day_lim0</t>
  </si>
  <si>
    <t>Alarm of the absolute acetylene concentration growth rate, day</t>
  </si>
  <si>
    <t>c_h2_roc_abs_week_lim0</t>
  </si>
  <si>
    <t>Alarm of the absolute hydrogen concentration growth rate, week</t>
  </si>
  <si>
    <t>c_co_roc_abs_week_lim0</t>
  </si>
  <si>
    <t>c_co2_roc_abs_week_lim0</t>
  </si>
  <si>
    <t>c_ch4_roc_abs_week_lim0</t>
  </si>
  <si>
    <t>Alarm of the absolute methane concentration growth rate, week</t>
  </si>
  <si>
    <t>c_c2h6_roc_abs_week_lim0</t>
  </si>
  <si>
    <t>Alarm absolute ethane concentration growth rate, week</t>
  </si>
  <si>
    <t>c_c2h4_roc_abs_week_lim0</t>
  </si>
  <si>
    <t>Alarm of the absolute ethylene concentration growth rate, week</t>
  </si>
  <si>
    <t>c_c2h2_roc_abs_week_lim0</t>
  </si>
  <si>
    <t>Alarm absolute acetylene concentration growth rate, week</t>
  </si>
  <si>
    <t>c_h2_roc_abs_month_lim0</t>
  </si>
  <si>
    <t>Alarm of the absolute hydrogen concentration growth rate, month</t>
  </si>
  <si>
    <t>c_co_roc_abs_month_lim0</t>
  </si>
  <si>
    <t>c_co2_roc_abs_month_lim0</t>
  </si>
  <si>
    <t>c_ch4_roc_abs_month_lim0</t>
  </si>
  <si>
    <t>Alarm of the absolute methane concentration growth rate, month</t>
  </si>
  <si>
    <t>c_c2h6_roc_abs_month_lim0</t>
  </si>
  <si>
    <t>Alarm absolute ethane concentration growth rate, month</t>
  </si>
  <si>
    <t>c_c2h4_roc_abs_month_lim0</t>
  </si>
  <si>
    <t>Alarm of the absolute ethylene concentration growth rate, month</t>
  </si>
  <si>
    <t>c_c2h2_roc_abs_month_lim0</t>
  </si>
  <si>
    <t>Alarm absolute acetylene concentration growth rate, month</t>
  </si>
  <si>
    <t>c_h2_roc_abs_year_lim0</t>
  </si>
  <si>
    <t>Alarm of the absolute hydrogen concentration growth rate, year</t>
  </si>
  <si>
    <t>c_co_roc_abs_year_lim0</t>
  </si>
  <si>
    <t>c_co2_roc_abs_year_lim0</t>
  </si>
  <si>
    <t>c_ch4_roc_abs_year_lim0</t>
  </si>
  <si>
    <t>Alarm of the absolute methane concentration growth rate, year</t>
  </si>
  <si>
    <t>c_c2h6_roc_abs_year_lim0</t>
  </si>
  <si>
    <t>Alarm of the absolute ethane concentration growth rate, year</t>
  </si>
  <si>
    <t>c_c2h4_roc_abs_year_lim0</t>
  </si>
  <si>
    <t>Alarm of the absolute ethylene concentration growth rate, year</t>
  </si>
  <si>
    <t>c_c2h2_roc_abs_year_lim0</t>
  </si>
  <si>
    <t>Alarm of the absolute acetylene concentration growth rate, year</t>
  </si>
  <si>
    <t>c_h2_roc_rel_day_lim0</t>
  </si>
  <si>
    <t>Alarm relative hydrogen concentration growth rate, day</t>
  </si>
  <si>
    <t>c_co_roc_rel_day_lim0</t>
  </si>
  <si>
    <t>Alarm relative carbon monoxide concentration growth rate, day</t>
  </si>
  <si>
    <t>c_co2_roc_rel_day_lim0</t>
  </si>
  <si>
    <t>Alarm relative carbon dioxide concentration growth rate, day</t>
  </si>
  <si>
    <t>c_ch4_roc_rel_day_lim0</t>
  </si>
  <si>
    <t>Alarm relative methane concentration growth rate, day</t>
  </si>
  <si>
    <t>c_c2h6_roc_rel_day_lim0</t>
  </si>
  <si>
    <t>Alarm relative ethane concentration growth rate, day</t>
  </si>
  <si>
    <t>c_c2h4_roc_rel_day_lim0</t>
  </si>
  <si>
    <t>Alarm relative ethylene concentration growth rate, day</t>
  </si>
  <si>
    <t>c_c2h2_roc_rel_day_lim0</t>
  </si>
  <si>
    <t>Alarm relative acetylene concentration growth rate, day</t>
  </si>
  <si>
    <t>c_h2_roc_rel_week_lim0</t>
  </si>
  <si>
    <t>Alarm relative hydrogen concentration growth rate, week</t>
  </si>
  <si>
    <t>c_co_roc_rel_week_lim0</t>
  </si>
  <si>
    <t>Alarm relative carbon monoxide concentration growth rate, week</t>
  </si>
  <si>
    <t>c_co2_roc_rel_week_lim0</t>
  </si>
  <si>
    <t>Alarm of the relative carbon dioxide concentration growth rate, week</t>
  </si>
  <si>
    <t>c_ch4_roc_rel_week_lim0</t>
  </si>
  <si>
    <t>Alarm relative methane concentration growth rate, week</t>
  </si>
  <si>
    <t>c_c2h6_roc_rel_week_lim0</t>
  </si>
  <si>
    <t>Alarm relative ethane concentration growth rate, week</t>
  </si>
  <si>
    <t>c_c2h4_roc_rel_week_lim0</t>
  </si>
  <si>
    <t>Alarm relative ethylene concentration growth rate, week</t>
  </si>
  <si>
    <t>c_c2h2_roc_rel_week_lim0</t>
  </si>
  <si>
    <t>Alarm relative acetylene concentration growth rate, week</t>
  </si>
  <si>
    <t>c_h2_roc_rel_month_lim0</t>
  </si>
  <si>
    <t>Alarm relative hydrogen concentration growth rate, month</t>
  </si>
  <si>
    <t>c_co_roc_rel_month_lim0</t>
  </si>
  <si>
    <t>Alarm relative carbon monoxide concentration growth rate, month</t>
  </si>
  <si>
    <t>c_co2_roc_rel_month_lim0</t>
  </si>
  <si>
    <t>Alarm relative carbon dioxide concentration growth rate, month</t>
  </si>
  <si>
    <t>c_ch4_roc_rel_month_lim0</t>
  </si>
  <si>
    <t>Alarm relative methane concentration growth rate, month</t>
  </si>
  <si>
    <t>c_c2h6_roc_rel_month_lim0</t>
  </si>
  <si>
    <t>Alarm relative ethane concentration growth rate, month</t>
  </si>
  <si>
    <t>c_c2h4_roc_rel_month_lim0</t>
  </si>
  <si>
    <t>Alarm relative ethylene concentration growth rate, month</t>
  </si>
  <si>
    <t>c_c2h2_roc_rel_month_lim0</t>
  </si>
  <si>
    <t>Alarm relative acetylene concentration growth rate, month</t>
  </si>
  <si>
    <t>c_h2_roc_rel_year_lim0</t>
  </si>
  <si>
    <t>Alarm of the relative hydrogen concentration growth rate, year</t>
  </si>
  <si>
    <t>c_co_roc_rel_year_lim0</t>
  </si>
  <si>
    <t>Alarm relative carbon monoxide concentration growth rate, year</t>
  </si>
  <si>
    <t>c_co2_roc_rel_year_lim0</t>
  </si>
  <si>
    <t>Alarm relative carbon dioxide concentration growth rate, year</t>
  </si>
  <si>
    <t>c_ch4_roc_rel_year_lim0</t>
  </si>
  <si>
    <t>Alarm relative methane concentration growth rate, year</t>
  </si>
  <si>
    <t>c_c2h6_roc_rel_year_lim0</t>
  </si>
  <si>
    <t>Alarm relative ethane concentration growth rate, year</t>
  </si>
  <si>
    <t>c_c2h4_roc_rel_year_lim0</t>
  </si>
  <si>
    <t>Alarm relative ethylene concentration growth rate, year</t>
  </si>
  <si>
    <t>c_c2h2_roc_rel_year_lim0</t>
  </si>
  <si>
    <t>Alarm relative acetylene concentration growth rate, year</t>
  </si>
  <si>
    <t>c_h2_roc_abs_day_lim1</t>
  </si>
  <si>
    <t>Fault of the absolute hydrogen concentration growth rate, day</t>
  </si>
  <si>
    <t>c_co_roc_abs_day_lim1</t>
  </si>
  <si>
    <t>Fault of the absolute carbon monoxide concentration growth rate, day</t>
  </si>
  <si>
    <t>c_co2_roc_abs_day_lim1</t>
  </si>
  <si>
    <t>Fault of the absolute carbon dioxide concentration growth rate, day</t>
  </si>
  <si>
    <t>c_ch4_roc_abs_day_lim1</t>
  </si>
  <si>
    <t>Fault of the absolute methane concentration growth rate, day</t>
  </si>
  <si>
    <t>c_c2h6_roc_abs_day_lim1</t>
  </si>
  <si>
    <t>Fault of the absolute ethane concentration growth rate, day</t>
  </si>
  <si>
    <t>c_c2h4_roc_abs_day_lim1</t>
  </si>
  <si>
    <t>Fault of the absolute ethylene concentration growth rate, day</t>
  </si>
  <si>
    <t>c_c2h2_roc_abs_day_lim1</t>
  </si>
  <si>
    <t>Fault of the absolute acetylene concentration growth rate, day</t>
  </si>
  <si>
    <t>c_h2_roc_abs_week_lim1</t>
  </si>
  <si>
    <t>Fault of the absolute hydrogen concentration growth rate, week</t>
  </si>
  <si>
    <t>c_co_roc_abs_week_lim1</t>
  </si>
  <si>
    <t>Fault of the absolute carbon monoxide concentration growth rate, week</t>
  </si>
  <si>
    <t>c_co2_roc_abs_week_lim1</t>
  </si>
  <si>
    <t>Fault of the absolute carbon dioxide concentration growth rate, week</t>
  </si>
  <si>
    <t>c_ch4_roc_abs_week_lim1</t>
  </si>
  <si>
    <t>Fault of the absolute methane concentration growth rate, week</t>
  </si>
  <si>
    <t>c_c2h6_roc_abs_week_lim1</t>
  </si>
  <si>
    <t>Fault of the absolute ethane concentration growth rate, week</t>
  </si>
  <si>
    <t>c_c2h4_roc_abs_week_lim1</t>
  </si>
  <si>
    <t>Fault of the absolute ethylene concentration growth rate, week</t>
  </si>
  <si>
    <t>c_c2h2_roc_abs_week_lim1</t>
  </si>
  <si>
    <t>Fault of the absolute acetylene concentration growth rate, week</t>
  </si>
  <si>
    <t>c_h2_roc_abs_month_lim1</t>
  </si>
  <si>
    <t>Fault of the absolute hydrogen concentration growth rate, month</t>
  </si>
  <si>
    <t>c_co_roc_abs_month_lim1</t>
  </si>
  <si>
    <t>Fault of the absolute carbon monoxide concentration growth rate, month</t>
  </si>
  <si>
    <t>c_co2_roc_abs_month_lim1</t>
  </si>
  <si>
    <t>Fault of the absolute carbon dioxide concentration growth rate, month</t>
  </si>
  <si>
    <t>c_ch4_roc_abs_month_lim1</t>
  </si>
  <si>
    <t>Fault of the absolute methane concentration growth rate, month</t>
  </si>
  <si>
    <t>c_c2h6_roc_abs_month_lim1</t>
  </si>
  <si>
    <t>Fault absolute ethane concentration growth rate, month</t>
  </si>
  <si>
    <t>c_c2h4_roc_abs_month_lim1</t>
  </si>
  <si>
    <t>Fault of the absolute ethylene concentration growth rate, month</t>
  </si>
  <si>
    <t>c_c2h2_roc_abs_month_lim1</t>
  </si>
  <si>
    <t>Fault absolute acetylene concentration growth rate, month</t>
  </si>
  <si>
    <t>c_h2_roc_abs_year_lim1</t>
  </si>
  <si>
    <t>Fault of the absolute hydrogen concentration growth rate, year</t>
  </si>
  <si>
    <t>c_co_roc_abs_year_lim1</t>
  </si>
  <si>
    <t>Fault of the absolute carbon monoxide concentration growth rate, year</t>
  </si>
  <si>
    <t>c_co2_roc_abs_year_lim1</t>
  </si>
  <si>
    <t>Fault of the absolute carbon dioxide concentration growth rate, year</t>
  </si>
  <si>
    <t>c_ch4_roc_abs_year_lim1</t>
  </si>
  <si>
    <t>Fault of the absolute methane concentration growth rate, year</t>
  </si>
  <si>
    <t>c_c2h6_roc_abs_year_lim1</t>
  </si>
  <si>
    <t>Fault of the absolute ethane concentration growth rate, year</t>
  </si>
  <si>
    <t>c_c2h4_roc_abs_year_lim1</t>
  </si>
  <si>
    <t>Fault of the absolute ethylene concentration growth rate, year</t>
  </si>
  <si>
    <t>c_c2h2_roc_abs_year_lim1</t>
  </si>
  <si>
    <t>Fault of the absolute acetylene concentration growth rate, year</t>
  </si>
  <si>
    <t>c_h2_roc_rel_day_lim1</t>
  </si>
  <si>
    <t>Fault of the relative hydrogen concentration growth rate, day</t>
  </si>
  <si>
    <t>c_co_roc_rel_day_lim1</t>
  </si>
  <si>
    <t>Fault of the relative carbon monoxide concentration growth rate, day</t>
  </si>
  <si>
    <t>c_co2_roc_rel_day_lim1</t>
  </si>
  <si>
    <t>Fault of the relative carbon dioxide concentration growth rate, day</t>
  </si>
  <si>
    <t>c_ch4_roc_rel_day_lim1</t>
  </si>
  <si>
    <t>Fault of the relative methane concentration growth rate, day</t>
  </si>
  <si>
    <t>c_c2h6_roc_rel_day_lim1</t>
  </si>
  <si>
    <t>Fault relative ethane concentration growth rate, day</t>
  </si>
  <si>
    <t>c_c2h4_roc_rel_day_lim1</t>
  </si>
  <si>
    <t>Fault relative ethylene concentration growth rate, day</t>
  </si>
  <si>
    <t>c_c2h2_roc_rel_day_lim1</t>
  </si>
  <si>
    <t>Fault relative acetylene concentration growth rate, day</t>
  </si>
  <si>
    <t>c_h2_roc_rel_week_lim1</t>
  </si>
  <si>
    <t>Fault of the relative hydrogen concentration growth rate, week</t>
  </si>
  <si>
    <t>c_co_roc_rel_week_lim1</t>
  </si>
  <si>
    <t>Fault of the relative carbon monoxide concentration growth rate, week</t>
  </si>
  <si>
    <t>c_co2_roc_rel_week_lim1</t>
  </si>
  <si>
    <t>Fault of the relative carbon dioxide concentration growth rate, week</t>
  </si>
  <si>
    <t>c_ch4_roc_rel_week_lim1</t>
  </si>
  <si>
    <t>Fault of the relative methane concentration growth rate, week</t>
  </si>
  <si>
    <t>c_c2h6_roc_rel_week_lim1</t>
  </si>
  <si>
    <t>Fault relative ethane concentration growth rate, week</t>
  </si>
  <si>
    <t>c_c2h4_roc_rel_week_lim1</t>
  </si>
  <si>
    <t>Fault relative ethylene concentration growth rate, week</t>
  </si>
  <si>
    <t>c_c2h2_roc_rel_week_lim1</t>
  </si>
  <si>
    <t>Fault relative acetylene concentration growth rate, week</t>
  </si>
  <si>
    <t>c_h2_roc_rel_month_lim1</t>
  </si>
  <si>
    <t>Fault relative hydrogen concentration growth rate, month</t>
  </si>
  <si>
    <t>c_co_roc_rel_month_lim1</t>
  </si>
  <si>
    <t>Fault of the relative carbon monoxide concentration growth rate, month</t>
  </si>
  <si>
    <t>c_co2_roc_rel_month_lim1</t>
  </si>
  <si>
    <t>Fault of the relative carbon dioxide concentration growth rate, month</t>
  </si>
  <si>
    <t>c_ch4_roc_rel_month_lim1</t>
  </si>
  <si>
    <t>Fault of the relative methane concentration growth rate, month</t>
  </si>
  <si>
    <t>c_c2h6_roc_rel_month_lim1</t>
  </si>
  <si>
    <t>Fault relative ethane concentration growth rate, month</t>
  </si>
  <si>
    <t>c_c2h4_roc_rel_month_lim1</t>
  </si>
  <si>
    <t>Fault relative ethylene concentration growth rate, month</t>
  </si>
  <si>
    <t>c_c2h2_roc_rel_month_lim1</t>
  </si>
  <si>
    <t>Fault relative acetylene concentration growth rate, month</t>
  </si>
  <si>
    <t>c_h2_roc_rel_year_lim1</t>
  </si>
  <si>
    <t>Fault relative hydrogen concentration growth rate, year</t>
  </si>
  <si>
    <t>c_co_roc_rel_year_lim1</t>
  </si>
  <si>
    <t>Fault of the relative carbon monoxide concentration growth rate, year</t>
  </si>
  <si>
    <t>c_co2_roc_rel_year_lim1</t>
  </si>
  <si>
    <t>Fault of the relative carbon dioxide concentration growth rate, year</t>
  </si>
  <si>
    <t>c_ch4_roc_rel_year_lim1</t>
  </si>
  <si>
    <t>Fault of the relative methane concentration growth rate, year</t>
  </si>
  <si>
    <t>c_c2h6_roc_rel_year_lim1</t>
  </si>
  <si>
    <t>Fault relative ethane concentration growth rate, year</t>
  </si>
  <si>
    <t>c_c2h4_roc_rel_year_lim1</t>
  </si>
  <si>
    <t>Fault relative ethylene concentration growth rate, year</t>
  </si>
  <si>
    <t>c_c2h2_roc_rel_year_lim1</t>
  </si>
  <si>
    <t>Fault relative acetylene concentration growth rate, year</t>
  </si>
  <si>
    <t>c_h2_roc_abs_day_lim0_manual</t>
  </si>
  <si>
    <t>Alarm of the absolute hydrogen concentration growth rate, day, manual</t>
  </si>
  <si>
    <t>c_co_roc_abs_day_lim0_manual</t>
  </si>
  <si>
    <t>c_co2_roc_abs_day_lim0_manual</t>
  </si>
  <si>
    <t>c_ch4_roc_abs_day_lim0_manual</t>
  </si>
  <si>
    <t>Alarm of the absolute methane concentration growth rate, day, manual</t>
  </si>
  <si>
    <t>c_c2h6_roc_abs_day_lim0_manual</t>
  </si>
  <si>
    <t>Alarm of the absolute ethane concentration growth rate, day, manual</t>
  </si>
  <si>
    <t>c_c2h4_roc_abs_day_lim0_manual</t>
  </si>
  <si>
    <t>Alarm of the absolute ethylene concentration growth rate, day, manual</t>
  </si>
  <si>
    <t>c_c2h2_roc_abs_day_lim0_manual</t>
  </si>
  <si>
    <t>Alarm of the absolute acetylene concentration growth rate, day, manual</t>
  </si>
  <si>
    <t>c_h2_roc_abs_week_lim0_manual</t>
  </si>
  <si>
    <t>c_co_roc_abs_week_lim0_manual</t>
  </si>
  <si>
    <t>c_co2_roc_abs_week_lim0_manual</t>
  </si>
  <si>
    <t>c_ch4_roc_abs_week_lim0_manual</t>
  </si>
  <si>
    <t>c_c2h6_roc_abs_week_lim0_manual</t>
  </si>
  <si>
    <t>c_c2h4_roc_abs_week_lim0_manual</t>
  </si>
  <si>
    <t>c_c2h2_roc_abs_week_lim0_manual</t>
  </si>
  <si>
    <t>c_h2_roc_abs_month_lim0_manual</t>
  </si>
  <si>
    <t>c_co_roc_abs_month_lim0_manual</t>
  </si>
  <si>
    <t>c_co2_roc_abs_month_lim0_manual</t>
  </si>
  <si>
    <t>c_ch4_roc_abs_month_lim0_manual</t>
  </si>
  <si>
    <t>c_c2h6_roc_abs_month_lim0_manual</t>
  </si>
  <si>
    <t>c_c2h4_roc_abs_month_lim0_manual</t>
  </si>
  <si>
    <t>c_c2h2_roc_abs_month_lim0_manual</t>
  </si>
  <si>
    <t>c_h2_roc_abs_year_lim0_manual</t>
  </si>
  <si>
    <t>c_co_roc_abs_year_lim0_manual</t>
  </si>
  <si>
    <t>c_co2_roc_abs_year_lim0_manual</t>
  </si>
  <si>
    <t>c_ch4_roc_abs_year_lim0_manual</t>
  </si>
  <si>
    <t>c_c2h6_roc_abs_year_lim0_manual</t>
  </si>
  <si>
    <t>c_c2h4_roc_abs_year_lim0_manual</t>
  </si>
  <si>
    <t>c_c2h2_roc_abs_year_lim0_manual</t>
  </si>
  <si>
    <t>c_h2_roc_rel_day_lim0_manual</t>
  </si>
  <si>
    <t>Alarm of the relative hydrogen concentration growth rate, day, manual</t>
  </si>
  <si>
    <t>c_co_roc_rel_day_lim0_manual</t>
  </si>
  <si>
    <t>Alarm relative carbon monoxide concentration growth rate, day, manual</t>
  </si>
  <si>
    <t>c_co2_roc_rel_day_lim0_manual</t>
  </si>
  <si>
    <t>Alarm relative carbon dioxide concentration growth rate, day, manual</t>
  </si>
  <si>
    <t>c_ch4_roc_rel_day_lim0_manual</t>
  </si>
  <si>
    <t>Alarm relative methane concentration growth rate, day, manual</t>
  </si>
  <si>
    <t>c_c2h6_roc_rel_day_lim0_manual</t>
  </si>
  <si>
    <t>Alarm relative ethane concentration growth rate, day, manual</t>
  </si>
  <si>
    <t>c_c2h4_roc_rel_day_lim0_manual</t>
  </si>
  <si>
    <t>Relative ethylene concentration growth rate, day, manual</t>
  </si>
  <si>
    <t>c_c2h2_roc_rel_day_lim0_manual</t>
  </si>
  <si>
    <t>Alarm relative acetylene concentration growth rate, day, manual</t>
  </si>
  <si>
    <t>c_h2_roc_rel_week_lim0_manual</t>
  </si>
  <si>
    <t>Alarm of the relative hydrogen concentration growth rate, week, manual</t>
  </si>
  <si>
    <t>c_co_roc_rel_week_lim0_manual</t>
  </si>
  <si>
    <t>Alarm of the relative carbon monoxide concentration growth rate, week, manual</t>
  </si>
  <si>
    <t>c_co2_roc_rel_week_lim0_manual</t>
  </si>
  <si>
    <t>Alarm relative carbon dioxide concentration growth rate, week</t>
  </si>
  <si>
    <t>c_ch4_roc_rel_week_lim0_manual</t>
  </si>
  <si>
    <t>Alarm relative methane concentration growth rate, week, manual</t>
  </si>
  <si>
    <t>c_c2h6_roc_rel_week_lim0_manual</t>
  </si>
  <si>
    <t>Alarm relative ethane concentration growth rate, week, manual</t>
  </si>
  <si>
    <t>c_c2h4_roc_rel_week_lim0_manual</t>
  </si>
  <si>
    <t>Alarm relative ethylene concentration growth rate, week, manual</t>
  </si>
  <si>
    <t>c_c2h2_roc_rel_week_lim0_manual</t>
  </si>
  <si>
    <t>Alarm relative acetylene concentration growth rate, week, manual</t>
  </si>
  <si>
    <t>c_h2_roc_rel_month_lim0_manual</t>
  </si>
  <si>
    <t>Alarm relative hydrogen concentration growth rate, month, manual</t>
  </si>
  <si>
    <t>c_co_roc_rel_month_lim0_manual</t>
  </si>
  <si>
    <t>Alarm relative carbon monoxide concentration growth rate, month, manual</t>
  </si>
  <si>
    <t>c_co2_roc_rel_month_lim0_manual</t>
  </si>
  <si>
    <t>Alarm relative carbon dioxide concentration growth rate, month, manual</t>
  </si>
  <si>
    <t>c_ch4_roc_rel_month_lim0_manual</t>
  </si>
  <si>
    <t>Alarm relative methane concentration growth rate, month, manual</t>
  </si>
  <si>
    <t>c_c2h6_roc_rel_month_lim0_manual</t>
  </si>
  <si>
    <t>Alarm of the relative ethane concentration growth rate, month, manual</t>
  </si>
  <si>
    <t>c_c2h4_roc_rel_month_lim0_manual</t>
  </si>
  <si>
    <t>Alarm relative ethylene concentration growth rate, month, manual</t>
  </si>
  <si>
    <t>c_c2h2_roc_rel_month_lim0_manual</t>
  </si>
  <si>
    <t>Alarm relative acetylene concentration growth rate, month, manual</t>
  </si>
  <si>
    <t>c_h2_roc_rel_year_lim0_manual</t>
  </si>
  <si>
    <t>Alarm of the relative hydrogen concentration growth rate, year, manual</t>
  </si>
  <si>
    <t>c_co_roc_rel_year_lim0_manual</t>
  </si>
  <si>
    <t>Alarm relative carbon monoxide concentration growth rate, year, manual</t>
  </si>
  <si>
    <t>c_co2_roc_rel_year_lim0_manual</t>
  </si>
  <si>
    <t>Alarm relative carbon dioxide concentration growth rate, year, manual</t>
  </si>
  <si>
    <t>c_ch4_roc_rel_year_lim0_manual</t>
  </si>
  <si>
    <t>Alarm of the relative methane concentration growth rate, year, manual</t>
  </si>
  <si>
    <t>c_c2h6_roc_rel_year_lim0_manual</t>
  </si>
  <si>
    <t>Alarm relative ethane concentration growth rate, year, manual</t>
  </si>
  <si>
    <t>c_c2h4_roc_rel_year_lim0_manual</t>
  </si>
  <si>
    <t>Alarm of the relative ethylene concentration growth rate, year, manual</t>
  </si>
  <si>
    <t>c_c2h2_roc_rel_year_lim0_manual</t>
  </si>
  <si>
    <t>Alarm relative acetylene concentration growth rate, year, manual</t>
  </si>
  <si>
    <t>c_h2_roc_abs_day_lim1_manual</t>
  </si>
  <si>
    <t>Fault of the absolute hydrogen concentration growth rate, day, manual</t>
  </si>
  <si>
    <t>c_co_roc_abs_day_lim1_manual</t>
  </si>
  <si>
    <t>Fault of the absolute carbon monoxide concentration growth rate, day, manual</t>
  </si>
  <si>
    <t>c_co2_roc_abs_day_lim1_manual</t>
  </si>
  <si>
    <t>Fault of the absolute carbon dioxide concentration growth rate, day, manual</t>
  </si>
  <si>
    <t>c_ch4_roc_abs_day_lim1_manual</t>
  </si>
  <si>
    <t>Fault of the absolute methane concentration growth rate, day, manual</t>
  </si>
  <si>
    <t>c_c2h6_roc_abs_day_lim1_manual</t>
  </si>
  <si>
    <t>Fault of the absolute ethane concentration growth rate, day, manual</t>
  </si>
  <si>
    <t>c_c2h4_roc_abs_day_lim1_manual</t>
  </si>
  <si>
    <t>Fault of the absolute ethylene concentration growth rate, day, manual</t>
  </si>
  <si>
    <t>c_c2h2_roc_abs_day_lim1_manual</t>
  </si>
  <si>
    <t>Fault of the absolute acetylene concentration growth rate, day, manual</t>
  </si>
  <si>
    <t>c_h2_roc_abs_week_lim1_manual</t>
  </si>
  <si>
    <t>c_co_roc_abs_week_lim1_manual</t>
  </si>
  <si>
    <t>c_co2_roc_abs_week_lim1_manual</t>
  </si>
  <si>
    <t>c_ch4_roc_abs_week_lim1_manual</t>
  </si>
  <si>
    <t>c_c2h6_roc_abs_week_lim1_manual</t>
  </si>
  <si>
    <t>c_c2h4_roc_abs_week_lim1_manual</t>
  </si>
  <si>
    <t>c_c2h2_roc_abs_week_lim1_manual</t>
  </si>
  <si>
    <t>c_h2_roc_abs_month_lim1_manual</t>
  </si>
  <si>
    <t>c_co_roc_abs_month_lim1_manual</t>
  </si>
  <si>
    <t>c_co2_roc_abs_month_lim1_manual</t>
  </si>
  <si>
    <t>c_ch4_roc_abs_month_lim1_manual</t>
  </si>
  <si>
    <t>c_c2h6_roc_abs_month_lim1_manual</t>
  </si>
  <si>
    <t>c_c2h4_roc_abs_month_lim1_manual</t>
  </si>
  <si>
    <t>c_c2h2_roc_abs_month_lim1_manual</t>
  </si>
  <si>
    <t>c_h2_roc_abs_year_lim1_manual</t>
  </si>
  <si>
    <t>c_co_roc_abs_year_lim1_manual</t>
  </si>
  <si>
    <t>c_co2_roc_abs_year_lim1_manual</t>
  </si>
  <si>
    <t>c_ch4_roc_abs_year_lim1_manual</t>
  </si>
  <si>
    <t>c_c2h6_roc_abs_year_lim1_manual</t>
  </si>
  <si>
    <t>c_c2h4_roc_abs_year_lim1_manual</t>
  </si>
  <si>
    <t>c_c2h2_roc_abs_year_lim1_manual</t>
  </si>
  <si>
    <t>c_h2_roc_rel_day_lim1_manual</t>
  </si>
  <si>
    <t>Fault of the relative hydrogen concentration growth rate, day, manual</t>
  </si>
  <si>
    <t>c_co_roc_rel_day_lim1_manual</t>
  </si>
  <si>
    <t>Fault of the relative carbon monoxide concentration growth rate, day, manual</t>
  </si>
  <si>
    <t>c_co2_roc_rel_day_lim1_manual</t>
  </si>
  <si>
    <t>Fault of the relative carbon dioxide concentration growth rate, day, manual</t>
  </si>
  <si>
    <t>c_ch4_roc_rel_day_lim1_manual</t>
  </si>
  <si>
    <t>Fault of the relative methane concentration growth rate, day, manual</t>
  </si>
  <si>
    <t>c_c2h6_roc_rel_day_lim1_manual</t>
  </si>
  <si>
    <t>Fault relative ethane concentration growth rate, day, manual</t>
  </si>
  <si>
    <t>c_c2h4_roc_rel_day_lim1_manual</t>
  </si>
  <si>
    <t>Fault relative ethylene concentration growth rate, day, manual</t>
  </si>
  <si>
    <t>c_c2h2_roc_rel_day_lim1_manual</t>
  </si>
  <si>
    <t>Fault relative acetylene concentration growth rate, day, manual</t>
  </si>
  <si>
    <t>c_h2_roc_rel_week_lim1_manual</t>
  </si>
  <si>
    <t>Fault relative hydrogen concentration growth rate, week, manual</t>
  </si>
  <si>
    <t>c_co_roc_rel_week_lim1_manual</t>
  </si>
  <si>
    <t>Fault of the relative carbon monoxide concentration growth rate, week, manual</t>
  </si>
  <si>
    <t>c_co2_roc_rel_week_lim1_manual</t>
  </si>
  <si>
    <t>Fault of the relative carbon dioxide concentration growth rate, week, manual</t>
  </si>
  <si>
    <t>c_ch4_roc_rel_week_lim1_manual</t>
  </si>
  <si>
    <t>Fault relative methane concentration growth rate, week, manual</t>
  </si>
  <si>
    <t>c_c2h6_roc_rel_week_lim1_manual</t>
  </si>
  <si>
    <t>Fault relative ethane concentration growth rate, week, manual</t>
  </si>
  <si>
    <t>c_c2h4_roc_rel_week_lim1_manual</t>
  </si>
  <si>
    <t>Fault relative ethylene concentration growth rate, week, manual</t>
  </si>
  <si>
    <t>c_c2h2_roc_rel_week_lim1_manual</t>
  </si>
  <si>
    <t>Fault relative acetylene concentration growth rate, week, manual</t>
  </si>
  <si>
    <t>c_h2_roc_rel_month_lim1_manual</t>
  </si>
  <si>
    <t>Fault relative hydrogen concentration growth rate, month, manual</t>
  </si>
  <si>
    <t>c_co_roc_rel_month_lim1_manual</t>
  </si>
  <si>
    <t>Fault relative carbon monoxide concentration growth rate, month, manual</t>
  </si>
  <si>
    <t>c_co2_roc_rel_month_lim1_manual</t>
  </si>
  <si>
    <t>Fault of the relative carbon dioxide concentration growth rate, month, manual</t>
  </si>
  <si>
    <t>c_ch4_roc_rel_month_lim1_manual</t>
  </si>
  <si>
    <t>Fault relative methane concentration growth rate, month, manual</t>
  </si>
  <si>
    <t>c_c2h6_roc_rel_month_lim1_manual</t>
  </si>
  <si>
    <t>Fault relative ethane concentration growth rate, month, manual</t>
  </si>
  <si>
    <t>c_c2h4_roc_rel_month_lim1_manual</t>
  </si>
  <si>
    <t>Fault relative ethylene concentration growth rate, month, manual</t>
  </si>
  <si>
    <t>c_c2h2_roc_rel_month_lim1_manual</t>
  </si>
  <si>
    <t>Fault relative acetylene concentration growth rate, month, manual</t>
  </si>
  <si>
    <t>c_h2_roc_rel_year_lim1_manual</t>
  </si>
  <si>
    <t>Fault relative hydrogen concentration growth rate, year, manual</t>
  </si>
  <si>
    <t>c_co_roc_rel_year_lim1_manual</t>
  </si>
  <si>
    <t>Fault of the relative carbon monoxide concentration growth rate, year, manual</t>
  </si>
  <si>
    <t>c_co2_roc_rel_year_lim1_manual</t>
  </si>
  <si>
    <t>Fault of the relative carbon dioxide concentration growth rate, year, manual</t>
  </si>
  <si>
    <t>c_ch4_roc_rel_year_lim1_manual</t>
  </si>
  <si>
    <t>Fault of the relative methane concentration growth rate, year, manual</t>
  </si>
  <si>
    <t>c_c2h6_roc_rel_year_lim1_manual</t>
  </si>
  <si>
    <t>Fault relative ethane concentration growth rate, year, manual</t>
  </si>
  <si>
    <t>c_c2h4_roc_rel_year_lim1_manual</t>
  </si>
  <si>
    <t>Fault relative ethylene concentration growth rate, year, manual</t>
  </si>
  <si>
    <t>c_c2h2_roc_rel_year_lim1_manual</t>
  </si>
  <si>
    <t>Fault relative acetylene concentration growth rate, year, manual</t>
  </si>
  <si>
    <t>pdata_cooling_type</t>
  </si>
  <si>
    <t>Cooling type</t>
  </si>
  <si>
    <t>pdata_t_tp_rise</t>
  </si>
  <si>
    <t>The top-oil temperature rise in the tank above ambient temperature at rated losses</t>
  </si>
  <si>
    <t>pdata_t_hst_rise</t>
  </si>
  <si>
    <t>The hot-spot temperature rise above top-oil temperature in the tank at rated current</t>
  </si>
  <si>
    <t>pdata_r_loss</t>
  </si>
  <si>
    <t>The ratio of the value of short-circuit active power losses to the value of no-load losses</t>
  </si>
  <si>
    <t>pdata_s</t>
  </si>
  <si>
    <t>Rated power</t>
  </si>
  <si>
    <t>k_therm_x</t>
  </si>
  <si>
    <t>Thermal characteristics: oil exponent x</t>
  </si>
  <si>
    <t>k_therm_y</t>
  </si>
  <si>
    <t>Thermal characteristics: winding exponent y</t>
  </si>
  <si>
    <t>k_therm_k11</t>
  </si>
  <si>
    <t>Thermal characteristics: constant k11</t>
  </si>
  <si>
    <t>k_therm_k21</t>
  </si>
  <si>
    <t>Thermal characteristics: constant k21</t>
  </si>
  <si>
    <t>k_therm_k22</t>
  </si>
  <si>
    <t>Thermal characteristics: constant k22</t>
  </si>
  <si>
    <t>k_therm_tau_0</t>
  </si>
  <si>
    <t>Thermal characteristics: time constant tau_0</t>
  </si>
  <si>
    <t>k_therm_tau_w</t>
  </si>
  <si>
    <t>Thermal characteristics: time constant tau_w</t>
  </si>
  <si>
    <t>k_therm_x_manual</t>
  </si>
  <si>
    <t>Thermal characteristics: oil exponent x, manual</t>
  </si>
  <si>
    <t>k_therm_y_manual</t>
  </si>
  <si>
    <t>Thermal characteristics: winding exponent y, manual</t>
  </si>
  <si>
    <t>k_therm_k11_manual</t>
  </si>
  <si>
    <t>Thermal characteristics: constant k11, manual</t>
  </si>
  <si>
    <t>k_therm_k21_manual</t>
  </si>
  <si>
    <t>Thermal characteristics: constant k21, manual</t>
  </si>
  <si>
    <t>k_therm_k22_manual</t>
  </si>
  <si>
    <t>Thermal characteristics: constant k22, manual</t>
  </si>
  <si>
    <t>k_therm_tau_0_manual</t>
  </si>
  <si>
    <t>Thermal characteristics: time constant tau_0, manual</t>
  </si>
  <si>
    <t>k_therm_tau_w_manual</t>
  </si>
  <si>
    <t>Thermal characteristics: time constant tau_w, manual</t>
  </si>
  <si>
    <t>t_hst_lim0_manual</t>
  </si>
  <si>
    <t>Temperature control of the most heated point of the winding, manual</t>
  </si>
  <si>
    <t>t_tp_lim0_manual</t>
  </si>
  <si>
    <t>Temperature control of the upper oil layers, manual</t>
  </si>
  <si>
    <t>f_select_t_tp_hst</t>
  </si>
  <si>
    <t>Temperature overload mode selection</t>
  </si>
  <si>
    <t>t_hst_lim0</t>
  </si>
  <si>
    <t>Alarm temperature of the most heated point of the winding</t>
  </si>
  <si>
    <t>t_tp_lim0</t>
  </si>
  <si>
    <t>Alarm temperature of the upper oil layers</t>
  </si>
  <si>
    <t>diag_t_hst</t>
  </si>
  <si>
    <t>t_hst_ttr</t>
  </si>
  <si>
    <t>Time to reach the temperature limit of winding hot spot temperature</t>
  </si>
  <si>
    <t>t_hst_res</t>
  </si>
  <si>
    <t>diag_t_tp</t>
  </si>
  <si>
    <t>t_tp_ttr</t>
  </si>
  <si>
    <t>Time to reach the temperature limit of top oil temperature</t>
  </si>
  <si>
    <t>i_hv_max_oe</t>
  </si>
  <si>
    <t>pdata_oil_type</t>
  </si>
  <si>
    <t>Oil type</t>
  </si>
  <si>
    <t>pdata_overhaul_date</t>
  </si>
  <si>
    <t>Last overhaul date</t>
  </si>
  <si>
    <t>pdata_lifespan</t>
  </si>
  <si>
    <t>Service lifespan limit</t>
  </si>
  <si>
    <t>flag_oil_drying</t>
  </si>
  <si>
    <t>Oil drying flag</t>
  </si>
  <si>
    <t>wcl_roc_abs_day</t>
  </si>
  <si>
    <t>Absolute rate of change water content of oil, day</t>
  </si>
  <si>
    <t>wcl_roc_abs_week</t>
  </si>
  <si>
    <t>Absolute rate of change water content of oil, week</t>
  </si>
  <si>
    <t>wcl_roc_abs_month</t>
  </si>
  <si>
    <t>Absolute rate of change water content of oil, month</t>
  </si>
  <si>
    <t>wcl_roc_abs_year</t>
  </si>
  <si>
    <t>Absolute rate of change water content of oil, year</t>
  </si>
  <si>
    <t>wcl_roc_rel_day</t>
  </si>
  <si>
    <t>Relative rate of change water content of oil, day</t>
  </si>
  <si>
    <t>wcl_roc_rel_week</t>
  </si>
  <si>
    <t>Relative rate of change water content of oil, week</t>
  </si>
  <si>
    <t>wcl_roc_rel_month</t>
  </si>
  <si>
    <t>Relative rate of change water content of oil, month</t>
  </si>
  <si>
    <t>wcl_roc_rel_year</t>
  </si>
  <si>
    <t>Relative rate of change water content of oil, year</t>
  </si>
  <si>
    <t>wcl_roc_abs_day_lim0</t>
  </si>
  <si>
    <t>wcl_roc_abs_week_lim0</t>
  </si>
  <si>
    <t>wcl_roc_abs_month_lim0</t>
  </si>
  <si>
    <t>wcl_roc_abs_year_lim0</t>
  </si>
  <si>
    <t>wcl_roc_rel_day_lim0</t>
  </si>
  <si>
    <t>wcl_roc_rel_week_lim0</t>
  </si>
  <si>
    <t>wcl_roc_rel_month_lim0</t>
  </si>
  <si>
    <t>wcl_roc_rel_year_lim0</t>
  </si>
  <si>
    <t>wcl_roc_abs_day_lim1</t>
  </si>
  <si>
    <t>wcl_roc_abs_week_lim1</t>
  </si>
  <si>
    <t>wcl_roc_abs_month_lim1</t>
  </si>
  <si>
    <t>wcl_roc_abs_year_lim1</t>
  </si>
  <si>
    <t>wcl_roc_rel_day_lim1</t>
  </si>
  <si>
    <t>wcl_roc_rel_week_lim1</t>
  </si>
  <si>
    <t>wcl_roc_rel_month_lim1</t>
  </si>
  <si>
    <t>wcl_roc_rel_year_lim1</t>
  </si>
  <si>
    <t>diag_wcl_roc_abs_day</t>
  </si>
  <si>
    <t>diag_wcl_roc_abs_week</t>
  </si>
  <si>
    <t>diag_wcl_roc_abs_month</t>
  </si>
  <si>
    <t>diag_wcl_roc_abs_year</t>
  </si>
  <si>
    <t>diag_wcl_roc_rel_day</t>
  </si>
  <si>
    <t>diag_wcl_roc_rel_week</t>
  </si>
  <si>
    <t>diag_wcl_roc_rel_month</t>
  </si>
  <si>
    <t>diag_wcl_roc_rel_year</t>
  </si>
  <si>
    <t>wcl_roc_abs_day_lim0_manual</t>
  </si>
  <si>
    <t>wcl_roc_abs_week_lim0_manual</t>
  </si>
  <si>
    <t>wcl_roc_abs_month_lim0_manual</t>
  </si>
  <si>
    <t>wcl_roc_abs_year_lim0_manual</t>
  </si>
  <si>
    <t>wcl_roc_rel_day_lim0_manual</t>
  </si>
  <si>
    <t>wcl_roc_rel_week_lim0_manual</t>
  </si>
  <si>
    <t>wcl_roc_rel_month_lim0_manual</t>
  </si>
  <si>
    <t>wcl_roc_rel_year_lim0_manual</t>
  </si>
  <si>
    <t>wcl_roc_abs_day_lim1_manual</t>
  </si>
  <si>
    <t>wcl_roc_abs_week_lim1_manual</t>
  </si>
  <si>
    <t>wcl_roc_abs_month_lim1_manual</t>
  </si>
  <si>
    <t>wcl_roc_abs_year_lim1_manual</t>
  </si>
  <si>
    <t>wcl_roc_rel_day_lim1_manual</t>
  </si>
  <si>
    <t>wcl_roc_rel_week_lim1_manual</t>
  </si>
  <si>
    <t>wcl_roc_rel_month_lim1_manual</t>
  </si>
  <si>
    <t>wcl_roc_rel_year_lim1_manual</t>
  </si>
  <si>
    <t>wcp_roc_abs_day</t>
  </si>
  <si>
    <t>Absolute rate of change water content of paper, day</t>
  </si>
  <si>
    <t>wcp_roc_abs_week</t>
  </si>
  <si>
    <t>Absolute rate of change water content of paper, week</t>
  </si>
  <si>
    <t>wcp_roc_abs_month</t>
  </si>
  <si>
    <t>Absolute rate of change water content of paper, month</t>
  </si>
  <si>
    <t>wcp_roc_abs_year</t>
  </si>
  <si>
    <t>Absolute rate of change water content of paper, year</t>
  </si>
  <si>
    <t>wcp_roc_rel_day</t>
  </si>
  <si>
    <t>Relative rate of change water content of paper, day</t>
  </si>
  <si>
    <t>wcp_roc_rel_week</t>
  </si>
  <si>
    <t>Relative rate of change water content of paper, week</t>
  </si>
  <si>
    <t>wcp_roc_rel_month</t>
  </si>
  <si>
    <t>Relative rate of change water content of paper, month</t>
  </si>
  <si>
    <t>wcp_roc_rel_year</t>
  </si>
  <si>
    <t>Relative rate of change water content of paper, year</t>
  </si>
  <si>
    <t>wcp_roc_abs_day_lim0</t>
  </si>
  <si>
    <t>wcp_roc_abs_week_lim0</t>
  </si>
  <si>
    <t>wcp_roc_abs_month_lim0</t>
  </si>
  <si>
    <t>wcp_roc_abs_year_lim0</t>
  </si>
  <si>
    <t>wcp_roc_rel_day_lim0</t>
  </si>
  <si>
    <t>wcp_roc_rel_week_lim0</t>
  </si>
  <si>
    <t>wcp_roc_rel_month_lim0</t>
  </si>
  <si>
    <t>wcp_roc_rel_year_lim0</t>
  </si>
  <si>
    <t>wcp_roc_abs_day_lim1</t>
  </si>
  <si>
    <t>wcp_roc_abs_week_lim1</t>
  </si>
  <si>
    <t>wcp_roc_abs_month_lim1</t>
  </si>
  <si>
    <t>wcp_roc_abs_year_lim1</t>
  </si>
  <si>
    <t>wcp_roc_rel_day_lim1</t>
  </si>
  <si>
    <t>wcp_roc_rel_week_lim1</t>
  </si>
  <si>
    <t>wcp_roc_rel_month_lim1</t>
  </si>
  <si>
    <t>wcp_roc_rel_year_lim1</t>
  </si>
  <si>
    <t>diag_wcp_roc_abs_day</t>
  </si>
  <si>
    <t>diag_wcp_roc_abs_week</t>
  </si>
  <si>
    <t>diag_wcp_roc_abs_month</t>
  </si>
  <si>
    <t>diag_wcp_roc_abs_year</t>
  </si>
  <si>
    <t>diag_wcp_roc_rel_day</t>
  </si>
  <si>
    <t>diag_wcp_roc_rel_week</t>
  </si>
  <si>
    <t>diag_wcp_roc_rel_month</t>
  </si>
  <si>
    <t>diag_wcp_roc_rel_year</t>
  </si>
  <si>
    <t>wcp_roc_abs_day_lim0_manual</t>
  </si>
  <si>
    <t>wcp_roc_abs_week_lim0_manual</t>
  </si>
  <si>
    <t>wcp_roc_abs_month_lim0_manual</t>
  </si>
  <si>
    <t>wcp_roc_abs_year_lim0_manual</t>
  </si>
  <si>
    <t>wcp_roc_rel_day_lim0_manual</t>
  </si>
  <si>
    <t>wcp_roc_rel_week_lim0_manual</t>
  </si>
  <si>
    <t>wcp_roc_rel_month_lim0_manual</t>
  </si>
  <si>
    <t>wcp_roc_rel_year_lim0_manual</t>
  </si>
  <si>
    <t>wcp_roc_abs_day_lim1_manual</t>
  </si>
  <si>
    <t>wcp_roc_abs_week_lim1_manual</t>
  </si>
  <si>
    <t>wcp_roc_abs_month_lim1_manual</t>
  </si>
  <si>
    <t>wcp_roc_abs_year_lim1_manual</t>
  </si>
  <si>
    <t>wcp_roc_rel_day_lim1_manual</t>
  </si>
  <si>
    <t>wcp_roc_rel_week_lim1_manual</t>
  </si>
  <si>
    <t>wcp_roc_rel_month_lim1_manual</t>
  </si>
  <si>
    <t>wcp_roc_rel_year_lim1_manual</t>
  </si>
  <si>
    <t>add_h2o</t>
  </si>
  <si>
    <t>Сoefficient for correction of added water</t>
  </si>
  <si>
    <t>wcl_lim0</t>
  </si>
  <si>
    <t>Alarm absolute oil humidity</t>
  </si>
  <si>
    <t>wcl_lim1</t>
  </si>
  <si>
    <t>Fault of absolute oil humidity</t>
  </si>
  <si>
    <t>wcl_lim0_manual</t>
  </si>
  <si>
    <t>Alarm of absolute oil humidity, manual</t>
  </si>
  <si>
    <t>wcl_lim1_manual</t>
  </si>
  <si>
    <t>maximum oil humidity, manual</t>
  </si>
  <si>
    <t>wcp_lim0</t>
  </si>
  <si>
    <t>Alarm of absolute humidity of paper</t>
  </si>
  <si>
    <t>wcp_lim0_manual</t>
  </si>
  <si>
    <t>Alarm of absolute humidity of paper, manual</t>
  </si>
  <si>
    <t>rs_lim0</t>
  </si>
  <si>
    <t>rs_lim1</t>
  </si>
  <si>
    <t>Relative humidity of the oil</t>
  </si>
  <si>
    <t>rs_lim0_manual</t>
  </si>
  <si>
    <t>rs_lim1_manual</t>
  </si>
  <si>
    <t>k_arr_a_manual</t>
  </si>
  <si>
    <t>Arrhenius coefficient a</t>
  </si>
  <si>
    <t>k_arr_b_manual</t>
  </si>
  <si>
    <t>Arrhenius coefficient b</t>
  </si>
  <si>
    <t>wcl_s</t>
  </si>
  <si>
    <t>diag_rs</t>
  </si>
  <si>
    <t>diag_wcp</t>
  </si>
  <si>
    <t>diag_wcl</t>
  </si>
  <si>
    <t>pdata_bush</t>
  </si>
  <si>
    <t>Type of bushing insulation</t>
  </si>
  <si>
    <t>bush_c1_lim1</t>
  </si>
  <si>
    <t>Fault limit of capacity</t>
  </si>
  <si>
    <t>bush_c1_lim1_manual</t>
  </si>
  <si>
    <t>Upper limit of capacity, manual</t>
  </si>
  <si>
    <t>bush_tgd_lim1</t>
  </si>
  <si>
    <t>Fault of the delta tangent</t>
  </si>
  <si>
    <t>bush_tgd_lim1_manual</t>
  </si>
  <si>
    <t>Upper bound of the delta tangent, manual</t>
  </si>
  <si>
    <t>bush_d_c1_lim0</t>
  </si>
  <si>
    <t>Alarm capacity changes</t>
  </si>
  <si>
    <t>bush_d_c1_lim1</t>
  </si>
  <si>
    <t>Fault of capacity change</t>
  </si>
  <si>
    <t>bush_d_c1_lim0_manual</t>
  </si>
  <si>
    <t>Alarm capacity changes, manual</t>
  </si>
  <si>
    <t>bush_d_c1_lim1_manual</t>
  </si>
  <si>
    <t>Capacity change time limit, manual</t>
  </si>
  <si>
    <t>bush_d_tgd_lim0</t>
  </si>
  <si>
    <t>Alarm delta tangent changes</t>
  </si>
  <si>
    <t>bush_d_tgd_lim1</t>
  </si>
  <si>
    <t>Fault delta tangent changes</t>
  </si>
  <si>
    <t>bush_d_tgd_lim0_manual</t>
  </si>
  <si>
    <t>Alarm delta tangent changes, manual</t>
  </si>
  <si>
    <t>bush_d_tgd_lim1_manual</t>
  </si>
  <si>
    <t>Fault delta tangent changes, manual</t>
  </si>
  <si>
    <t>k_bush_c_temp</t>
  </si>
  <si>
    <t>The form of temperature dependence of the capacity</t>
  </si>
  <si>
    <t>k_bush_tgd_temp</t>
  </si>
  <si>
    <t>The form of the temperature dependence of the tangent</t>
  </si>
  <si>
    <t>k_bush_c_temp_manual</t>
  </si>
  <si>
    <t>The form of temperature dependence of the capacity, manual</t>
  </si>
  <si>
    <t>k_bush_tgd_temp_manual</t>
  </si>
  <si>
    <t>The form of the temperature dependence of the tangent, manual</t>
  </si>
  <si>
    <t>bush_pd_level_lim0</t>
  </si>
  <si>
    <t>bush_pd_level_lim1</t>
  </si>
  <si>
    <t>bush_tgd_20_pa_hv</t>
  </si>
  <si>
    <t>bush_tgd_20_pb_hv</t>
  </si>
  <si>
    <t>bush_tgd_20_pc_hv</t>
  </si>
  <si>
    <t>bush_c1_20_pa_hv</t>
  </si>
  <si>
    <t>bush_c1_20_pb_hv</t>
  </si>
  <si>
    <t>bush_c1_20_pc_hv</t>
  </si>
  <si>
    <t>diag_bush_tgd_pa_hv</t>
  </si>
  <si>
    <t>diag_bush_tgd_pb_hv</t>
  </si>
  <si>
    <t>diag_bush_tgd_pc_hv</t>
  </si>
  <si>
    <t>diag_bush_d_tgd_pa_hv</t>
  </si>
  <si>
    <t>diag_bush_d_tgd_pb_hv</t>
  </si>
  <si>
    <t>diag_bush_d_tgd_pc_hv</t>
  </si>
  <si>
    <t>diag_bush_c_pa_hv</t>
  </si>
  <si>
    <t>diag_bush_c_pb_hv</t>
  </si>
  <si>
    <t>diag_bush_c_pc_hv</t>
  </si>
  <si>
    <t>diag_bush_d_c_pa_hv</t>
  </si>
  <si>
    <t>diag_bush_d_c_pb_hv</t>
  </si>
  <si>
    <t>diag_bush_d_c_pv_hv</t>
  </si>
  <si>
    <t>diag_bush_pd_level_pa</t>
  </si>
  <si>
    <t>diag_bush_pd_level_pb</t>
  </si>
  <si>
    <t>diag_bush_pd_level_pc</t>
  </si>
  <si>
    <t>f_paper_thermally_upgraded</t>
  </si>
  <si>
    <t>Paper thermal upgrade flag</t>
  </si>
  <si>
    <t>pdata_service</t>
  </si>
  <si>
    <t>Duration of service</t>
  </si>
  <si>
    <t>pdata_insulation_lifespan</t>
  </si>
  <si>
    <t xml:space="preserve">Passport lifespan of insulation </t>
  </si>
  <si>
    <t>life_before_monsys</t>
  </si>
  <si>
    <t>Age of equipment at the time of commissioning of the ASMD</t>
  </si>
  <si>
    <t>life_loss_lim0</t>
  </si>
  <si>
    <t>Alarm of the consumed resource</t>
  </si>
  <si>
    <t>life_loss_lim1</t>
  </si>
  <si>
    <t>Fault of the consumed resource</t>
  </si>
  <si>
    <t>life_loss_lim0_manual</t>
  </si>
  <si>
    <t>life_loss_lim1_manual</t>
  </si>
  <si>
    <t>ageing_lim0</t>
  </si>
  <si>
    <t>Alarm wear rate</t>
  </si>
  <si>
    <t>ageing_lim1</t>
  </si>
  <si>
    <t>Fault wear rate</t>
  </si>
  <si>
    <t>ageing_lim0_manual</t>
  </si>
  <si>
    <t>Alarm wear rate, manual</t>
  </si>
  <si>
    <t>ageing_lim1_manual</t>
  </si>
  <si>
    <t>Wear rate limit, manual</t>
  </si>
  <si>
    <t>life_remaining_lim0</t>
  </si>
  <si>
    <t>Alarm of the remaining resource</t>
  </si>
  <si>
    <t>life_remaining_lim1</t>
  </si>
  <si>
    <t>Fault of the remaining resource</t>
  </si>
  <si>
    <t>life_remaining_lim0_manual</t>
  </si>
  <si>
    <t>life_remaining_lim1_manual</t>
  </si>
  <si>
    <t>wcp_rated</t>
  </si>
  <si>
    <t>Water content of paper rated</t>
  </si>
  <si>
    <t>wcp_rated_manual</t>
  </si>
  <si>
    <t>Water content of paper rated, manual</t>
  </si>
  <si>
    <t>k_power_ageing_wcp</t>
  </si>
  <si>
    <t>The degree indicator is adjusted for humidity</t>
  </si>
  <si>
    <t>k_power_ageing_wcp_manual</t>
  </si>
  <si>
    <t>The degree indicator is adjusted for humidity, manual</t>
  </si>
  <si>
    <t>life_loss_day_montsinger</t>
  </si>
  <si>
    <t>life_loss_day_montsinger_wcp</t>
  </si>
  <si>
    <t>diag_life_loss</t>
  </si>
  <si>
    <t>diag_ageing</t>
  </si>
  <si>
    <t>life_loss_rel_calendar_montsinger</t>
  </si>
  <si>
    <t>life_loss_rel_calendar_montsinger_wcp</t>
  </si>
  <si>
    <t>diag_life_remaining</t>
  </si>
  <si>
    <t>ageing_total</t>
  </si>
  <si>
    <t>life_remaining</t>
  </si>
  <si>
    <t>condition</t>
  </si>
  <si>
    <t>life</t>
  </si>
  <si>
    <t>Age of transformer</t>
  </si>
  <si>
    <t>k_gpfu_1091</t>
  </si>
  <si>
    <t>Weight coefficients of the parameter group: solid insulation condition</t>
  </si>
  <si>
    <t>k_gpfu_1044</t>
  </si>
  <si>
    <t>Weight coefficients of the parameter group: oil condition</t>
  </si>
  <si>
    <t>k_gpfu_1058</t>
  </si>
  <si>
    <t>Weight coefficients of the parameter group: chromatographic analysis</t>
  </si>
  <si>
    <t>k_gpfu_1015</t>
  </si>
  <si>
    <t>Weight coefficients of the parameter group: the state of isolation</t>
  </si>
  <si>
    <t>k_fu_992</t>
  </si>
  <si>
    <t>Node weights: high-voltage input</t>
  </si>
  <si>
    <t>k_fu_1085</t>
  </si>
  <si>
    <t>Node weight coefficients: transformer windings</t>
  </si>
  <si>
    <t>k_fu_1044</t>
  </si>
  <si>
    <t>Node weights: insulation system</t>
  </si>
  <si>
    <t>k_fu_1081</t>
  </si>
  <si>
    <t>Node weight coefficients: magnetic circuit</t>
  </si>
  <si>
    <t>ogp_1091</t>
  </si>
  <si>
    <t>ogp_1044</t>
  </si>
  <si>
    <t>d_hi</t>
  </si>
  <si>
    <t>ogp_1058</t>
  </si>
  <si>
    <t>d_hi_scaled</t>
  </si>
  <si>
    <t>itsu_992_pa_hv</t>
  </si>
  <si>
    <t>Transformer bushing health, phase A</t>
  </si>
  <si>
    <t>itsu_992_pb_hv</t>
  </si>
  <si>
    <t>Transformer bushing health, phase B</t>
  </si>
  <si>
    <t>itsu_992_pc_hv</t>
  </si>
  <si>
    <t>Transformer bushing health, phase C</t>
  </si>
  <si>
    <t>ogp_1015_pa_hv</t>
  </si>
  <si>
    <t>ogp_1015_pb_hv</t>
  </si>
  <si>
    <t>ogp_1015_pc_hv</t>
  </si>
  <si>
    <t>itsu_1085</t>
  </si>
  <si>
    <t>Transformer insulation health</t>
  </si>
  <si>
    <t>itsu_1044</t>
  </si>
  <si>
    <t>Transformer windings health</t>
  </si>
  <si>
    <t>its_1044_manual</t>
  </si>
  <si>
    <t>Transformer insulation health, manual</t>
  </si>
  <si>
    <t>its_1085_manual</t>
  </si>
  <si>
    <t>Transformer windings health, manual</t>
  </si>
  <si>
    <t>p_sf6_1</t>
  </si>
  <si>
    <t>SF6 pressure, sensor 1</t>
  </si>
  <si>
    <t>p_sf6_2</t>
  </si>
  <si>
    <t>SF6 pressure, sensor 2</t>
  </si>
  <si>
    <t>p_sf6_3</t>
  </si>
  <si>
    <t>SF6 pressure, sensor 3</t>
  </si>
  <si>
    <t>p_sf6_4</t>
  </si>
  <si>
    <t>SF6 pressure, sensor 4</t>
  </si>
  <si>
    <t>p_sf6_5</t>
  </si>
  <si>
    <t>SF6 pressure, sensor 5</t>
  </si>
  <si>
    <t>p_sf6_6</t>
  </si>
  <si>
    <t>SF6 pressure, sensor 6</t>
  </si>
  <si>
    <t>p_sf6_7</t>
  </si>
  <si>
    <t>SF6 pressure, sensor 7</t>
  </si>
  <si>
    <t>p_sf6_8</t>
  </si>
  <si>
    <t>SF6 pressure, sensor 8</t>
  </si>
  <si>
    <t>p_sf6_9</t>
  </si>
  <si>
    <t>SF6 pressure, sensor 9</t>
  </si>
  <si>
    <t>p_sf6_10</t>
  </si>
  <si>
    <t>SF6 pressure, sensor 10</t>
  </si>
  <si>
    <t>leakage_sf6_1</t>
  </si>
  <si>
    <t>SF6 leakage, sensor 1</t>
  </si>
  <si>
    <t>leakage_sf6_2</t>
  </si>
  <si>
    <t>SF6 leakage, sensor 2</t>
  </si>
  <si>
    <t>leakage_sf6_3</t>
  </si>
  <si>
    <t>SF6 leakage, sensor 3</t>
  </si>
  <si>
    <t>leakage_sf6_4</t>
  </si>
  <si>
    <t>SF6 leakage, sensor 4</t>
  </si>
  <si>
    <t>leakage_sf6_5</t>
  </si>
  <si>
    <t>SF6 leakage, sensor 5</t>
  </si>
  <si>
    <t>leakage_sf6_6</t>
  </si>
  <si>
    <t>SF6 leakage, sensor 6</t>
  </si>
  <si>
    <t>leakage_sf6_7</t>
  </si>
  <si>
    <t>SF6 leakage, sensor 7</t>
  </si>
  <si>
    <t>leakage_sf6_8</t>
  </si>
  <si>
    <t>SF6 leakage, sensor 8</t>
  </si>
  <si>
    <t>leakage_sf6_9</t>
  </si>
  <si>
    <t>SF6 leakage, sensor 9</t>
  </si>
  <si>
    <t>leakage_sf6_10</t>
  </si>
  <si>
    <t>SF6 leakage, sensor 10</t>
  </si>
  <si>
    <t>pd_gis_intensity_1</t>
  </si>
  <si>
    <t>Intensity of partial discharges, sensor 1</t>
  </si>
  <si>
    <t>pd_gis_intensity_2</t>
  </si>
  <si>
    <t>Intensity of partial discharges, sensor 2</t>
  </si>
  <si>
    <t>pd_gis_intensity_3</t>
  </si>
  <si>
    <t>Intensity of partial discharges, sensor 3</t>
  </si>
  <si>
    <t>pd_gis_intensity_4</t>
  </si>
  <si>
    <t>Intensity of partial discharges, sensor 4</t>
  </si>
  <si>
    <t>pd_gis_intensity_5</t>
  </si>
  <si>
    <t>Intensity of partial discharges, sensor 5</t>
  </si>
  <si>
    <t>pd_gis_intensity_6</t>
  </si>
  <si>
    <t>Intensity of partial discharges, sensor 6</t>
  </si>
  <si>
    <t>pd_gis_intensity_7</t>
  </si>
  <si>
    <t>Intensity of partial discharges, sensor 7</t>
  </si>
  <si>
    <t>pd_gis_intensity_8</t>
  </si>
  <si>
    <t>Intensity of partial discharges, sensor 8</t>
  </si>
  <si>
    <t>pd_gis_intensity_9</t>
  </si>
  <si>
    <t>Intensity of partial discharges, sensor 9</t>
  </si>
  <si>
    <t>pd_gis_intensity_10</t>
  </si>
  <si>
    <t>Intensity of partial discharges, sensor 10</t>
  </si>
  <si>
    <t>pd_gis_level_1</t>
  </si>
  <si>
    <t>Level of partial discharges, sensor 1</t>
  </si>
  <si>
    <t>pd_gis_level_2</t>
  </si>
  <si>
    <t>Level of partial discharges, sensor 2</t>
  </si>
  <si>
    <t>pd_gis_level_3</t>
  </si>
  <si>
    <t>Level of partial discharges, sensor 3</t>
  </si>
  <si>
    <t>pd_gis_level_4</t>
  </si>
  <si>
    <t>Level of partial discharges, sensor 4</t>
  </si>
  <si>
    <t>pd_gis_level_5</t>
  </si>
  <si>
    <t>Level of partial discharges, sensor 5</t>
  </si>
  <si>
    <t>pd_gis_level_6</t>
  </si>
  <si>
    <t>Level of partial discharges, sensor 6</t>
  </si>
  <si>
    <t>pd_gis_level_7</t>
  </si>
  <si>
    <t>Level of partial discharges, sensor 7</t>
  </si>
  <si>
    <t>pd_gis_level_8</t>
  </si>
  <si>
    <t>Level of partial discharges, sensor 8</t>
  </si>
  <si>
    <t>pd_gis_level_9</t>
  </si>
  <si>
    <t>Level of partial discharges, sensor 9</t>
  </si>
  <si>
    <t>pd_gis_level_10</t>
  </si>
  <si>
    <t>Level of partial discharges, sensor 10</t>
  </si>
  <si>
    <t>pdata_u_hv</t>
  </si>
  <si>
    <t>Voltage rating</t>
  </si>
  <si>
    <t>t_hst_calc</t>
  </si>
  <si>
    <t>pdata_oil_protection</t>
  </si>
  <si>
    <t>Oil coating</t>
  </si>
  <si>
    <t>pdata_monsys_yr</t>
  </si>
  <si>
    <t>Year of commissioning of the ASMD</t>
  </si>
  <si>
    <t>i_hv_max_correct_oe</t>
  </si>
  <si>
    <t>Maximum adjusted HV phase current</t>
  </si>
  <si>
    <t>duration_overload_hv</t>
  </si>
  <si>
    <t>Duration of operation with HV overload</t>
  </si>
  <si>
    <t>time_left_duration_hv</t>
  </si>
  <si>
    <t>The remaining time to reach the setpoint for the permissible overload duration HV</t>
  </si>
  <si>
    <t>i_lv_max_correct_oe</t>
  </si>
  <si>
    <t>Maximum adjusted LV phase current</t>
  </si>
  <si>
    <t>duration_overload_lv</t>
  </si>
  <si>
    <t>Duration of operation with LV overload</t>
  </si>
  <si>
    <t>time_left_duration_lv</t>
  </si>
  <si>
    <t>The remaining time to reach the setpoint for the permissible overload duration LV</t>
  </si>
  <si>
    <t>pdata_i_hv</t>
  </si>
  <si>
    <t>Rated current HV</t>
  </si>
  <si>
    <t>pdata_yr</t>
  </si>
  <si>
    <t>Year of commissioning</t>
  </si>
  <si>
    <t>flag_degas</t>
  </si>
  <si>
    <t>Flag of degassing</t>
  </si>
  <si>
    <t>pdata_i_mv</t>
  </si>
  <si>
    <t>Rated current MV</t>
  </si>
  <si>
    <t>pdata_s_hv</t>
  </si>
  <si>
    <t>Rated power HV</t>
  </si>
  <si>
    <t>pdata_i_lv</t>
  </si>
  <si>
    <t>Rated current LV</t>
  </si>
  <si>
    <t>f_overload_permitted</t>
  </si>
  <si>
    <t>The flag of the admissibility of increased insulation wear</t>
  </si>
  <si>
    <t>i_hv_max_correct_lim0</t>
  </si>
  <si>
    <t>Alarm of the HV current</t>
  </si>
  <si>
    <t>i_hv_max_correct_lim1</t>
  </si>
  <si>
    <t>Fault of the HV current</t>
  </si>
  <si>
    <t>i_lv_max_correct_lim0</t>
  </si>
  <si>
    <t>Alarm of the LV current</t>
  </si>
  <si>
    <t>i_lv_max_correct_lim1</t>
  </si>
  <si>
    <t>Fault of the LV current</t>
  </si>
  <si>
    <t>unit.code</t>
  </si>
  <si>
    <t>% об./год</t>
  </si>
  <si>
    <t>% vol./year</t>
  </si>
  <si>
    <t>% об./сут</t>
  </si>
  <si>
    <t>% vol./day</t>
  </si>
  <si>
    <t>% об./мес</t>
  </si>
  <si>
    <t>% vol./month</t>
  </si>
  <si>
    <t>% об./нед</t>
  </si>
  <si>
    <t>% vol./week</t>
  </si>
  <si>
    <t>% об.</t>
  </si>
  <si>
    <t>% vol.</t>
  </si>
  <si>
    <t>%/сут</t>
  </si>
  <si>
    <t>%/day</t>
  </si>
  <si>
    <t>%/нед</t>
  </si>
  <si>
    <t>%/week</t>
  </si>
  <si>
    <t>%/мес</t>
  </si>
  <si>
    <t>%/month</t>
  </si>
  <si>
    <t>%/год</t>
  </si>
  <si>
    <t>%/year</t>
  </si>
  <si>
    <t>бар</t>
  </si>
  <si>
    <t>bar</t>
  </si>
  <si>
    <t>кВ</t>
  </si>
  <si>
    <t>kV</t>
  </si>
  <si>
    <t>кВА</t>
  </si>
  <si>
    <t>kVA</t>
  </si>
  <si>
    <t>мес</t>
  </si>
  <si>
    <t>month</t>
  </si>
  <si>
    <t>МПа</t>
  </si>
  <si>
    <t>MPa</t>
  </si>
  <si>
    <t>мВ</t>
  </si>
  <si>
    <t>mV</t>
  </si>
  <si>
    <t>пКл</t>
  </si>
  <si>
    <t>pC</t>
  </si>
  <si>
    <t>пФ</t>
  </si>
  <si>
    <t>pF</t>
  </si>
  <si>
    <t>г/т</t>
  </si>
  <si>
    <t>ppm</t>
  </si>
  <si>
    <t>ppm/сут</t>
  </si>
  <si>
    <t>ppm/day</t>
  </si>
  <si>
    <t>г/т/сут</t>
  </si>
  <si>
    <t>ppm/мес</t>
  </si>
  <si>
    <t>ppm/month</t>
  </si>
  <si>
    <t>г/т/мес</t>
  </si>
  <si>
    <t>ppm/нед</t>
  </si>
  <si>
    <t>ppm/week</t>
  </si>
  <si>
    <t>г/т/нед</t>
  </si>
  <si>
    <t>ppm/год</t>
  </si>
  <si>
    <t>ppm/year</t>
  </si>
  <si>
    <t>г/т/год</t>
  </si>
  <si>
    <t>о.е.</t>
  </si>
  <si>
    <t>r.u.</t>
  </si>
  <si>
    <t>год</t>
  </si>
  <si>
    <t>year</t>
  </si>
  <si>
    <t xml:space="preserve">ppm </t>
  </si>
  <si>
    <t>°C</t>
  </si>
  <si>
    <t>А</t>
  </si>
  <si>
    <t>A</t>
  </si>
  <si>
    <t>%</t>
  </si>
  <si>
    <t>с</t>
  </si>
  <si>
    <t>signal_category.code</t>
  </si>
  <si>
    <t>Gas concentrations</t>
  </si>
  <si>
    <t>Humidity</t>
  </si>
  <si>
    <t>Currents</t>
  </si>
  <si>
    <t>temperature</t>
  </si>
  <si>
    <t>Temperatures</t>
  </si>
  <si>
    <t>bushing</t>
  </si>
  <si>
    <t>isolation</t>
  </si>
  <si>
    <t>pdata</t>
  </si>
  <si>
    <t>Passport data</t>
  </si>
  <si>
    <t>universal</t>
  </si>
  <si>
    <t>rpn</t>
  </si>
  <si>
    <t>time</t>
  </si>
  <si>
    <t>Time</t>
  </si>
  <si>
    <t>alarm</t>
  </si>
  <si>
    <t>Alarm system</t>
  </si>
  <si>
    <t>pd</t>
  </si>
  <si>
    <t>its</t>
  </si>
  <si>
    <t>power</t>
  </si>
  <si>
    <t>voltage</t>
  </si>
  <si>
    <t>gases_offline</t>
  </si>
  <si>
    <t>Lab DGA concentrations</t>
  </si>
  <si>
    <t>gases_forecast</t>
  </si>
  <si>
    <t>Concentrations forecast</t>
  </si>
  <si>
    <t>gases_speed</t>
  </si>
  <si>
    <t>Concentrations ROC</t>
  </si>
  <si>
    <t>colling</t>
  </si>
  <si>
    <t>density_gis</t>
  </si>
  <si>
    <t>Density GIS</t>
  </si>
  <si>
    <t>temperature_gis</t>
  </si>
  <si>
    <t>Temperature GIS</t>
  </si>
  <si>
    <t>pressure_gis</t>
  </si>
  <si>
    <t>Pressure GIS</t>
  </si>
  <si>
    <t>pd_gis</t>
  </si>
  <si>
    <t>PD GIS</t>
  </si>
  <si>
    <t>pdata_category.code</t>
  </si>
  <si>
    <t>pdata_main</t>
  </si>
  <si>
    <t>pdata_power</t>
  </si>
  <si>
    <t>pdata_voltage</t>
  </si>
  <si>
    <t>Rated voltages</t>
  </si>
  <si>
    <t>pdata_current</t>
  </si>
  <si>
    <t>Rated currents</t>
  </si>
  <si>
    <t>pdata_kz_xx</t>
  </si>
  <si>
    <t>Rated parameters</t>
  </si>
  <si>
    <t>pdata_resistance</t>
  </si>
  <si>
    <t>Resistance of the windings to direct current</t>
  </si>
  <si>
    <t>pdata_isolation</t>
  </si>
  <si>
    <t>Insulation of windings</t>
  </si>
  <si>
    <t>pdata_oil</t>
  </si>
  <si>
    <t>Oil Parameters</t>
  </si>
  <si>
    <t>asset_type.code</t>
  </si>
  <si>
    <t>Transformer</t>
  </si>
  <si>
    <t>Bush</t>
  </si>
  <si>
    <t>Breaker</t>
  </si>
  <si>
    <t>GIL</t>
  </si>
  <si>
    <t>Motor</t>
  </si>
  <si>
    <t>Surge arrester</t>
  </si>
  <si>
    <t>Shunt reactor</t>
  </si>
  <si>
    <t>Disconnector</t>
  </si>
  <si>
    <t>Support Insulator</t>
  </si>
  <si>
    <t>Good</t>
  </si>
  <si>
    <t>Attention</t>
  </si>
  <si>
    <t>Неопределеный</t>
  </si>
  <si>
    <t>Код сигнала</t>
  </si>
  <si>
    <t>Название сигнала</t>
  </si>
  <si>
    <t>Единицы измерения</t>
  </si>
  <si>
    <t>Категории сигналов</t>
  </si>
  <si>
    <t>Категории активов</t>
  </si>
  <si>
    <t>Отсутствуют значения следующих сигналов, добавьте их в панели администратора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</si>
</sst>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9"/>
      <color rgb="FF000000"/>
      <name val="Arial"/>
    </font>
    <font>
      <b/>
      <sz val="11"/>
      <color theme="1"/>
      <name val="Calibri"/>
    </font>
    <font>
      <sz val="9"/>
      <color theme="1"/>
      <name val="Calibri"/>
    </font>
    <font>
      <i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BF1DE"/>
        <bgColor rgb="FFEBF1D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2" fillId="0" borderId="0" xfId="0" applyFont="1" applyAlignment="1">
      <alignment vertical="top"/>
    </xf>
    <xf numFmtId="0" fontId="4" fillId="0" borderId="1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7" fillId="0" borderId="1" xfId="0" applyFont="1" applyBorder="1" applyAlignment="1"/>
    <xf numFmtId="0" fontId="7" fillId="8" borderId="1" xfId="0" applyFont="1" applyFill="1" applyBorder="1" applyAlignment="1"/>
    <xf numFmtId="0" fontId="2" fillId="0" borderId="0" xfId="0" applyFont="1"/>
    <xf numFmtId="0" fontId="2" fillId="9" borderId="0" xfId="0" applyFont="1" applyFill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/>
    <xf numFmtId="0" fontId="7" fillId="0" borderId="1" xfId="0" applyFont="1" applyBorder="1"/>
    <xf numFmtId="0" fontId="6" fillId="0" borderId="0" xfId="0" applyFont="1"/>
    <xf numFmtId="0" fontId="6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0" fillId="8" borderId="0" xfId="0" applyFont="1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1" xfId="0" applyFont="1" applyBorder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7.28515625" customWidth="1"/>
    <col min="2" max="2" width="5.28515625" customWidth="1"/>
    <col min="3" max="3" width="14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3</v>
      </c>
      <c r="C2" s="3" t="s">
        <v>4</v>
      </c>
    </row>
    <row r="3" spans="1:3" x14ac:dyDescent="0.25">
      <c r="A3" s="2"/>
      <c r="B3" s="3"/>
      <c r="C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7.85546875" customWidth="1"/>
    <col min="3" max="6" width="14.42578125" customWidth="1"/>
  </cols>
  <sheetData>
    <row r="1" spans="1:26" x14ac:dyDescent="0.25">
      <c r="A1" s="54" t="s">
        <v>0</v>
      </c>
      <c r="B1" s="54" t="s">
        <v>1</v>
      </c>
      <c r="C1" s="54" t="s">
        <v>2</v>
      </c>
      <c r="D1" s="55" t="s">
        <v>3</v>
      </c>
      <c r="E1" s="55" t="s">
        <v>5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x14ac:dyDescent="0.25">
      <c r="A2" s="56">
        <v>1</v>
      </c>
      <c r="B2" s="56">
        <v>0</v>
      </c>
      <c r="C2" s="9" t="s">
        <v>3138</v>
      </c>
      <c r="D2" s="9" t="s">
        <v>600</v>
      </c>
      <c r="E2" s="9" t="s">
        <v>3138</v>
      </c>
    </row>
    <row r="3" spans="1:26" x14ac:dyDescent="0.25">
      <c r="A3" s="56">
        <v>2</v>
      </c>
      <c r="B3" s="56">
        <v>1</v>
      </c>
      <c r="C3" s="9" t="s">
        <v>1549</v>
      </c>
      <c r="D3" s="9" t="s">
        <v>1548</v>
      </c>
      <c r="E3" s="9" t="s">
        <v>3139</v>
      </c>
    </row>
    <row r="4" spans="1:26" x14ac:dyDescent="0.25">
      <c r="A4" s="56">
        <v>3</v>
      </c>
      <c r="B4" s="56">
        <v>2</v>
      </c>
      <c r="C4" s="9" t="s">
        <v>1126</v>
      </c>
      <c r="D4" s="9" t="s">
        <v>1125</v>
      </c>
      <c r="E4" s="9" t="s">
        <v>1126</v>
      </c>
    </row>
    <row r="5" spans="1:26" x14ac:dyDescent="0.25">
      <c r="A5" s="56">
        <v>4</v>
      </c>
      <c r="B5" s="56">
        <v>1000</v>
      </c>
      <c r="C5" s="9" t="s">
        <v>1519</v>
      </c>
      <c r="D5" s="9" t="s">
        <v>3140</v>
      </c>
      <c r="E5" s="9" t="s">
        <v>1519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663"/>
  <sheetViews>
    <sheetView workbookViewId="0"/>
  </sheetViews>
  <sheetFormatPr defaultColWidth="14.42578125" defaultRowHeight="15" customHeight="1" x14ac:dyDescent="0.25"/>
  <cols>
    <col min="1" max="1" width="14.42578125" customWidth="1"/>
    <col min="2" max="2" width="113.140625" customWidth="1"/>
    <col min="3" max="3" width="14.7109375" customWidth="1"/>
    <col min="4" max="4" width="20.140625" customWidth="1"/>
    <col min="5" max="5" width="3.85546875" customWidth="1"/>
    <col min="6" max="6" width="33.140625" customWidth="1"/>
    <col min="7" max="7" width="3.7109375" customWidth="1"/>
  </cols>
  <sheetData>
    <row r="1" spans="1:28" x14ac:dyDescent="0.25">
      <c r="A1" s="57" t="s">
        <v>3141</v>
      </c>
      <c r="B1" s="57" t="s">
        <v>3142</v>
      </c>
      <c r="C1" s="58"/>
      <c r="D1" s="57" t="s">
        <v>3143</v>
      </c>
      <c r="E1" s="58"/>
      <c r="F1" s="57" t="s">
        <v>3144</v>
      </c>
      <c r="G1" s="58"/>
      <c r="H1" s="58" t="s">
        <v>3145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x14ac:dyDescent="0.25">
      <c r="A2" s="59" t="str">
        <f ca="1">IFERROR(__xludf.DUMMYFUNCTION("IMPORTRANGE(""https://docs.google.com/spreadsheets/d/1VGz2lIX241xjZRGKMysyQo3oaFxKu5dzAUMAJDe5FtQ/edit?usp=sharing"", ""signals_guide!B2:C"")"),"add_h2o")</f>
        <v>add_h2o</v>
      </c>
      <c r="B2" s="13" t="str">
        <f ca="1">IFERROR(__xludf.DUMMYFUNCTION("""COMPUTED_VALUE"""),"Поправка на добавленную воду")</f>
        <v>Поправка на добавленную воду</v>
      </c>
      <c r="D2" s="13" t="str">
        <f ca="1">IFERROR(__xludf.DUMMYFUNCTION("IMPORTRANGE(""https://docs.google.com/spreadsheets/d/1VGz2lIX241xjZRGKMysyQo3oaFxKu5dzAUMAJDe5FtQ/edit?usp=sharing"",""units!C2:C"")"),"n/a")</f>
        <v>n/a</v>
      </c>
      <c r="F2" s="13" t="str">
        <f ca="1">IFERROR(__xludf.DUMMYFUNCTION("IMPORTRANGE(""https://docs.google.com/spreadsheets/d/1VGz2lIX241xjZRGKMysyQo3oaFxKu5dzAUMAJDe5FtQ/edit?usp=sharing"",""signal_categories!B2:B"")"),"humidity")</f>
        <v>humidity</v>
      </c>
      <c r="H2" s="53" t="str">
        <f ca="1">IFERROR(__xludf.DUMMYFUNCTION("IMPORTRANGE(""https://docs.google.com/spreadsheets/d/1VGz2lIX241xjZRGKMysyQo3oaFxKu5dzAUMAJDe5FtQ/edit?usp=sharing"",""asset_types!B2:B"")"),"n/a")</f>
        <v>n/a</v>
      </c>
    </row>
    <row r="3" spans="1:28" x14ac:dyDescent="0.25">
      <c r="A3" s="13" t="str">
        <f ca="1">IFERROR(__xludf.DUMMYFUNCTION("""COMPUTED_VALUE"""),"ageing_lim0")</f>
        <v>ageing_lim0</v>
      </c>
      <c r="B3" s="13" t="str">
        <f ca="1">IFERROR(__xludf.DUMMYFUNCTION("""COMPUTED_VALUE"""),"ДЗ скорости износа")</f>
        <v>ДЗ скорости износа</v>
      </c>
      <c r="D3" s="13" t="str">
        <f ca="1">IFERROR(__xludf.DUMMYFUNCTION("""COMPUTED_VALUE"""),"% об.")</f>
        <v>% об.</v>
      </c>
      <c r="F3" s="13" t="str">
        <f ca="1">IFERROR(__xludf.DUMMYFUNCTION("""COMPUTED_VALUE"""),"gases")</f>
        <v>gases</v>
      </c>
      <c r="H3" s="13" t="str">
        <f ca="1">IFERROR(__xludf.DUMMYFUNCTION("""COMPUTED_VALUE"""),"transformer")</f>
        <v>transformer</v>
      </c>
    </row>
    <row r="4" spans="1:28" x14ac:dyDescent="0.25">
      <c r="A4" s="13" t="str">
        <f ca="1">IFERROR(__xludf.DUMMYFUNCTION("""COMPUTED_VALUE"""),"ageing_lim0_manual")</f>
        <v>ageing_lim0_manual</v>
      </c>
      <c r="B4" s="13" t="str">
        <f ca="1">IFERROR(__xludf.DUMMYFUNCTION("""COMPUTED_VALUE"""),"ДЗ скорости износа, ручное")</f>
        <v>ДЗ скорости износа, ручное</v>
      </c>
      <c r="D4" s="13" t="str">
        <f ca="1">IFERROR(__xludf.DUMMYFUNCTION("""COMPUTED_VALUE"""),"% масс.")</f>
        <v>% масс.</v>
      </c>
      <c r="F4" s="13" t="str">
        <f ca="1">IFERROR(__xludf.DUMMYFUNCTION("""COMPUTED_VALUE"""),"power")</f>
        <v>power</v>
      </c>
      <c r="H4" s="13" t="str">
        <f ca="1">IFERROR(__xludf.DUMMYFUNCTION("""COMPUTED_VALUE"""),"bush")</f>
        <v>bush</v>
      </c>
    </row>
    <row r="5" spans="1:28" x14ac:dyDescent="0.25">
      <c r="A5" s="13" t="str">
        <f ca="1">IFERROR(__xludf.DUMMYFUNCTION("""COMPUTED_VALUE"""),"ageing_lim1")</f>
        <v>ageing_lim1</v>
      </c>
      <c r="B5" s="13" t="str">
        <f ca="1">IFERROR(__xludf.DUMMYFUNCTION("""COMPUTED_VALUE"""),"ПДЗ скорости износа")</f>
        <v>ПДЗ скорости износа</v>
      </c>
      <c r="D5" s="13" t="str">
        <f ca="1">IFERROR(__xludf.DUMMYFUNCTION("""COMPUTED_VALUE"""),"%")</f>
        <v>%</v>
      </c>
      <c r="F5" s="13" t="str">
        <f ca="1">IFERROR(__xludf.DUMMYFUNCTION("""COMPUTED_VALUE"""),"voltage")</f>
        <v>voltage</v>
      </c>
      <c r="H5" s="13" t="str">
        <f ca="1">IFERROR(__xludf.DUMMYFUNCTION("""COMPUTED_VALUE"""),"gis")</f>
        <v>gis</v>
      </c>
    </row>
    <row r="6" spans="1:28" x14ac:dyDescent="0.25">
      <c r="A6" s="13" t="str">
        <f ca="1">IFERROR(__xludf.DUMMYFUNCTION("""COMPUTED_VALUE"""),"ageing_lim1_manual")</f>
        <v>ageing_lim1_manual</v>
      </c>
      <c r="B6" s="13" t="str">
        <f ca="1">IFERROR(__xludf.DUMMYFUNCTION("""COMPUTED_VALUE"""),"ПДЗ скорости износа, ручное")</f>
        <v>ПДЗ скорости износа, ручное</v>
      </c>
      <c r="D6" s="13" t="str">
        <f ca="1">IFERROR(__xludf.DUMMYFUNCTION("""COMPUTED_VALUE"""),"ppm ")</f>
        <v xml:space="preserve">ppm </v>
      </c>
      <c r="F6" s="13" t="str">
        <f ca="1">IFERROR(__xludf.DUMMYFUNCTION("""COMPUTED_VALUE"""),"gases_offline")</f>
        <v>gases_offline</v>
      </c>
      <c r="H6" s="13" t="str">
        <f ca="1">IFERROR(__xludf.DUMMYFUNCTION("""COMPUTED_VALUE"""),"breaker")</f>
        <v>breaker</v>
      </c>
    </row>
    <row r="7" spans="1:28" x14ac:dyDescent="0.25">
      <c r="A7" s="13" t="str">
        <f ca="1">IFERROR(__xludf.DUMMYFUNCTION("""COMPUTED_VALUE"""),"ageing_montsinger")</f>
        <v>ageing_montsinger</v>
      </c>
      <c r="B7" s="13" t="str">
        <f ca="1">IFERROR(__xludf.DUMMYFUNCTION("""COMPUTED_VALUE"""),"Скорость износа по Монтзингеру")</f>
        <v>Скорость износа по Монтзингеру</v>
      </c>
      <c r="D7" s="13" t="str">
        <f ca="1">IFERROR(__xludf.DUMMYFUNCTION("""COMPUTED_VALUE"""),"мкА")</f>
        <v>мкА</v>
      </c>
      <c r="F7" s="13" t="str">
        <f ca="1">IFERROR(__xludf.DUMMYFUNCTION("""COMPUTED_VALUE"""),"pdata")</f>
        <v>pdata</v>
      </c>
      <c r="H7" s="13" t="str">
        <f ca="1">IFERROR(__xludf.DUMMYFUNCTION("""COMPUTED_VALUE"""),"gil")</f>
        <v>gil</v>
      </c>
    </row>
    <row r="8" spans="1:28" x14ac:dyDescent="0.25">
      <c r="A8" s="13" t="str">
        <f ca="1">IFERROR(__xludf.DUMMYFUNCTION("""COMPUTED_VALUE"""),"ageing_montsinger_koh")</f>
        <v>ageing_montsinger_koh</v>
      </c>
      <c r="B8" s="13" t="str">
        <f ca="1">IFERROR(__xludf.DUMMYFUNCTION("""COMPUTED_VALUE"""),"Скорость износа по Монзингеру с поправкой на кислотное число")</f>
        <v>Скорость износа по Монзингеру с поправкой на кислотное число</v>
      </c>
      <c r="D8" s="13" t="str">
        <f ca="1">IFERROR(__xludf.DUMMYFUNCTION("""COMPUTED_VALUE"""),"мА")</f>
        <v>мА</v>
      </c>
      <c r="F8" s="13" t="str">
        <f ca="1">IFERROR(__xludf.DUMMYFUNCTION("""COMPUTED_VALUE"""),"gases_forecast")</f>
        <v>gases_forecast</v>
      </c>
      <c r="H8" s="13" t="str">
        <f ca="1">IFERROR(__xludf.DUMMYFUNCTION("""COMPUTED_VALUE"""),"gen_turbo")</f>
        <v>gen_turbo</v>
      </c>
    </row>
    <row r="9" spans="1:28" x14ac:dyDescent="0.25">
      <c r="A9" s="13" t="str">
        <f ca="1">IFERROR(__xludf.DUMMYFUNCTION("""COMPUTED_VALUE"""),"ageing_montsinger_wcp")</f>
        <v>ageing_montsinger_wcp</v>
      </c>
      <c r="B9" s="13" t="str">
        <f ca="1">IFERROR(__xludf.DUMMYFUNCTION("""COMPUTED_VALUE"""),"Скорость износа по Монзингеру с поправкой на влажность")</f>
        <v>Скорость износа по Монзингеру с поправкой на влажность</v>
      </c>
      <c r="D9" s="13" t="str">
        <f ca="1">IFERROR(__xludf.DUMMYFUNCTION("""COMPUTED_VALUE"""),"А")</f>
        <v>А</v>
      </c>
      <c r="F9" s="13" t="str">
        <f ca="1">IFERROR(__xludf.DUMMYFUNCTION("""COMPUTED_VALUE"""),"gases_speed")</f>
        <v>gases_speed</v>
      </c>
      <c r="H9" s="13" t="str">
        <f ca="1">IFERROR(__xludf.DUMMYFUNCTION("""COMPUTED_VALUE"""),"gen_hydro")</f>
        <v>gen_hydro</v>
      </c>
    </row>
    <row r="10" spans="1:28" x14ac:dyDescent="0.25">
      <c r="A10" s="13" t="str">
        <f ca="1">IFERROR(__xludf.DUMMYFUNCTION("""COMPUTED_VALUE"""),"ageing_montsinger_wcp_koh")</f>
        <v>ageing_montsinger_wcp_koh</v>
      </c>
      <c r="B10" s="13" t="str">
        <f ca="1">IFERROR(__xludf.DUMMYFUNCTION("""COMPUTED_VALUE"""),"Скорость износа по Монзингеру с поправкой на влажность и кислотное число")</f>
        <v>Скорость износа по Монзингеру с поправкой на влажность и кислотное число</v>
      </c>
      <c r="D10" s="13" t="str">
        <f ca="1">IFERROR(__xludf.DUMMYFUNCTION("""COMPUTED_VALUE"""),"кА")</f>
        <v>кА</v>
      </c>
      <c r="F10" s="13" t="str">
        <f ca="1">IFERROR(__xludf.DUMMYFUNCTION("""COMPUTED_VALUE"""),"temperature")</f>
        <v>temperature</v>
      </c>
      <c r="H10" s="13" t="str">
        <f ca="1">IFERROR(__xludf.DUMMYFUNCTION("""COMPUTED_VALUE"""),"motor")</f>
        <v>motor</v>
      </c>
    </row>
    <row r="11" spans="1:28" x14ac:dyDescent="0.25">
      <c r="A11" s="13" t="str">
        <f ca="1">IFERROR(__xludf.DUMMYFUNCTION("""COMPUTED_VALUE"""),"ageing_total")</f>
        <v>ageing_total</v>
      </c>
      <c r="B11" s="13" t="str">
        <f ca="1">IFERROR(__xludf.DUMMYFUNCTION("""COMPUTED_VALUE"""),"Скорость износа изоляции обобщённая")</f>
        <v>Скорость износа изоляции обобщённая</v>
      </c>
      <c r="D11" s="13" t="str">
        <f ca="1">IFERROR(__xludf.DUMMYFUNCTION("""COMPUTED_VALUE"""),"МА")</f>
        <v>МА</v>
      </c>
      <c r="F11" s="13" t="str">
        <f ca="1">IFERROR(__xludf.DUMMYFUNCTION("""COMPUTED_VALUE"""),"current")</f>
        <v>current</v>
      </c>
      <c r="H11" s="13" t="str">
        <f ca="1">IFERROR(__xludf.DUMMYFUNCTION("""COMPUTED_VALUE"""),"ct")</f>
        <v>ct</v>
      </c>
    </row>
    <row r="12" spans="1:28" x14ac:dyDescent="0.25">
      <c r="A12" s="13" t="str">
        <f ca="1">IFERROR(__xludf.DUMMYFUNCTION("""COMPUTED_VALUE"""),"albatros_agidol")</f>
        <v>albatros_agidol</v>
      </c>
      <c r="B12" s="13" t="str">
        <f ca="1">IFERROR(__xludf.DUMMYFUNCTION("""COMPUTED_VALUE"""),"Содержание антиокислительной присадки АГИДОЛ-1")</f>
        <v>Содержание антиокислительной присадки АГИДОЛ-1</v>
      </c>
      <c r="D12" s="13" t="str">
        <f ca="1">IFERROR(__xludf.DUMMYFUNCTION("""COMPUTED_VALUE"""),"мкВ")</f>
        <v>мкВ</v>
      </c>
      <c r="F12" s="13" t="str">
        <f ca="1">IFERROR(__xludf.DUMMYFUNCTION("""COMPUTED_VALUE"""),"bushing")</f>
        <v>bushing</v>
      </c>
      <c r="H12" s="13" t="str">
        <f ca="1">IFERROR(__xludf.DUMMYFUNCTION("""COMPUTED_VALUE"""),"vt")</f>
        <v>vt</v>
      </c>
    </row>
    <row r="13" spans="1:28" x14ac:dyDescent="0.25">
      <c r="A13" s="13" t="str">
        <f ca="1">IFERROR(__xludf.DUMMYFUNCTION("""COMPUTED_VALUE"""),"albatros_ampl_max_absorption")</f>
        <v>albatros_ampl_max_absorption</v>
      </c>
      <c r="B13" s="13" t="str">
        <f ca="1">IFERROR(__xludf.DUMMYFUNCTION("""COMPUTED_VALUE"""),"Максимальная амплитуда ИК-поглощения масла")</f>
        <v>Максимальная амплитуда ИК-поглощения масла</v>
      </c>
      <c r="D13" s="13" t="str">
        <f ca="1">IFERROR(__xludf.DUMMYFUNCTION("""COMPUTED_VALUE"""),"мВ")</f>
        <v>мВ</v>
      </c>
      <c r="F13" s="13" t="str">
        <f ca="1">IFERROR(__xludf.DUMMYFUNCTION("""COMPUTED_VALUE"""),"universal")</f>
        <v>universal</v>
      </c>
      <c r="H13" s="13" t="str">
        <f ca="1">IFERROR(__xludf.DUMMYFUNCTION("""COMPUTED_VALUE"""),"cap_comm")</f>
        <v>cap_comm</v>
      </c>
    </row>
    <row r="14" spans="1:28" x14ac:dyDescent="0.25">
      <c r="A14" s="13" t="str">
        <f ca="1">IFERROR(__xludf.DUMMYFUNCTION("""COMPUTED_VALUE"""),"albatros_aromatic_hc")</f>
        <v>albatros_aromatic_hc</v>
      </c>
      <c r="B14" s="13" t="str">
        <f ca="1">IFERROR(__xludf.DUMMYFUNCTION("""COMPUTED_VALUE"""),"Содержание ароматических углеводородов")</f>
        <v>Содержание ароматических углеводородов</v>
      </c>
      <c r="D14" s="13" t="str">
        <f ca="1">IFERROR(__xludf.DUMMYFUNCTION("""COMPUTED_VALUE"""),"В")</f>
        <v>В</v>
      </c>
      <c r="F14" s="13" t="str">
        <f ca="1">IFERROR(__xludf.DUMMYFUNCTION("""COMPUTED_VALUE"""),"rpn")</f>
        <v>rpn</v>
      </c>
      <c r="H14" s="13" t="str">
        <f ca="1">IFERROR(__xludf.DUMMYFUNCTION("""COMPUTED_VALUE"""),"cap_bank")</f>
        <v>cap_bank</v>
      </c>
    </row>
    <row r="15" spans="1:28" x14ac:dyDescent="0.25">
      <c r="A15" s="13" t="str">
        <f ca="1">IFERROR(__xludf.DUMMYFUNCTION("""COMPUTED_VALUE"""),"albatros_bush_с3_last_pa_hv")</f>
        <v>albatros_bush_с3_last_pa_hv</v>
      </c>
      <c r="B15" s="13" t="str">
        <f ca="1">IFERROR(__xludf.DUMMYFUNCTION("""COMPUTED_VALUE"""),"Ёмкость C3 последних слоев изоляции ввода ВН, фаза A")</f>
        <v>Ёмкость C3 последних слоев изоляции ввода ВН, фаза A</v>
      </c>
      <c r="D15" s="13" t="str">
        <f ca="1">IFERROR(__xludf.DUMMYFUNCTION("""COMPUTED_VALUE"""),"кВ")</f>
        <v>кВ</v>
      </c>
      <c r="F15" s="13" t="str">
        <f ca="1">IFERROR(__xludf.DUMMYFUNCTION("""COMPUTED_VALUE"""),"isolation")</f>
        <v>isolation</v>
      </c>
      <c r="H15" s="13" t="str">
        <f ca="1">IFERROR(__xludf.DUMMYFUNCTION("""COMPUTED_VALUE"""),"surge_arrester")</f>
        <v>surge_arrester</v>
      </c>
    </row>
    <row r="16" spans="1:28" x14ac:dyDescent="0.25">
      <c r="A16" s="13" t="str">
        <f ca="1">IFERROR(__xludf.DUMMYFUNCTION("""COMPUTED_VALUE"""),"albatros_bush_с3_last_pa_lv")</f>
        <v>albatros_bush_с3_last_pa_lv</v>
      </c>
      <c r="B16" s="13" t="str">
        <f ca="1">IFERROR(__xludf.DUMMYFUNCTION("""COMPUTED_VALUE"""),"Ёмкость C3 последних слоев изоляции ввода НН, фаза A")</f>
        <v>Ёмкость C3 последних слоев изоляции ввода НН, фаза A</v>
      </c>
      <c r="D16" s="13" t="str">
        <f ca="1">IFERROR(__xludf.DUMMYFUNCTION("""COMPUTED_VALUE"""),"МВ")</f>
        <v>МВ</v>
      </c>
      <c r="F16" s="13" t="str">
        <f ca="1">IFERROR(__xludf.DUMMYFUNCTION("""COMPUTED_VALUE"""),"colling")</f>
        <v>colling</v>
      </c>
      <c r="H16" s="13" t="str">
        <f ca="1">IFERROR(__xludf.DUMMYFUNCTION("""COMPUTED_VALUE"""),"shunt_reactor")</f>
        <v>shunt_reactor</v>
      </c>
    </row>
    <row r="17" spans="1:8" x14ac:dyDescent="0.25">
      <c r="A17" s="13" t="str">
        <f ca="1">IFERROR(__xludf.DUMMYFUNCTION("""COMPUTED_VALUE"""),"albatros_bush_с3_last_pb_hv")</f>
        <v>albatros_bush_с3_last_pb_hv</v>
      </c>
      <c r="B17" s="13" t="str">
        <f ca="1">IFERROR(__xludf.DUMMYFUNCTION("""COMPUTED_VALUE"""),"Ёмкость C3 последних слоев изоляции ввода ВН, фаза B")</f>
        <v>Ёмкость C3 последних слоев изоляции ввода ВН, фаза B</v>
      </c>
      <c r="D17" s="13" t="str">
        <f ca="1">IFERROR(__xludf.DUMMYFUNCTION("""COMPUTED_VALUE"""),"Гц")</f>
        <v>Гц</v>
      </c>
      <c r="F17" s="13" t="str">
        <f ca="1">IFERROR(__xludf.DUMMYFUNCTION("""COMPUTED_VALUE"""),"its")</f>
        <v>its</v>
      </c>
      <c r="H17" s="13" t="str">
        <f ca="1">IFERROR(__xludf.DUMMYFUNCTION("""COMPUTED_VALUE"""),"switchgear")</f>
        <v>switchgear</v>
      </c>
    </row>
    <row r="18" spans="1:8" x14ac:dyDescent="0.25">
      <c r="A18" s="13" t="str">
        <f ca="1">IFERROR(__xludf.DUMMYFUNCTION("""COMPUTED_VALUE"""),"albatros_bush_с3_last_pb_lv")</f>
        <v>albatros_bush_с3_last_pb_lv</v>
      </c>
      <c r="B18" s="13" t="str">
        <f ca="1">IFERROR(__xludf.DUMMYFUNCTION("""COMPUTED_VALUE"""),"Ёмкость C3 последних слоев изоляции ввода НН, фаза B")</f>
        <v>Ёмкость C3 последних слоев изоляции ввода НН, фаза B</v>
      </c>
      <c r="D18" s="13" t="str">
        <f ca="1">IFERROR(__xludf.DUMMYFUNCTION("""COMPUTED_VALUE"""),"кГц")</f>
        <v>кГц</v>
      </c>
      <c r="F18" s="13" t="str">
        <f ca="1">IFERROR(__xludf.DUMMYFUNCTION("""COMPUTED_VALUE"""),"pd")</f>
        <v>pd</v>
      </c>
      <c r="H18" s="13" t="str">
        <f ca="1">IFERROR(__xludf.DUMMYFUNCTION("""COMPUTED_VALUE"""),"disconnector")</f>
        <v>disconnector</v>
      </c>
    </row>
    <row r="19" spans="1:8" x14ac:dyDescent="0.25">
      <c r="A19" s="13" t="str">
        <f ca="1">IFERROR(__xludf.DUMMYFUNCTION("""COMPUTED_VALUE"""),"albatros_bush_с3_last_pc_hv")</f>
        <v>albatros_bush_с3_last_pc_hv</v>
      </c>
      <c r="B19" s="13" t="str">
        <f ca="1">IFERROR(__xludf.DUMMYFUNCTION("""COMPUTED_VALUE"""),"Ёмкость C3 последних слоев изоляции ввода ВН, фаза C")</f>
        <v>Ёмкость C3 последних слоев изоляции ввода ВН, фаза C</v>
      </c>
      <c r="D19" s="13" t="str">
        <f ca="1">IFERROR(__xludf.DUMMYFUNCTION("""COMPUTED_VALUE"""),"МГц")</f>
        <v>МГц</v>
      </c>
      <c r="F19" s="13" t="str">
        <f ca="1">IFERROR(__xludf.DUMMYFUNCTION("""COMPUTED_VALUE"""),"alarm")</f>
        <v>alarm</v>
      </c>
      <c r="H19" s="13" t="str">
        <f ca="1">IFERROR(__xludf.DUMMYFUNCTION("""COMPUTED_VALUE"""),"support_insulator")</f>
        <v>support_insulator</v>
      </c>
    </row>
    <row r="20" spans="1:8" x14ac:dyDescent="0.25">
      <c r="A20" s="13" t="str">
        <f ca="1">IFERROR(__xludf.DUMMYFUNCTION("""COMPUTED_VALUE"""),"albatros_bush_с3_last_pc_lv")</f>
        <v>albatros_bush_с3_last_pc_lv</v>
      </c>
      <c r="B20" s="13" t="str">
        <f ca="1">IFERROR(__xludf.DUMMYFUNCTION("""COMPUTED_VALUE"""),"Ёмкость C3 последних слоев изоляции ввода НН, фаза C")</f>
        <v>Ёмкость C3 последних слоев изоляции ввода НН, фаза C</v>
      </c>
      <c r="D20" s="13" t="str">
        <f ca="1">IFERROR(__xludf.DUMMYFUNCTION("""COMPUTED_VALUE"""),"ГГц")</f>
        <v>ГГц</v>
      </c>
      <c r="F20" s="13" t="str">
        <f ca="1">IFERROR(__xludf.DUMMYFUNCTION("""COMPUTED_VALUE"""),"time")</f>
        <v>time</v>
      </c>
      <c r="H20" s="49"/>
    </row>
    <row r="21" spans="1:8" ht="15.75" customHeight="1" x14ac:dyDescent="0.25">
      <c r="A21" s="13" t="str">
        <f ca="1">IFERROR(__xludf.DUMMYFUNCTION("""COMPUTED_VALUE"""),"albatros_bush_c_full_pa_hv")</f>
        <v>albatros_bush_c_full_pa_hv</v>
      </c>
      <c r="B21" s="13" t="str">
        <f ca="1">IFERROR(__xludf.DUMMYFUNCTION("""COMPUTED_VALUE"""),"Ёмкость изоляции обмотки ВН, фаза A")</f>
        <v>Ёмкость изоляции обмотки ВН, фаза A</v>
      </c>
      <c r="D21" s="13" t="str">
        <f ca="1">IFERROR(__xludf.DUMMYFUNCTION("""COMPUTED_VALUE"""),"мВт")</f>
        <v>мВт</v>
      </c>
      <c r="F21" s="13" t="str">
        <f ca="1">IFERROR(__xludf.DUMMYFUNCTION("""COMPUTED_VALUE"""),"pd_gis")</f>
        <v>pd_gis</v>
      </c>
      <c r="H21" s="49"/>
    </row>
    <row r="22" spans="1:8" ht="15.75" customHeight="1" x14ac:dyDescent="0.25">
      <c r="A22" s="13" t="str">
        <f ca="1">IFERROR(__xludf.DUMMYFUNCTION("""COMPUTED_VALUE"""),"albatros_bush_c_full_pa_lv")</f>
        <v>albatros_bush_c_full_pa_lv</v>
      </c>
      <c r="B22" s="13" t="str">
        <f ca="1">IFERROR(__xludf.DUMMYFUNCTION("""COMPUTED_VALUE"""),"Ёмкость изоляции обмотки НН, фаза A")</f>
        <v>Ёмкость изоляции обмотки НН, фаза A</v>
      </c>
      <c r="D22" s="13" t="str">
        <f ca="1">IFERROR(__xludf.DUMMYFUNCTION("""COMPUTED_VALUE"""),"кВт")</f>
        <v>кВт</v>
      </c>
      <c r="F22" s="13" t="str">
        <f ca="1">IFERROR(__xludf.DUMMYFUNCTION("""COMPUTED_VALUE"""),"pressure_gis")</f>
        <v>pressure_gis</v>
      </c>
      <c r="H22" s="49"/>
    </row>
    <row r="23" spans="1:8" ht="15.75" customHeight="1" x14ac:dyDescent="0.25">
      <c r="A23" s="13" t="str">
        <f ca="1">IFERROR(__xludf.DUMMYFUNCTION("""COMPUTED_VALUE"""),"albatros_bush_c_full_pb_hv")</f>
        <v>albatros_bush_c_full_pb_hv</v>
      </c>
      <c r="B23" s="13" t="str">
        <f ca="1">IFERROR(__xludf.DUMMYFUNCTION("""COMPUTED_VALUE"""),"Ёмкость изоляции обмотки ВН, фаза B")</f>
        <v>Ёмкость изоляции обмотки ВН, фаза B</v>
      </c>
      <c r="D23" s="13" t="str">
        <f ca="1">IFERROR(__xludf.DUMMYFUNCTION("""COMPUTED_VALUE"""),"Вт")</f>
        <v>Вт</v>
      </c>
      <c r="F23" s="13" t="str">
        <f ca="1">IFERROR(__xludf.DUMMYFUNCTION("""COMPUTED_VALUE"""),"density_gis")</f>
        <v>density_gis</v>
      </c>
      <c r="H23" s="49"/>
    </row>
    <row r="24" spans="1:8" ht="15.75" customHeight="1" x14ac:dyDescent="0.25">
      <c r="A24" s="13" t="str">
        <f ca="1">IFERROR(__xludf.DUMMYFUNCTION("""COMPUTED_VALUE"""),"albatros_bush_c_full_pb_lv")</f>
        <v>albatros_bush_c_full_pb_lv</v>
      </c>
      <c r="B24" s="13" t="str">
        <f ca="1">IFERROR(__xludf.DUMMYFUNCTION("""COMPUTED_VALUE"""),"Ёмкость изоляции обмотки НН, фаза B")</f>
        <v>Ёмкость изоляции обмотки НН, фаза B</v>
      </c>
      <c r="D24" s="13" t="str">
        <f ca="1">IFERROR(__xludf.DUMMYFUNCTION("""COMPUTED_VALUE"""),"МВт")</f>
        <v>МВт</v>
      </c>
      <c r="F24" s="13" t="str">
        <f ca="1">IFERROR(__xludf.DUMMYFUNCTION("""COMPUTED_VALUE"""),"temperature_gis")</f>
        <v>temperature_gis</v>
      </c>
      <c r="H24" s="49"/>
    </row>
    <row r="25" spans="1:8" ht="15.75" customHeight="1" x14ac:dyDescent="0.25">
      <c r="A25" s="13" t="str">
        <f ca="1">IFERROR(__xludf.DUMMYFUNCTION("""COMPUTED_VALUE"""),"albatros_bush_c_full_pc_hv")</f>
        <v>albatros_bush_c_full_pc_hv</v>
      </c>
      <c r="B25" s="13" t="str">
        <f ca="1">IFERROR(__xludf.DUMMYFUNCTION("""COMPUTED_VALUE"""),"Ёмкость изоляции обмотки ВН, фаза C")</f>
        <v>Ёмкость изоляции обмотки ВН, фаза C</v>
      </c>
      <c r="D25" s="13" t="str">
        <f ca="1">IFERROR(__xludf.DUMMYFUNCTION("""COMPUTED_VALUE"""),"ГВт")</f>
        <v>ГВт</v>
      </c>
      <c r="F25" s="13"/>
      <c r="H25" s="49"/>
    </row>
    <row r="26" spans="1:8" ht="15.75" customHeight="1" x14ac:dyDescent="0.25">
      <c r="A26" s="13" t="str">
        <f ca="1">IFERROR(__xludf.DUMMYFUNCTION("""COMPUTED_VALUE"""),"albatros_bush_c_full_pc_lv")</f>
        <v>albatros_bush_c_full_pc_lv</v>
      </c>
      <c r="B26" s="13" t="str">
        <f ca="1">IFERROR(__xludf.DUMMYFUNCTION("""COMPUTED_VALUE"""),"Ёмкость изоляции обмотки НН, фаза C")</f>
        <v>Ёмкость изоляции обмотки НН, фаза C</v>
      </c>
      <c r="D26" s="13" t="str">
        <f ca="1">IFERROR(__xludf.DUMMYFUNCTION("""COMPUTED_VALUE"""),"мВА")</f>
        <v>мВА</v>
      </c>
      <c r="F26" s="13"/>
      <c r="H26" s="49"/>
    </row>
    <row r="27" spans="1:8" ht="15.75" customHeight="1" x14ac:dyDescent="0.25">
      <c r="A27" s="13" t="str">
        <f ca="1">IFERROR(__xludf.DUMMYFUNCTION("""COMPUTED_VALUE"""),"albatros_bush_c1_main_pa_hv")</f>
        <v>albatros_bush_c1_main_pa_hv</v>
      </c>
      <c r="B27" s="13" t="str">
        <f ca="1">IFERROR(__xludf.DUMMYFUNCTION("""COMPUTED_VALUE"""),"Ёмкость C1 основной изоляции ввода ВН, фаза A")</f>
        <v>Ёмкость C1 основной изоляции ввода ВН, фаза A</v>
      </c>
      <c r="D27" s="13" t="str">
        <f ca="1">IFERROR(__xludf.DUMMYFUNCTION("""COMPUTED_VALUE"""),"ВА")</f>
        <v>ВА</v>
      </c>
      <c r="F27" s="13"/>
      <c r="H27" s="49"/>
    </row>
    <row r="28" spans="1:8" ht="15.75" customHeight="1" x14ac:dyDescent="0.25">
      <c r="A28" s="13" t="str">
        <f ca="1">IFERROR(__xludf.DUMMYFUNCTION("""COMPUTED_VALUE"""),"albatros_bush_c1_main_pa_lv")</f>
        <v>albatros_bush_c1_main_pa_lv</v>
      </c>
      <c r="B28" s="13" t="str">
        <f ca="1">IFERROR(__xludf.DUMMYFUNCTION("""COMPUTED_VALUE"""),"Ёмкость C1 основной изоляции ввода НН, фаза A")</f>
        <v>Ёмкость C1 основной изоляции ввода НН, фаза A</v>
      </c>
      <c r="D28" s="13" t="str">
        <f ca="1">IFERROR(__xludf.DUMMYFUNCTION("""COMPUTED_VALUE"""),"кВА")</f>
        <v>кВА</v>
      </c>
      <c r="F28" s="49"/>
      <c r="H28" s="49"/>
    </row>
    <row r="29" spans="1:8" ht="15.75" customHeight="1" x14ac:dyDescent="0.25">
      <c r="A29" s="13" t="str">
        <f ca="1">IFERROR(__xludf.DUMMYFUNCTION("""COMPUTED_VALUE"""),"albatros_bush_c1_main_pb_hv")</f>
        <v>albatros_bush_c1_main_pb_hv</v>
      </c>
      <c r="B29" s="13" t="str">
        <f ca="1">IFERROR(__xludf.DUMMYFUNCTION("""COMPUTED_VALUE"""),"Ёмкость C1 основной изоляции ввода ВН, фаза B")</f>
        <v>Ёмкость C1 основной изоляции ввода ВН, фаза B</v>
      </c>
      <c r="D29" s="13" t="str">
        <f ca="1">IFERROR(__xludf.DUMMYFUNCTION("""COMPUTED_VALUE"""),"МВА")</f>
        <v>МВА</v>
      </c>
      <c r="F29" s="49"/>
      <c r="H29" s="49"/>
    </row>
    <row r="30" spans="1:8" ht="15.75" customHeight="1" x14ac:dyDescent="0.25">
      <c r="A30" s="13" t="str">
        <f ca="1">IFERROR(__xludf.DUMMYFUNCTION("""COMPUTED_VALUE"""),"albatros_bush_c1_main_pb_lv")</f>
        <v>albatros_bush_c1_main_pb_lv</v>
      </c>
      <c r="B30" s="13" t="str">
        <f ca="1">IFERROR(__xludf.DUMMYFUNCTION("""COMPUTED_VALUE"""),"Ёмкость C1 основной изоляции ввода НН, фаза B")</f>
        <v>Ёмкость C1 основной изоляции ввода НН, фаза B</v>
      </c>
      <c r="D30" s="13" t="str">
        <f ca="1">IFERROR(__xludf.DUMMYFUNCTION("""COMPUTED_VALUE"""),"ГВА")</f>
        <v>ГВА</v>
      </c>
      <c r="F30" s="49"/>
      <c r="H30" s="49"/>
    </row>
    <row r="31" spans="1:8" ht="15.75" customHeight="1" x14ac:dyDescent="0.25">
      <c r="A31" s="13" t="str">
        <f ca="1">IFERROR(__xludf.DUMMYFUNCTION("""COMPUTED_VALUE"""),"albatros_bush_c1_main_pc_hv")</f>
        <v>albatros_bush_c1_main_pc_hv</v>
      </c>
      <c r="B31" s="13" t="str">
        <f ca="1">IFERROR(__xludf.DUMMYFUNCTION("""COMPUTED_VALUE"""),"Ёмкость C1 основной изоляции ввода ВН, фаза C")</f>
        <v>Ёмкость C1 основной изоляции ввода ВН, фаза C</v>
      </c>
      <c r="D31" s="13" t="str">
        <f ca="1">IFERROR(__xludf.DUMMYFUNCTION("""COMPUTED_VALUE"""),"мвар")</f>
        <v>мвар</v>
      </c>
      <c r="F31" s="49"/>
      <c r="H31" s="49"/>
    </row>
    <row r="32" spans="1:8" ht="15.75" customHeight="1" x14ac:dyDescent="0.25">
      <c r="A32" s="13" t="str">
        <f ca="1">IFERROR(__xludf.DUMMYFUNCTION("""COMPUTED_VALUE"""),"albatros_bush_c1_main_pc_lv")</f>
        <v>albatros_bush_c1_main_pc_lv</v>
      </c>
      <c r="B32" s="13" t="str">
        <f ca="1">IFERROR(__xludf.DUMMYFUNCTION("""COMPUTED_VALUE"""),"Ёмкость C1 основной изоляции ввода НН, фаза C")</f>
        <v>Ёмкость C1 основной изоляции ввода НН, фаза C</v>
      </c>
      <c r="D32" s="13" t="str">
        <f ca="1">IFERROR(__xludf.DUMMYFUNCTION("""COMPUTED_VALUE"""),"вар")</f>
        <v>вар</v>
      </c>
      <c r="F32" s="49"/>
      <c r="H32" s="49"/>
    </row>
    <row r="33" spans="1:8" ht="15.75" customHeight="1" x14ac:dyDescent="0.25">
      <c r="A33" s="13" t="str">
        <f ca="1">IFERROR(__xludf.DUMMYFUNCTION("""COMPUTED_VALUE"""),"albatros_bush_r_last_pa_hv")</f>
        <v>albatros_bush_r_last_pa_hv</v>
      </c>
      <c r="B33" s="13" t="str">
        <f ca="1">IFERROR(__xludf.DUMMYFUNCTION("""COMPUTED_VALUE"""),"Сопротивление изоляции последних слоев ввода ВН, фаза A")</f>
        <v>Сопротивление изоляции последних слоев ввода ВН, фаза A</v>
      </c>
      <c r="D33" s="13" t="str">
        <f ca="1">IFERROR(__xludf.DUMMYFUNCTION("""COMPUTED_VALUE"""),"квар")</f>
        <v>квар</v>
      </c>
      <c r="F33" s="49"/>
      <c r="H33" s="49"/>
    </row>
    <row r="34" spans="1:8" ht="15.75" customHeight="1" x14ac:dyDescent="0.25">
      <c r="A34" s="13" t="str">
        <f ca="1">IFERROR(__xludf.DUMMYFUNCTION("""COMPUTED_VALUE"""),"albatros_bush_r_last_pa_lv")</f>
        <v>albatros_bush_r_last_pa_lv</v>
      </c>
      <c r="B34" s="13" t="str">
        <f ca="1">IFERROR(__xludf.DUMMYFUNCTION("""COMPUTED_VALUE"""),"Сопротивление изоляции  последних слоев ввода НН, фаза A")</f>
        <v>Сопротивление изоляции  последних слоев ввода НН, фаза A</v>
      </c>
      <c r="D34" s="13" t="str">
        <f ca="1">IFERROR(__xludf.DUMMYFUNCTION("""COMPUTED_VALUE"""),"Мвар")</f>
        <v>Мвар</v>
      </c>
      <c r="F34" s="49"/>
      <c r="H34" s="49"/>
    </row>
    <row r="35" spans="1:8" ht="15.75" customHeight="1" x14ac:dyDescent="0.25">
      <c r="A35" s="13" t="str">
        <f ca="1">IFERROR(__xludf.DUMMYFUNCTION("""COMPUTED_VALUE"""),"albatros_bush_r_last_pb_hv")</f>
        <v>albatros_bush_r_last_pb_hv</v>
      </c>
      <c r="B35" s="13" t="str">
        <f ca="1">IFERROR(__xludf.DUMMYFUNCTION("""COMPUTED_VALUE"""),"Сопротивление изоляции  последних слоев ввода ВН, фаза B")</f>
        <v>Сопротивление изоляции  последних слоев ввода ВН, фаза B</v>
      </c>
      <c r="D35" s="13" t="str">
        <f ca="1">IFERROR(__xludf.DUMMYFUNCTION("""COMPUTED_VALUE"""),"Гвар")</f>
        <v>Гвар</v>
      </c>
      <c r="F35" s="49"/>
      <c r="H35" s="49"/>
    </row>
    <row r="36" spans="1:8" ht="15.75" customHeight="1" x14ac:dyDescent="0.25">
      <c r="A36" s="13" t="str">
        <f ca="1">IFERROR(__xludf.DUMMYFUNCTION("""COMPUTED_VALUE"""),"albatros_bush_r_last_pb_lv")</f>
        <v>albatros_bush_r_last_pb_lv</v>
      </c>
      <c r="B36" s="13" t="str">
        <f ca="1">IFERROR(__xludf.DUMMYFUNCTION("""COMPUTED_VALUE"""),"Сопротивление изоляции  последних слоев ввода НН, фаза B")</f>
        <v>Сопротивление изоляции  последних слоев ввода НН, фаза B</v>
      </c>
      <c r="D36" s="13" t="str">
        <f ca="1">IFERROR(__xludf.DUMMYFUNCTION("""COMPUTED_VALUE"""),"°C")</f>
        <v>°C</v>
      </c>
      <c r="F36" s="49"/>
      <c r="H36" s="49"/>
    </row>
    <row r="37" spans="1:8" ht="15.75" customHeight="1" x14ac:dyDescent="0.25">
      <c r="A37" s="13" t="str">
        <f ca="1">IFERROR(__xludf.DUMMYFUNCTION("""COMPUTED_VALUE"""),"albatros_bush_r_last_pc_hv")</f>
        <v>albatros_bush_r_last_pc_hv</v>
      </c>
      <c r="B37" s="13" t="str">
        <f ca="1">IFERROR(__xludf.DUMMYFUNCTION("""COMPUTED_VALUE"""),"Сопротивление изоляции  последних слоев ввода ВН, фаза C")</f>
        <v>Сопротивление изоляции  последних слоев ввода ВН, фаза C</v>
      </c>
      <c r="D37" s="13" t="str">
        <f ca="1">IFERROR(__xludf.DUMMYFUNCTION("""COMPUTED_VALUE"""),"К")</f>
        <v>К</v>
      </c>
      <c r="F37" s="49"/>
      <c r="H37" s="49"/>
    </row>
    <row r="38" spans="1:8" ht="15.75" customHeight="1" x14ac:dyDescent="0.25">
      <c r="A38" s="13" t="str">
        <f ca="1">IFERROR(__xludf.DUMMYFUNCTION("""COMPUTED_VALUE"""),"albatros_bush_r_last_pc_lv")</f>
        <v>albatros_bush_r_last_pc_lv</v>
      </c>
      <c r="B38" s="13" t="str">
        <f ca="1">IFERROR(__xludf.DUMMYFUNCTION("""COMPUTED_VALUE"""),"Сопротивление изоляции  последних слоев ввода НН, фаза C")</f>
        <v>Сопротивление изоляции  последних слоев ввода НН, фаза C</v>
      </c>
      <c r="D38" s="13" t="str">
        <f ca="1">IFERROR(__xludf.DUMMYFUNCTION("""COMPUTED_VALUE"""),"°F")</f>
        <v>°F</v>
      </c>
      <c r="F38" s="49"/>
      <c r="H38" s="49"/>
    </row>
    <row r="39" spans="1:8" ht="15.75" customHeight="1" x14ac:dyDescent="0.25">
      <c r="A39" s="13" t="str">
        <f ca="1">IFERROR(__xludf.DUMMYFUNCTION("""COMPUTED_VALUE"""),"albatros_bush_r_main_pa_hv")</f>
        <v>albatros_bush_r_main_pa_hv</v>
      </c>
      <c r="B39" s="13" t="str">
        <f ca="1">IFERROR(__xludf.DUMMYFUNCTION("""COMPUTED_VALUE"""),"Сопротивление изоляции C1 основной изоляции ввода ВН, фаза A")</f>
        <v>Сопротивление изоляции C1 основной изоляции ввода ВН, фаза A</v>
      </c>
      <c r="D39" s="13" t="str">
        <f ca="1">IFERROR(__xludf.DUMMYFUNCTION("""COMPUTED_VALUE"""),"пФ")</f>
        <v>пФ</v>
      </c>
      <c r="F39" s="49"/>
      <c r="H39" s="49"/>
    </row>
    <row r="40" spans="1:8" ht="15.75" customHeight="1" x14ac:dyDescent="0.25">
      <c r="A40" s="13" t="str">
        <f ca="1">IFERROR(__xludf.DUMMYFUNCTION("""COMPUTED_VALUE"""),"albatros_bush_r_main_pa_lv")</f>
        <v>albatros_bush_r_main_pa_lv</v>
      </c>
      <c r="B40" s="13" t="str">
        <f ca="1">IFERROR(__xludf.DUMMYFUNCTION("""COMPUTED_VALUE"""),"Сопротивление изоляции C1 основной изоляции ввода НН, фаза A")</f>
        <v>Сопротивление изоляции C1 основной изоляции ввода НН, фаза A</v>
      </c>
      <c r="D40" s="13" t="str">
        <f ca="1">IFERROR(__xludf.DUMMYFUNCTION("""COMPUTED_VALUE"""),"нФ")</f>
        <v>нФ</v>
      </c>
      <c r="F40" s="49"/>
      <c r="H40" s="49"/>
    </row>
    <row r="41" spans="1:8" ht="15.75" customHeight="1" x14ac:dyDescent="0.25">
      <c r="A41" s="13" t="str">
        <f ca="1">IFERROR(__xludf.DUMMYFUNCTION("""COMPUTED_VALUE"""),"albatros_bush_r_main_pb_hv")</f>
        <v>albatros_bush_r_main_pb_hv</v>
      </c>
      <c r="B41" s="13" t="str">
        <f ca="1">IFERROR(__xludf.DUMMYFUNCTION("""COMPUTED_VALUE"""),"Сопротивление изоляции C1 основной изоляции ввода ВН, фаза B")</f>
        <v>Сопротивление изоляции C1 основной изоляции ввода ВН, фаза B</v>
      </c>
      <c r="D41" s="13" t="str">
        <f ca="1">IFERROR(__xludf.DUMMYFUNCTION("""COMPUTED_VALUE"""),"мкФ")</f>
        <v>мкФ</v>
      </c>
      <c r="F41" s="49"/>
      <c r="H41" s="49"/>
    </row>
    <row r="42" spans="1:8" ht="15.75" customHeight="1" x14ac:dyDescent="0.25">
      <c r="A42" s="13" t="str">
        <f ca="1">IFERROR(__xludf.DUMMYFUNCTION("""COMPUTED_VALUE"""),"albatros_bush_r_main_pb_lv")</f>
        <v>albatros_bush_r_main_pb_lv</v>
      </c>
      <c r="B42" s="13" t="str">
        <f ca="1">IFERROR(__xludf.DUMMYFUNCTION("""COMPUTED_VALUE"""),"Сопротивление изоляции C1 основной изоляции ввода НН, фаза B")</f>
        <v>Сопротивление изоляции C1 основной изоляции ввода НН, фаза B</v>
      </c>
      <c r="D42" s="13" t="str">
        <f ca="1">IFERROR(__xludf.DUMMYFUNCTION("""COMPUTED_VALUE"""),"мФ")</f>
        <v>мФ</v>
      </c>
      <c r="F42" s="49"/>
      <c r="H42" s="49"/>
    </row>
    <row r="43" spans="1:8" ht="15.75" customHeight="1" x14ac:dyDescent="0.25">
      <c r="A43" s="13" t="str">
        <f ca="1">IFERROR(__xludf.DUMMYFUNCTION("""COMPUTED_VALUE"""),"albatros_bush_r_main_pc_hv")</f>
        <v>albatros_bush_r_main_pc_hv</v>
      </c>
      <c r="B43" s="13" t="str">
        <f ca="1">IFERROR(__xludf.DUMMYFUNCTION("""COMPUTED_VALUE"""),"Сопротивление изоляции C1 основной изоляции ввода ВН, фаза C")</f>
        <v>Сопротивление изоляции C1 основной изоляции ввода ВН, фаза C</v>
      </c>
      <c r="D43" s="13" t="str">
        <f ca="1">IFERROR(__xludf.DUMMYFUNCTION("""COMPUTED_VALUE"""),"Ф")</f>
        <v>Ф</v>
      </c>
      <c r="F43" s="49"/>
      <c r="H43" s="49"/>
    </row>
    <row r="44" spans="1:8" ht="15.75" customHeight="1" x14ac:dyDescent="0.25">
      <c r="A44" s="13" t="str">
        <f ca="1">IFERROR(__xludf.DUMMYFUNCTION("""COMPUTED_VALUE"""),"albatros_bush_r_main_pc_lv")</f>
        <v>albatros_bush_r_main_pc_lv</v>
      </c>
      <c r="B44" s="13" t="str">
        <f ca="1">IFERROR(__xludf.DUMMYFUNCTION("""COMPUTED_VALUE"""),"Сопротивление изоляции C1 основной изоляции ввода НН, фаза C")</f>
        <v>Сопротивление изоляции C1 основной изоляции ввода НН, фаза C</v>
      </c>
      <c r="D44" s="13" t="str">
        <f ca="1">IFERROR(__xludf.DUMMYFUNCTION("""COMPUTED_VALUE"""),"мм/с")</f>
        <v>мм/с</v>
      </c>
      <c r="F44" s="49"/>
      <c r="H44" s="49"/>
    </row>
    <row r="45" spans="1:8" ht="15.75" customHeight="1" x14ac:dyDescent="0.25">
      <c r="A45" s="13" t="str">
        <f ca="1">IFERROR(__xludf.DUMMYFUNCTION("""COMPUTED_VALUE"""),"albatros_bush_r15_pa_hv")</f>
        <v>albatros_bush_r15_pa_hv</v>
      </c>
      <c r="B45" s="13" t="str">
        <f ca="1">IFERROR(__xludf.DUMMYFUNCTION("""COMPUTED_VALUE"""),"Сопротивление изоляции R15 обмотки  ВН, фаза A")</f>
        <v>Сопротивление изоляции R15 обмотки  ВН, фаза A</v>
      </c>
      <c r="D45" s="13" t="str">
        <f ca="1">IFERROR(__xludf.DUMMYFUNCTION("""COMPUTED_VALUE"""),"см/с")</f>
        <v>см/с</v>
      </c>
      <c r="F45" s="49"/>
      <c r="H45" s="49"/>
    </row>
    <row r="46" spans="1:8" ht="15.75" customHeight="1" x14ac:dyDescent="0.25">
      <c r="A46" s="13" t="str">
        <f ca="1">IFERROR(__xludf.DUMMYFUNCTION("""COMPUTED_VALUE"""),"albatros_bush_r15_pa_lv")</f>
        <v>albatros_bush_r15_pa_lv</v>
      </c>
      <c r="B46" s="13" t="str">
        <f ca="1">IFERROR(__xludf.DUMMYFUNCTION("""COMPUTED_VALUE"""),"Сопротивление изоляции R15 обмотки  НН, фаза A")</f>
        <v>Сопротивление изоляции R15 обмотки  НН, фаза A</v>
      </c>
      <c r="D46" s="13" t="str">
        <f ca="1">IFERROR(__xludf.DUMMYFUNCTION("""COMPUTED_VALUE"""),"м/с")</f>
        <v>м/с</v>
      </c>
      <c r="F46" s="49"/>
      <c r="H46" s="49"/>
    </row>
    <row r="47" spans="1:8" ht="15.75" customHeight="1" x14ac:dyDescent="0.25">
      <c r="A47" s="13" t="str">
        <f ca="1">IFERROR(__xludf.DUMMYFUNCTION("""COMPUTED_VALUE"""),"albatros_bush_r15_pb_hv")</f>
        <v>albatros_bush_r15_pb_hv</v>
      </c>
      <c r="B47" s="13" t="str">
        <f ca="1">IFERROR(__xludf.DUMMYFUNCTION("""COMPUTED_VALUE"""),"Сопротивление изоляции R15 обмотки  ВН, фаза B")</f>
        <v>Сопротивление изоляции R15 обмотки  ВН, фаза B</v>
      </c>
      <c r="D47" s="13" t="str">
        <f ca="1">IFERROR(__xludf.DUMMYFUNCTION("""COMPUTED_VALUE"""),"мм/с2")</f>
        <v>мм/с2</v>
      </c>
      <c r="F47" s="49"/>
      <c r="H47" s="49"/>
    </row>
    <row r="48" spans="1:8" ht="15.75" customHeight="1" x14ac:dyDescent="0.25">
      <c r="A48" s="13" t="str">
        <f ca="1">IFERROR(__xludf.DUMMYFUNCTION("""COMPUTED_VALUE"""),"albatros_bush_r15_pb_lv")</f>
        <v>albatros_bush_r15_pb_lv</v>
      </c>
      <c r="B48" s="13" t="str">
        <f ca="1">IFERROR(__xludf.DUMMYFUNCTION("""COMPUTED_VALUE"""),"Сопротивление изоляции R15 обмотки  НН, фаза B")</f>
        <v>Сопротивление изоляции R15 обмотки  НН, фаза B</v>
      </c>
      <c r="D48" s="13" t="str">
        <f ca="1">IFERROR(__xludf.DUMMYFUNCTION("""COMPUTED_VALUE"""),"см/с2")</f>
        <v>см/с2</v>
      </c>
      <c r="F48" s="49"/>
      <c r="H48" s="49"/>
    </row>
    <row r="49" spans="1:8" ht="15.75" customHeight="1" x14ac:dyDescent="0.25">
      <c r="A49" s="13" t="str">
        <f ca="1">IFERROR(__xludf.DUMMYFUNCTION("""COMPUTED_VALUE"""),"albatros_bush_r15_pc_hv")</f>
        <v>albatros_bush_r15_pc_hv</v>
      </c>
      <c r="B49" s="13" t="str">
        <f ca="1">IFERROR(__xludf.DUMMYFUNCTION("""COMPUTED_VALUE"""),"Сопротивление изоляции R15 обмотки  ВН, фаза C")</f>
        <v>Сопротивление изоляции R15 обмотки  ВН, фаза C</v>
      </c>
      <c r="D49" s="13" t="str">
        <f ca="1">IFERROR(__xludf.DUMMYFUNCTION("""COMPUTED_VALUE"""),"м/с2")</f>
        <v>м/с2</v>
      </c>
      <c r="F49" s="49"/>
      <c r="H49" s="49"/>
    </row>
    <row r="50" spans="1:8" ht="15.75" customHeight="1" x14ac:dyDescent="0.25">
      <c r="A50" s="13" t="str">
        <f ca="1">IFERROR(__xludf.DUMMYFUNCTION("""COMPUTED_VALUE"""),"albatros_bush_r15_pc_lv")</f>
        <v>albatros_bush_r15_pc_lv</v>
      </c>
      <c r="B50" s="13" t="str">
        <f ca="1">IFERROR(__xludf.DUMMYFUNCTION("""COMPUTED_VALUE"""),"Сопротивление изоляции R15 обмотки  НН, фаза C")</f>
        <v>Сопротивление изоляции R15 обмотки  НН, фаза C</v>
      </c>
      <c r="D50" s="13" t="str">
        <f ca="1">IFERROR(__xludf.DUMMYFUNCTION("""COMPUTED_VALUE"""),"мм")</f>
        <v>мм</v>
      </c>
      <c r="F50" s="49"/>
      <c r="H50" s="49"/>
    </row>
    <row r="51" spans="1:8" ht="15.75" customHeight="1" x14ac:dyDescent="0.25">
      <c r="A51" s="13" t="str">
        <f ca="1">IFERROR(__xludf.DUMMYFUNCTION("""COMPUTED_VALUE"""),"albatros_bush_r60_pa_hv")</f>
        <v>albatros_bush_r60_pa_hv</v>
      </c>
      <c r="B51" s="13" t="str">
        <f ca="1">IFERROR(__xludf.DUMMYFUNCTION("""COMPUTED_VALUE"""),"Сопротивление изоляции R60 обмотки  ВН, фаза A")</f>
        <v>Сопротивление изоляции R60 обмотки  ВН, фаза A</v>
      </c>
      <c r="D51" s="13" t="str">
        <f ca="1">IFERROR(__xludf.DUMMYFUNCTION("""COMPUTED_VALUE"""),"см")</f>
        <v>см</v>
      </c>
      <c r="F51" s="49"/>
      <c r="H51" s="49"/>
    </row>
    <row r="52" spans="1:8" ht="15.75" customHeight="1" x14ac:dyDescent="0.25">
      <c r="A52" s="13" t="str">
        <f ca="1">IFERROR(__xludf.DUMMYFUNCTION("""COMPUTED_VALUE"""),"albatros_bush_r60_pa_lv")</f>
        <v>albatros_bush_r60_pa_lv</v>
      </c>
      <c r="B52" s="13" t="str">
        <f ca="1">IFERROR(__xludf.DUMMYFUNCTION("""COMPUTED_VALUE"""),"Сопротивление изоляции R60 обмотки  НН, фаза A")</f>
        <v>Сопротивление изоляции R60 обмотки  НН, фаза A</v>
      </c>
      <c r="D52" s="13" t="str">
        <f ca="1">IFERROR(__xludf.DUMMYFUNCTION("""COMPUTED_VALUE"""),"м")</f>
        <v>м</v>
      </c>
      <c r="F52" s="49"/>
      <c r="H52" s="49"/>
    </row>
    <row r="53" spans="1:8" ht="15.75" customHeight="1" x14ac:dyDescent="0.25">
      <c r="A53" s="13" t="str">
        <f ca="1">IFERROR(__xludf.DUMMYFUNCTION("""COMPUTED_VALUE"""),"albatros_bush_r60_pb_hv")</f>
        <v>albatros_bush_r60_pb_hv</v>
      </c>
      <c r="B53" s="13" t="str">
        <f ca="1">IFERROR(__xludf.DUMMYFUNCTION("""COMPUTED_VALUE"""),"Сопротивление изоляции R60 обмотки  ВН, фаза B")</f>
        <v>Сопротивление изоляции R60 обмотки  ВН, фаза B</v>
      </c>
      <c r="D53" s="13" t="str">
        <f ca="1">IFERROR(__xludf.DUMMYFUNCTION("""COMPUTED_VALUE"""),"км")</f>
        <v>км</v>
      </c>
      <c r="F53" s="49"/>
      <c r="H53" s="49"/>
    </row>
    <row r="54" spans="1:8" ht="15.75" customHeight="1" x14ac:dyDescent="0.25">
      <c r="A54" s="13" t="str">
        <f ca="1">IFERROR(__xludf.DUMMYFUNCTION("""COMPUTED_VALUE"""),"albatros_bush_r60_pb_lv")</f>
        <v>albatros_bush_r60_pb_lv</v>
      </c>
      <c r="B54" s="13" t="str">
        <f ca="1">IFERROR(__xludf.DUMMYFUNCTION("""COMPUTED_VALUE"""),"Сопротивление изоляции R60 обмотки  НН, фаза B")</f>
        <v>Сопротивление изоляции R60 обмотки  НН, фаза B</v>
      </c>
      <c r="D54" s="13" t="str">
        <f ca="1">IFERROR(__xludf.DUMMYFUNCTION("""COMPUTED_VALUE"""),"мг KOH/г")</f>
        <v>мг KOH/г</v>
      </c>
      <c r="F54" s="49"/>
      <c r="H54" s="49"/>
    </row>
    <row r="55" spans="1:8" ht="15.75" customHeight="1" x14ac:dyDescent="0.25">
      <c r="A55" s="13" t="str">
        <f ca="1">IFERROR(__xludf.DUMMYFUNCTION("""COMPUTED_VALUE"""),"albatros_bush_r60_pc_hv")</f>
        <v>albatros_bush_r60_pc_hv</v>
      </c>
      <c r="B55" s="13" t="str">
        <f ca="1">IFERROR(__xludf.DUMMYFUNCTION("""COMPUTED_VALUE"""),"Сопротивление изоляции R60 обмотки  ВН, фаза C")</f>
        <v>Сопротивление изоляции R60 обмотки  ВН, фаза C</v>
      </c>
      <c r="D55" s="13" t="str">
        <f ca="1">IFERROR(__xludf.DUMMYFUNCTION("""COMPUTED_VALUE"""),"г/т")</f>
        <v>г/т</v>
      </c>
      <c r="F55" s="49"/>
      <c r="H55" s="49"/>
    </row>
    <row r="56" spans="1:8" ht="15.75" customHeight="1" x14ac:dyDescent="0.25">
      <c r="A56" s="13" t="str">
        <f ca="1">IFERROR(__xludf.DUMMYFUNCTION("""COMPUTED_VALUE"""),"albatros_bush_r60_pc_lv")</f>
        <v>albatros_bush_r60_pc_lv</v>
      </c>
      <c r="B56" s="13" t="str">
        <f ca="1">IFERROR(__xludf.DUMMYFUNCTION("""COMPUTED_VALUE"""),"Сопротивление изоляции R60 обмотки  НН, фаза C")</f>
        <v>Сопротивление изоляции R60 обмотки  НН, фаза C</v>
      </c>
      <c r="D56" s="13" t="str">
        <f ca="1">IFERROR(__xludf.DUMMYFUNCTION("""COMPUTED_VALUE"""),"мл")</f>
        <v>мл</v>
      </c>
      <c r="F56" s="49"/>
      <c r="H56" s="49"/>
    </row>
    <row r="57" spans="1:8" ht="15.75" customHeight="1" x14ac:dyDescent="0.25">
      <c r="A57" s="13" t="str">
        <f ca="1">IFERROR(__xludf.DUMMYFUNCTION("""COMPUTED_VALUE"""),"albatros_bush_tgd_last_pa_hv")</f>
        <v>albatros_bush_tgd_last_pa_hv</v>
      </c>
      <c r="B57" s="13" t="str">
        <f ca="1">IFERROR(__xludf.DUMMYFUNCTION("""COMPUTED_VALUE"""),"Тангенс угла диэлектрических потель последних слоев изоляции ввода ВН, фаза A")</f>
        <v>Тангенс угла диэлектрических потель последних слоев изоляции ввода ВН, фаза A</v>
      </c>
      <c r="D57" s="13" t="str">
        <f ca="1">IFERROR(__xludf.DUMMYFUNCTION("""COMPUTED_VALUE"""),"л")</f>
        <v>л</v>
      </c>
      <c r="F57" s="49"/>
      <c r="H57" s="49"/>
    </row>
    <row r="58" spans="1:8" ht="15.75" customHeight="1" x14ac:dyDescent="0.25">
      <c r="A58" s="13" t="str">
        <f ca="1">IFERROR(__xludf.DUMMYFUNCTION("""COMPUTED_VALUE"""),"albatros_bush_tgd_last_pa_lv")</f>
        <v>albatros_bush_tgd_last_pa_lv</v>
      </c>
      <c r="B58" s="13" t="str">
        <f ca="1">IFERROR(__xludf.DUMMYFUNCTION("""COMPUTED_VALUE"""),"Тангенс угла диэлектрических потель  последних слоев изоляции ввода НН, фаза A")</f>
        <v>Тангенс угла диэлектрических потель  последних слоев изоляции ввода НН, фаза A</v>
      </c>
      <c r="D58" s="13" t="str">
        <f ca="1">IFERROR(__xludf.DUMMYFUNCTION("""COMPUTED_VALUE"""),"мм2")</f>
        <v>мм2</v>
      </c>
      <c r="F58" s="49"/>
      <c r="H58" s="49"/>
    </row>
    <row r="59" spans="1:8" ht="15.75" customHeight="1" x14ac:dyDescent="0.25">
      <c r="A59" s="13" t="str">
        <f ca="1">IFERROR(__xludf.DUMMYFUNCTION("""COMPUTED_VALUE"""),"albatros_bush_tgd_last_pb_hv")</f>
        <v>albatros_bush_tgd_last_pb_hv</v>
      </c>
      <c r="B59" s="13" t="str">
        <f ca="1">IFERROR(__xludf.DUMMYFUNCTION("""COMPUTED_VALUE"""),"Тангенс угла диэлектрических потель  последних слоев изоляции ввода ВН, фаза B")</f>
        <v>Тангенс угла диэлектрических потель  последних слоев изоляции ввода ВН, фаза B</v>
      </c>
      <c r="D59" s="13" t="str">
        <f ca="1">IFERROR(__xludf.DUMMYFUNCTION("""COMPUTED_VALUE"""),"см2")</f>
        <v>см2</v>
      </c>
      <c r="F59" s="49"/>
      <c r="H59" s="49"/>
    </row>
    <row r="60" spans="1:8" ht="15.75" customHeight="1" x14ac:dyDescent="0.25">
      <c r="A60" s="13" t="str">
        <f ca="1">IFERROR(__xludf.DUMMYFUNCTION("""COMPUTED_VALUE"""),"albatros_bush_tgd_last_pb_lv")</f>
        <v>albatros_bush_tgd_last_pb_lv</v>
      </c>
      <c r="B60" s="13" t="str">
        <f ca="1">IFERROR(__xludf.DUMMYFUNCTION("""COMPUTED_VALUE"""),"Тангенс угла диэлектрических потель  последних слоев изоляции ввода НН, фаза B")</f>
        <v>Тангенс угла диэлектрических потель  последних слоев изоляции ввода НН, фаза B</v>
      </c>
      <c r="D60" s="13" t="str">
        <f ca="1">IFERROR(__xludf.DUMMYFUNCTION("""COMPUTED_VALUE"""),"м2")</f>
        <v>м2</v>
      </c>
      <c r="F60" s="49"/>
      <c r="H60" s="49"/>
    </row>
    <row r="61" spans="1:8" ht="15.75" customHeight="1" x14ac:dyDescent="0.25">
      <c r="A61" s="13" t="str">
        <f ca="1">IFERROR(__xludf.DUMMYFUNCTION("""COMPUTED_VALUE"""),"albatros_bush_tgd_last_pc_hv")</f>
        <v>albatros_bush_tgd_last_pc_hv</v>
      </c>
      <c r="B61" s="13" t="str">
        <f ca="1">IFERROR(__xludf.DUMMYFUNCTION("""COMPUTED_VALUE"""),"Тангенс угла диэлектрических потель  последних слоев изоляции ввода ВН, фаза C")</f>
        <v>Тангенс угла диэлектрических потель  последних слоев изоляции ввода ВН, фаза C</v>
      </c>
      <c r="D61" s="13" t="str">
        <f ca="1">IFERROR(__xludf.DUMMYFUNCTION("""COMPUTED_VALUE"""),"мм3")</f>
        <v>мм3</v>
      </c>
      <c r="F61" s="49"/>
      <c r="H61" s="49"/>
    </row>
    <row r="62" spans="1:8" ht="15.75" customHeight="1" x14ac:dyDescent="0.25">
      <c r="A62" s="13" t="str">
        <f ca="1">IFERROR(__xludf.DUMMYFUNCTION("""COMPUTED_VALUE"""),"albatros_bush_tgd_last_pc_lv")</f>
        <v>albatros_bush_tgd_last_pc_lv</v>
      </c>
      <c r="B62" s="13" t="str">
        <f ca="1">IFERROR(__xludf.DUMMYFUNCTION("""COMPUTED_VALUE"""),"Тангенс угла диэлектрических потель  последних слоев изоляции ввода НН, фаза C")</f>
        <v>Тангенс угла диэлектрических потель  последних слоев изоляции ввода НН, фаза C</v>
      </c>
      <c r="D62" s="13" t="str">
        <f ca="1">IFERROR(__xludf.DUMMYFUNCTION("""COMPUTED_VALUE"""),"см3")</f>
        <v>см3</v>
      </c>
      <c r="F62" s="49"/>
      <c r="H62" s="49"/>
    </row>
    <row r="63" spans="1:8" ht="15.75" customHeight="1" x14ac:dyDescent="0.25">
      <c r="A63" s="13" t="str">
        <f ca="1">IFERROR(__xludf.DUMMYFUNCTION("""COMPUTED_VALUE"""),"albatros_bush_tgd_main_pa_hv")</f>
        <v>albatros_bush_tgd_main_pa_hv</v>
      </c>
      <c r="B63" s="13" t="str">
        <f ca="1">IFERROR(__xludf.DUMMYFUNCTION("""COMPUTED_VALUE"""),"Тангенс угла диэлектрических потерь основной изоляции ввода ВН, фаза A")</f>
        <v>Тангенс угла диэлектрических потерь основной изоляции ввода ВН, фаза A</v>
      </c>
      <c r="D63" s="13" t="str">
        <f ca="1">IFERROR(__xludf.DUMMYFUNCTION("""COMPUTED_VALUE"""),"м3")</f>
        <v>м3</v>
      </c>
      <c r="F63" s="49"/>
      <c r="H63" s="49"/>
    </row>
    <row r="64" spans="1:8" ht="15.75" customHeight="1" x14ac:dyDescent="0.25">
      <c r="A64" s="13" t="str">
        <f ca="1">IFERROR(__xludf.DUMMYFUNCTION("""COMPUTED_VALUE"""),"albatros_bush_tgd_main_pa_lv")</f>
        <v>albatros_bush_tgd_main_pa_lv</v>
      </c>
      <c r="B64" s="13" t="str">
        <f ca="1">IFERROR(__xludf.DUMMYFUNCTION("""COMPUTED_VALUE"""),"Тангенс угла диэлектрических потерь основной изоляции ввода НН, фаза A")</f>
        <v>Тангенс угла диэлектрических потерь основной изоляции ввода НН, фаза A</v>
      </c>
      <c r="D64" s="13" t="str">
        <f ca="1">IFERROR(__xludf.DUMMYFUNCTION("""COMPUTED_VALUE"""),"нс")</f>
        <v>нс</v>
      </c>
      <c r="F64" s="49"/>
      <c r="H64" s="49"/>
    </row>
    <row r="65" spans="1:8" ht="15.75" customHeight="1" x14ac:dyDescent="0.25">
      <c r="A65" s="13" t="str">
        <f ca="1">IFERROR(__xludf.DUMMYFUNCTION("""COMPUTED_VALUE"""),"albatros_bush_tgd_main_pb_hv")</f>
        <v>albatros_bush_tgd_main_pb_hv</v>
      </c>
      <c r="B65" s="13" t="str">
        <f ca="1">IFERROR(__xludf.DUMMYFUNCTION("""COMPUTED_VALUE"""),"Тангенс угла диэлектрических потерь основной изоляции ввода ВН, фаза B")</f>
        <v>Тангенс угла диэлектрических потерь основной изоляции ввода ВН, фаза B</v>
      </c>
      <c r="D65" s="13" t="str">
        <f ca="1">IFERROR(__xludf.DUMMYFUNCTION("""COMPUTED_VALUE"""),"мкс")</f>
        <v>мкс</v>
      </c>
      <c r="F65" s="49"/>
      <c r="H65" s="49"/>
    </row>
    <row r="66" spans="1:8" ht="15.75" customHeight="1" x14ac:dyDescent="0.25">
      <c r="A66" s="13" t="str">
        <f ca="1">IFERROR(__xludf.DUMMYFUNCTION("""COMPUTED_VALUE"""),"albatros_bush_tgd_main_pb_lv")</f>
        <v>albatros_bush_tgd_main_pb_lv</v>
      </c>
      <c r="B66" s="13" t="str">
        <f ca="1">IFERROR(__xludf.DUMMYFUNCTION("""COMPUTED_VALUE"""),"Тангенс угла диэлектрических потерь основной изоляции ввода НН, фаза B")</f>
        <v>Тангенс угла диэлектрических потерь основной изоляции ввода НН, фаза B</v>
      </c>
      <c r="D66" s="13" t="str">
        <f ca="1">IFERROR(__xludf.DUMMYFUNCTION("""COMPUTED_VALUE"""),"мс")</f>
        <v>мс</v>
      </c>
      <c r="F66" s="49"/>
      <c r="H66" s="49"/>
    </row>
    <row r="67" spans="1:8" ht="15.75" customHeight="1" x14ac:dyDescent="0.25">
      <c r="A67" s="13" t="str">
        <f ca="1">IFERROR(__xludf.DUMMYFUNCTION("""COMPUTED_VALUE"""),"albatros_bush_tgd_main_pc_hv")</f>
        <v>albatros_bush_tgd_main_pc_hv</v>
      </c>
      <c r="B67" s="13" t="str">
        <f ca="1">IFERROR(__xludf.DUMMYFUNCTION("""COMPUTED_VALUE"""),"Тангенс угла диэлектрических потерь основной изоляции ввода ВН, фаза C")</f>
        <v>Тангенс угла диэлектрических потерь основной изоляции ввода ВН, фаза C</v>
      </c>
      <c r="D67" s="13" t="str">
        <f ca="1">IFERROR(__xludf.DUMMYFUNCTION("""COMPUTED_VALUE"""),"с")</f>
        <v>с</v>
      </c>
      <c r="F67" s="49"/>
      <c r="H67" s="49"/>
    </row>
    <row r="68" spans="1:8" ht="15.75" customHeight="1" x14ac:dyDescent="0.25">
      <c r="A68" s="13" t="str">
        <f ca="1">IFERROR(__xludf.DUMMYFUNCTION("""COMPUTED_VALUE"""),"albatros_bush_tgd_main_pc_lv")</f>
        <v>albatros_bush_tgd_main_pc_lv</v>
      </c>
      <c r="B68" s="13" t="str">
        <f ca="1">IFERROR(__xludf.DUMMYFUNCTION("""COMPUTED_VALUE"""),"Тангенс угла диэлектрических потерь основной изоляции ввода НН, фаза C")</f>
        <v>Тангенс угла диэлектрических потерь основной изоляции ввода НН, фаза C</v>
      </c>
      <c r="D68" s="13" t="str">
        <f ca="1">IFERROR(__xludf.DUMMYFUNCTION("""COMPUTED_VALUE"""),"мин")</f>
        <v>мин</v>
      </c>
      <c r="F68" s="49"/>
      <c r="H68" s="49"/>
    </row>
    <row r="69" spans="1:8" ht="15.75" customHeight="1" x14ac:dyDescent="0.25">
      <c r="A69" s="13" t="str">
        <f ca="1">IFERROR(__xludf.DUMMYFUNCTION("""COMPUTED_VALUE"""),"albatros_c_tg")</f>
        <v>albatros_c_tg</v>
      </c>
      <c r="B69" s="13" t="str">
        <f ca="1">IFERROR(__xludf.DUMMYFUNCTION("""COMPUTED_VALUE"""),"Общее газосодержание масла")</f>
        <v>Общее газосодержание масла</v>
      </c>
      <c r="D69" s="13" t="str">
        <f ca="1">IFERROR(__xludf.DUMMYFUNCTION("""COMPUTED_VALUE"""),"час")</f>
        <v>час</v>
      </c>
      <c r="F69" s="49"/>
      <c r="H69" s="49"/>
    </row>
    <row r="70" spans="1:8" ht="15.75" customHeight="1" x14ac:dyDescent="0.25">
      <c r="A70" s="13" t="str">
        <f ca="1">IFERROR(__xludf.DUMMYFUNCTION("""COMPUTED_VALUE"""),"albatros_coeff_absorption_pa_hv")</f>
        <v>albatros_coeff_absorption_pa_hv</v>
      </c>
      <c r="B70" s="13" t="str">
        <f ca="1">IFERROR(__xludf.DUMMYFUNCTION("""COMPUTED_VALUE"""),"Коэффициент абсорбции обмотки  ВН, фаза A")</f>
        <v>Коэффициент абсорбции обмотки  ВН, фаза A</v>
      </c>
      <c r="D70" s="13" t="str">
        <f ca="1">IFERROR(__xludf.DUMMYFUNCTION("""COMPUTED_VALUE"""),"сут")</f>
        <v>сут</v>
      </c>
      <c r="F70" s="49"/>
      <c r="H70" s="49"/>
    </row>
    <row r="71" spans="1:8" ht="15.75" customHeight="1" x14ac:dyDescent="0.25">
      <c r="A71" s="13" t="str">
        <f ca="1">IFERROR(__xludf.DUMMYFUNCTION("""COMPUTED_VALUE"""),"albatros_coeff_absorption_pa_lv")</f>
        <v>albatros_coeff_absorption_pa_lv</v>
      </c>
      <c r="B71" s="13" t="str">
        <f ca="1">IFERROR(__xludf.DUMMYFUNCTION("""COMPUTED_VALUE"""),"Коэффициент абсорбции обмотки  НН, фаза A")</f>
        <v>Коэффициент абсорбции обмотки  НН, фаза A</v>
      </c>
      <c r="D71" s="13" t="str">
        <f ca="1">IFERROR(__xludf.DUMMYFUNCTION("""COMPUTED_VALUE"""),"мес")</f>
        <v>мес</v>
      </c>
      <c r="F71" s="49"/>
      <c r="H71" s="49"/>
    </row>
    <row r="72" spans="1:8" ht="15.75" customHeight="1" x14ac:dyDescent="0.25">
      <c r="A72" s="13" t="str">
        <f ca="1">IFERROR(__xludf.DUMMYFUNCTION("""COMPUTED_VALUE"""),"albatros_coeff_absorption_pb_hv")</f>
        <v>albatros_coeff_absorption_pb_hv</v>
      </c>
      <c r="B72" s="13" t="str">
        <f ca="1">IFERROR(__xludf.DUMMYFUNCTION("""COMPUTED_VALUE"""),"Коэффициент абсорбции обмотки  ВН, фаза B")</f>
        <v>Коэффициент абсорбции обмотки  ВН, фаза B</v>
      </c>
      <c r="D72" s="13" t="str">
        <f ca="1">IFERROR(__xludf.DUMMYFUNCTION("""COMPUTED_VALUE"""),"год")</f>
        <v>год</v>
      </c>
      <c r="F72" s="49"/>
      <c r="H72" s="49"/>
    </row>
    <row r="73" spans="1:8" ht="15.75" customHeight="1" x14ac:dyDescent="0.25">
      <c r="A73" s="13" t="str">
        <f ca="1">IFERROR(__xludf.DUMMYFUNCTION("""COMPUTED_VALUE"""),"albatros_coeff_absorption_pb_lv")</f>
        <v>albatros_coeff_absorption_pb_lv</v>
      </c>
      <c r="B73" s="13" t="str">
        <f ca="1">IFERROR(__xludf.DUMMYFUNCTION("""COMPUTED_VALUE"""),"Коэффициент абсорбции обмотки  НН, фаза B")</f>
        <v>Коэффициент абсорбции обмотки  НН, фаза B</v>
      </c>
      <c r="D73" s="13" t="str">
        <f ca="1">IFERROR(__xludf.DUMMYFUNCTION("""COMPUTED_VALUE"""),"об/мин")</f>
        <v>об/мин</v>
      </c>
      <c r="F73" s="49"/>
      <c r="H73" s="49"/>
    </row>
    <row r="74" spans="1:8" ht="15.75" customHeight="1" x14ac:dyDescent="0.25">
      <c r="A74" s="13" t="str">
        <f ca="1">IFERROR(__xludf.DUMMYFUNCTION("""COMPUTED_VALUE"""),"albatros_coeff_absorption_pc_hv")</f>
        <v>albatros_coeff_absorption_pc_hv</v>
      </c>
      <c r="B74" s="13" t="str">
        <f ca="1">IFERROR(__xludf.DUMMYFUNCTION("""COMPUTED_VALUE"""),"Коэффициент абсорбции обмотки  ВН, фаза C")</f>
        <v>Коэффициент абсорбции обмотки  ВН, фаза C</v>
      </c>
      <c r="D74" s="13" t="str">
        <f ca="1">IFERROR(__xludf.DUMMYFUNCTION("""COMPUTED_VALUE"""),"об/сек")</f>
        <v>об/сек</v>
      </c>
      <c r="F74" s="49"/>
      <c r="H74" s="49"/>
    </row>
    <row r="75" spans="1:8" ht="15.75" customHeight="1" x14ac:dyDescent="0.25">
      <c r="A75" s="13" t="str">
        <f ca="1">IFERROR(__xludf.DUMMYFUNCTION("""COMPUTED_VALUE"""),"albatros_coeff_absorption_pc_lv")</f>
        <v>albatros_coeff_absorption_pc_lv</v>
      </c>
      <c r="B75" s="13" t="str">
        <f ca="1">IFERROR(__xludf.DUMMYFUNCTION("""COMPUTED_VALUE"""),"Коэффициент абсорбции обмотки  НН, фаза C")</f>
        <v>Коэффициент абсорбции обмотки  НН, фаза C</v>
      </c>
      <c r="D75" s="13" t="str">
        <f ca="1">IFERROR(__xludf.DUMMYFUNCTION("""COMPUTED_VALUE"""),"ppm/сут")</f>
        <v>ppm/сут</v>
      </c>
      <c r="F75" s="49"/>
      <c r="H75" s="49"/>
    </row>
    <row r="76" spans="1:8" ht="15.75" customHeight="1" x14ac:dyDescent="0.25">
      <c r="A76" s="13" t="str">
        <f ca="1">IFERROR(__xludf.DUMMYFUNCTION("""COMPUTED_VALUE"""),"albatros_d10")</f>
        <v>albatros_d10</v>
      </c>
      <c r="B76" s="13" t="str">
        <f ca="1">IFERROR(__xludf.DUMMYFUNCTION("""COMPUTED_VALUE"""),"Текущий диагноз по соотношению пар газов")</f>
        <v>Текущий диагноз по соотношению пар газов</v>
      </c>
      <c r="D76" s="13" t="str">
        <f ca="1">IFERROR(__xludf.DUMMYFUNCTION("""COMPUTED_VALUE"""),"ppm/мес")</f>
        <v>ppm/мес</v>
      </c>
      <c r="F76" s="49"/>
      <c r="H76" s="49"/>
    </row>
    <row r="77" spans="1:8" ht="15.75" customHeight="1" x14ac:dyDescent="0.25">
      <c r="A77" s="13" t="str">
        <f ca="1">IFERROR(__xludf.DUMMYFUNCTION("""COMPUTED_VALUE"""),"albatros_d12")</f>
        <v>albatros_d12</v>
      </c>
      <c r="B77" s="13" t="str">
        <f ca="1">IFERROR(__xludf.DUMMYFUNCTION("""COMPUTED_VALUE"""),"Текущий диагноз по методу Давиденко-Овчинникова")</f>
        <v>Текущий диагноз по методу Давиденко-Овчинникова</v>
      </c>
      <c r="D77" s="13" t="str">
        <f ca="1">IFERROR(__xludf.DUMMYFUNCTION("""COMPUTED_VALUE"""),"ppm/нед")</f>
        <v>ppm/нед</v>
      </c>
      <c r="F77" s="49"/>
      <c r="H77" s="49"/>
    </row>
    <row r="78" spans="1:8" ht="15.75" customHeight="1" x14ac:dyDescent="0.25">
      <c r="A78" s="13" t="str">
        <f ca="1">IFERROR(__xludf.DUMMYFUNCTION("""COMPUTED_VALUE"""),"albatros_d14")</f>
        <v>albatros_d14</v>
      </c>
      <c r="B78" s="13" t="str">
        <f ca="1">IFERROR(__xludf.DUMMYFUNCTION("""COMPUTED_VALUE"""),"Текущий диагноз по нормограммам")</f>
        <v>Текущий диагноз по нормограммам</v>
      </c>
      <c r="D78" s="13" t="str">
        <f ca="1">IFERROR(__xludf.DUMMYFUNCTION("""COMPUTED_VALUE"""),"ppm/год")</f>
        <v>ppm/год</v>
      </c>
      <c r="F78" s="49"/>
      <c r="H78" s="49"/>
    </row>
    <row r="79" spans="1:8" ht="15.75" customHeight="1" x14ac:dyDescent="0.25">
      <c r="A79" s="13" t="str">
        <f ca="1">IFERROR(__xludf.DUMMYFUNCTION("""COMPUTED_VALUE"""),"albatros_d20")</f>
        <v>albatros_d20</v>
      </c>
      <c r="B79" s="13" t="str">
        <f ca="1">IFERROR(__xludf.DUMMYFUNCTION("""COMPUTED_VALUE"""),"Текущий диагноз по ФХА масла")</f>
        <v>Текущий диагноз по ФХА масла</v>
      </c>
      <c r="D79" s="13" t="str">
        <f ca="1">IFERROR(__xludf.DUMMYFUNCTION("""COMPUTED_VALUE"""),"% об./сут")</f>
        <v>% об./сут</v>
      </c>
      <c r="F79" s="49"/>
      <c r="H79" s="49"/>
    </row>
    <row r="80" spans="1:8" ht="15.75" customHeight="1" x14ac:dyDescent="0.25">
      <c r="A80" s="13" t="str">
        <f ca="1">IFERROR(__xludf.DUMMYFUNCTION("""COMPUTED_VALUE"""),"albatros_d40")</f>
        <v>albatros_d40</v>
      </c>
      <c r="B80" s="13" t="str">
        <f ca="1">IFERROR(__xludf.DUMMYFUNCTION("""COMPUTED_VALUE"""),"Диагноз по ХХ")</f>
        <v>Диагноз по ХХ</v>
      </c>
      <c r="D80" s="13" t="str">
        <f ca="1">IFERROR(__xludf.DUMMYFUNCTION("""COMPUTED_VALUE"""),"% об./мес")</f>
        <v>% об./мес</v>
      </c>
      <c r="F80" s="49"/>
      <c r="H80" s="49"/>
    </row>
    <row r="81" spans="1:8" ht="15.75" customHeight="1" x14ac:dyDescent="0.25">
      <c r="A81" s="13" t="str">
        <f ca="1">IFERROR(__xludf.DUMMYFUNCTION("""COMPUTED_VALUE"""),"albatros_d50")</f>
        <v>albatros_d50</v>
      </c>
      <c r="B81" s="13" t="str">
        <f ca="1">IFERROR(__xludf.DUMMYFUNCTION("""COMPUTED_VALUE"""),"Диагноз омических сопротивлений по 1-ой обмотке (ВН)")</f>
        <v>Диагноз омических сопротивлений по 1-ой обмотке (ВН)</v>
      </c>
      <c r="D81" s="13" t="str">
        <f ca="1">IFERROR(__xludf.DUMMYFUNCTION("""COMPUTED_VALUE"""),"% об./нед")</f>
        <v>% об./нед</v>
      </c>
      <c r="F81" s="49"/>
      <c r="H81" s="49"/>
    </row>
    <row r="82" spans="1:8" ht="15.75" customHeight="1" x14ac:dyDescent="0.25">
      <c r="A82" s="13" t="str">
        <f ca="1">IFERROR(__xludf.DUMMYFUNCTION("""COMPUTED_VALUE"""),"albatros_d51")</f>
        <v>albatros_d51</v>
      </c>
      <c r="B82" s="13" t="str">
        <f ca="1">IFERROR(__xludf.DUMMYFUNCTION("""COMPUTED_VALUE"""),"Диагноз омических сопротивлений по 2-ой обмотке (СН/НН)")</f>
        <v>Диагноз омических сопротивлений по 2-ой обмотке (СН/НН)</v>
      </c>
      <c r="D82" s="13" t="str">
        <f ca="1">IFERROR(__xludf.DUMMYFUNCTION("""COMPUTED_VALUE"""),"% об./год")</f>
        <v>% об./год</v>
      </c>
      <c r="F82" s="49"/>
      <c r="H82" s="49"/>
    </row>
    <row r="83" spans="1:8" ht="15.75" customHeight="1" x14ac:dyDescent="0.25">
      <c r="A83" s="13" t="str">
        <f ca="1">IFERROR(__xludf.DUMMYFUNCTION("""COMPUTED_VALUE"""),"albatros_d52")</f>
        <v>albatros_d52</v>
      </c>
      <c r="B83" s="13" t="str">
        <f ca="1">IFERROR(__xludf.DUMMYFUNCTION("""COMPUTED_VALUE"""),"Диагноз омических сопротивлений по 3-ой обмотке (НН)")</f>
        <v>Диагноз омических сопротивлений по 3-ой обмотке (НН)</v>
      </c>
      <c r="D83" s="13" t="str">
        <f ca="1">IFERROR(__xludf.DUMMYFUNCTION("""COMPUTED_VALUE"""),"Па")</f>
        <v>Па</v>
      </c>
      <c r="F83" s="49"/>
      <c r="H83" s="49"/>
    </row>
    <row r="84" spans="1:8" ht="15.75" customHeight="1" x14ac:dyDescent="0.25">
      <c r="A84" s="13" t="str">
        <f ca="1">IFERROR(__xludf.DUMMYFUNCTION("""COMPUTED_VALUE"""),"albatros_d60")</f>
        <v>albatros_d60</v>
      </c>
      <c r="B84" s="13" t="str">
        <f ca="1">IFERROR(__xludf.DUMMYFUNCTION("""COMPUTED_VALUE"""),"Диагнозы по Zk  для разных обмоток в зависимости от расположения их на стержне (ВН, НН, НН1-НН2, РО,СН)")</f>
        <v>Диагнозы по Zk  для разных обмоток в зависимости от расположения их на стержне (ВН, НН, НН1-НН2, РО,СН)</v>
      </c>
      <c r="D84" s="13" t="str">
        <f ca="1">IFERROR(__xludf.DUMMYFUNCTION("""COMPUTED_VALUE"""),"кПа")</f>
        <v>кПа</v>
      </c>
      <c r="F84" s="49"/>
      <c r="H84" s="49"/>
    </row>
    <row r="85" spans="1:8" ht="15.75" customHeight="1" x14ac:dyDescent="0.25">
      <c r="A85" s="13" t="str">
        <f ca="1">IFERROR(__xludf.DUMMYFUNCTION("""COMPUTED_VALUE"""),"albatros_dissolved_acids")</f>
        <v>albatros_dissolved_acids</v>
      </c>
      <c r="B85" s="13" t="str">
        <f ca="1">IFERROR(__xludf.DUMMYFUNCTION("""COMPUTED_VALUE"""),"Содержание водорастворимых кислот и щелочей")</f>
        <v>Содержание водорастворимых кислот и щелочей</v>
      </c>
      <c r="D85" s="13" t="str">
        <f ca="1">IFERROR(__xludf.DUMMYFUNCTION("""COMPUTED_VALUE"""),"МПа")</f>
        <v>МПа</v>
      </c>
      <c r="F85" s="49"/>
      <c r="H85" s="49"/>
    </row>
    <row r="86" spans="1:8" ht="15.75" customHeight="1" x14ac:dyDescent="0.25">
      <c r="A86" s="13" t="str">
        <f ca="1">IFERROR(__xludf.DUMMYFUNCTION("""COMPUTED_VALUE"""),"albatros_dz10")</f>
        <v>albatros_dz10</v>
      </c>
      <c r="B86" s="13" t="str">
        <f ca="1">IFERROR(__xludf.DUMMYFUNCTION("""COMPUTED_VALUE"""),"Текущий диагноз по парам газов")</f>
        <v>Текущий диагноз по парам газов</v>
      </c>
      <c r="D86" s="13" t="str">
        <f ca="1">IFERROR(__xludf.DUMMYFUNCTION("""COMPUTED_VALUE"""),"торр")</f>
        <v>торр</v>
      </c>
      <c r="F86" s="49"/>
      <c r="H86" s="49"/>
    </row>
    <row r="87" spans="1:8" ht="15.75" customHeight="1" x14ac:dyDescent="0.25">
      <c r="A87" s="13" t="str">
        <f ca="1">IFERROR(__xludf.DUMMYFUNCTION("""COMPUTED_VALUE"""),"albatros_dz11")</f>
        <v>albatros_dz11</v>
      </c>
      <c r="B87" s="13" t="str">
        <f ca="1">IFERROR(__xludf.DUMMYFUNCTION("""COMPUTED_VALUE"""),"Текущий диагноз по твердой изоляции СО2\СО")</f>
        <v>Текущий диагноз по твердой изоляции СО2\СО</v>
      </c>
      <c r="D87" s="13" t="str">
        <f ca="1">IFERROR(__xludf.DUMMYFUNCTION("""COMPUTED_VALUE"""),"бар")</f>
        <v>бар</v>
      </c>
      <c r="F87" s="49"/>
      <c r="H87" s="49"/>
    </row>
    <row r="88" spans="1:8" ht="15.75" customHeight="1" x14ac:dyDescent="0.25">
      <c r="A88" s="13" t="str">
        <f ca="1">IFERROR(__xludf.DUMMYFUNCTION("""COMPUTED_VALUE"""),"albatros_dz12")</f>
        <v>albatros_dz12</v>
      </c>
      <c r="B88" s="13" t="str">
        <f ca="1">IFERROR(__xludf.DUMMYFUNCTION("""COMPUTED_VALUE"""),"Текущий диагноз по методу Давиденко-Овчинникова")</f>
        <v>Текущий диагноз по методу Давиденко-Овчинникова</v>
      </c>
      <c r="D88" s="13" t="str">
        <f ca="1">IFERROR(__xludf.DUMMYFUNCTION("""COMPUTED_VALUE"""),"мм.рт.ст.")</f>
        <v>мм.рт.ст.</v>
      </c>
      <c r="F88" s="49"/>
      <c r="H88" s="49"/>
    </row>
    <row r="89" spans="1:8" ht="15.75" customHeight="1" x14ac:dyDescent="0.25">
      <c r="A89" s="13" t="str">
        <f ca="1">IFERROR(__xludf.DUMMYFUNCTION("""COMPUTED_VALUE"""),"albatros_dz14")</f>
        <v>albatros_dz14</v>
      </c>
      <c r="B89" s="13" t="str">
        <f ca="1">IFERROR(__xludf.DUMMYFUNCTION("""COMPUTED_VALUE"""),"Текущий диагноз по нормограммам резерв")</f>
        <v>Текущий диагноз по нормограммам резерв</v>
      </c>
      <c r="D89" s="13" t="str">
        <f ca="1">IFERROR(__xludf.DUMMYFUNCTION("""COMPUTED_VALUE"""),"мм.вод.ст.")</f>
        <v>мм.вод.ст.</v>
      </c>
      <c r="F89" s="49"/>
      <c r="H89" s="49"/>
    </row>
    <row r="90" spans="1:8" ht="15.75" customHeight="1" x14ac:dyDescent="0.25">
      <c r="A90" s="13" t="str">
        <f ca="1">IFERROR(__xludf.DUMMYFUNCTION("""COMPUTED_VALUE"""),"albatros_dz20")</f>
        <v>albatros_dz20</v>
      </c>
      <c r="B90" s="13" t="str">
        <f ca="1">IFERROR(__xludf.DUMMYFUNCTION("""COMPUTED_VALUE"""),"Текущий диагноз по ФХА масла")</f>
        <v>Текущий диагноз по ФХА масла</v>
      </c>
      <c r="D90" s="13" t="str">
        <f ca="1">IFERROR(__xludf.DUMMYFUNCTION("""COMPUTED_VALUE"""),"атм")</f>
        <v>атм</v>
      </c>
      <c r="F90" s="49"/>
      <c r="H90" s="49"/>
    </row>
    <row r="91" spans="1:8" ht="15.75" customHeight="1" x14ac:dyDescent="0.25">
      <c r="A91" s="13" t="str">
        <f ca="1">IFERROR(__xludf.DUMMYFUNCTION("""COMPUTED_VALUE"""),"albatros_dz21")</f>
        <v>albatros_dz21</v>
      </c>
      <c r="B91" s="13" t="str">
        <f ca="1">IFERROR(__xludf.DUMMYFUNCTION("""COMPUTED_VALUE"""),"Оценка твердой изоляции по фурановым \ степени полимеризации \ влагосодержанию")</f>
        <v>Оценка твердой изоляции по фурановым \ степени полимеризации \ влагосодержанию</v>
      </c>
      <c r="D91" s="13" t="str">
        <f ca="1">IFERROR(__xludf.DUMMYFUNCTION("""COMPUTED_VALUE"""),"кгс/см2")</f>
        <v>кгс/см2</v>
      </c>
      <c r="F91" s="49"/>
      <c r="H91" s="49"/>
    </row>
    <row r="92" spans="1:8" ht="15.75" customHeight="1" x14ac:dyDescent="0.25">
      <c r="A92" s="13" t="str">
        <f ca="1">IFERROR(__xludf.DUMMYFUNCTION("""COMPUTED_VALUE"""),"albatros_dz30")</f>
        <v>albatros_dz30</v>
      </c>
      <c r="B92" s="13" t="str">
        <f ca="1">IFERROR(__xludf.DUMMYFUNCTION("""COMPUTED_VALUE"""),"Диагноз по измерениям характеристик изоляции")</f>
        <v>Диагноз по измерениям характеристик изоляции</v>
      </c>
      <c r="D92" s="13" t="str">
        <f ca="1">IFERROR(__xludf.DUMMYFUNCTION("""COMPUTED_VALUE"""),"Н")</f>
        <v>Н</v>
      </c>
      <c r="F92" s="49"/>
      <c r="H92" s="49"/>
    </row>
    <row r="93" spans="1:8" ht="15.75" customHeight="1" x14ac:dyDescent="0.25">
      <c r="A93" s="13" t="str">
        <f ca="1">IFERROR(__xludf.DUMMYFUNCTION("""COMPUTED_VALUE"""),"albatros_dz31")</f>
        <v>albatros_dz31</v>
      </c>
      <c r="B93" s="13" t="str">
        <f ca="1">IFERROR(__xludf.DUMMYFUNCTION("""COMPUTED_VALUE"""),"Определение участка повреждения")</f>
        <v>Определение участка повреждения</v>
      </c>
      <c r="D93" s="13" t="str">
        <f ca="1">IFERROR(__xludf.DUMMYFUNCTION("""COMPUTED_VALUE"""),"pps")</f>
        <v>pps</v>
      </c>
      <c r="F93" s="49"/>
      <c r="H93" s="49"/>
    </row>
    <row r="94" spans="1:8" ht="15.75" customHeight="1" x14ac:dyDescent="0.25">
      <c r="A94" s="13" t="str">
        <f ca="1">IFERROR(__xludf.DUMMYFUNCTION("""COMPUTED_VALUE"""),"albatros_dz40")</f>
        <v>albatros_dz40</v>
      </c>
      <c r="B94" s="13" t="str">
        <f ca="1">IFERROR(__xludf.DUMMYFUNCTION("""COMPUTED_VALUE"""),"Диагноз по ХХ")</f>
        <v>Диагноз по ХХ</v>
      </c>
      <c r="D94" s="13" t="str">
        <f ca="1">IFERROR(__xludf.DUMMYFUNCTION("""COMPUTED_VALUE"""),"Ом")</f>
        <v>Ом</v>
      </c>
      <c r="F94" s="49"/>
      <c r="H94" s="49"/>
    </row>
    <row r="95" spans="1:8" ht="15.75" customHeight="1" x14ac:dyDescent="0.25">
      <c r="A95" s="13" t="str">
        <f ca="1">IFERROR(__xludf.DUMMYFUNCTION("""COMPUTED_VALUE"""),"albatros_dz50")</f>
        <v>albatros_dz50</v>
      </c>
      <c r="B95" s="13" t="str">
        <f ca="1">IFERROR(__xludf.DUMMYFUNCTION("""COMPUTED_VALUE"""),"Диагноз омических сопротивлений по обмотке ВН")</f>
        <v>Диагноз омических сопротивлений по обмотке ВН</v>
      </c>
      <c r="D95" s="13" t="str">
        <f ca="1">IFERROR(__xludf.DUMMYFUNCTION("""COMPUTED_VALUE"""),"мОм")</f>
        <v>мОм</v>
      </c>
      <c r="F95" s="49"/>
      <c r="H95" s="49"/>
    </row>
    <row r="96" spans="1:8" ht="15.75" customHeight="1" x14ac:dyDescent="0.25">
      <c r="A96" s="13" t="str">
        <f ca="1">IFERROR(__xludf.DUMMYFUNCTION("""COMPUTED_VALUE"""),"albatros_dz51")</f>
        <v>albatros_dz51</v>
      </c>
      <c r="B96" s="13" t="str">
        <f ca="1">IFERROR(__xludf.DUMMYFUNCTION("""COMPUTED_VALUE"""),"Диагноз омических сопротивлений по обмотке СН/НН")</f>
        <v>Диагноз омических сопротивлений по обмотке СН/НН</v>
      </c>
      <c r="D96" s="13" t="str">
        <f ca="1">IFERROR(__xludf.DUMMYFUNCTION("""COMPUTED_VALUE"""),"кОм")</f>
        <v>кОм</v>
      </c>
      <c r="F96" s="49"/>
      <c r="H96" s="49"/>
    </row>
    <row r="97" spans="1:8" ht="15.75" customHeight="1" x14ac:dyDescent="0.25">
      <c r="A97" s="13" t="str">
        <f ca="1">IFERROR(__xludf.DUMMYFUNCTION("""COMPUTED_VALUE"""),"albatros_dz52")</f>
        <v>albatros_dz52</v>
      </c>
      <c r="B97" s="13" t="str">
        <f ca="1">IFERROR(__xludf.DUMMYFUNCTION("""COMPUTED_VALUE"""),"Диагноз омических сопротивлений по обмотке НН")</f>
        <v>Диагноз омических сопротивлений по обмотке НН</v>
      </c>
      <c r="D97" s="13" t="str">
        <f ca="1">IFERROR(__xludf.DUMMYFUNCTION("""COMPUTED_VALUE"""),"МОм")</f>
        <v>МОм</v>
      </c>
      <c r="F97" s="49"/>
      <c r="H97" s="49"/>
    </row>
    <row r="98" spans="1:8" ht="15.75" customHeight="1" x14ac:dyDescent="0.25">
      <c r="A98" s="13" t="str">
        <f ca="1">IFERROR(__xludf.DUMMYFUNCTION("""COMPUTED_VALUE"""),"albatros_dz60")</f>
        <v>albatros_dz60</v>
      </c>
      <c r="B98" s="13" t="str">
        <f ca="1">IFERROR(__xludf.DUMMYFUNCTION("""COMPUTED_VALUE"""),"Диагноз по Zк обмотки ВН")</f>
        <v>Диагноз по Zк обмотки ВН</v>
      </c>
      <c r="D98" s="13" t="str">
        <f ca="1">IFERROR(__xludf.DUMMYFUNCTION("""COMPUTED_VALUE"""),"рад")</f>
        <v>рад</v>
      </c>
      <c r="F98" s="49"/>
      <c r="H98" s="49"/>
    </row>
    <row r="99" spans="1:8" ht="15.75" customHeight="1" x14ac:dyDescent="0.25">
      <c r="A99" s="13" t="str">
        <f ca="1">IFERROR(__xludf.DUMMYFUNCTION("""COMPUTED_VALUE"""),"albatros_dz61")</f>
        <v>albatros_dz61</v>
      </c>
      <c r="B99" s="13" t="str">
        <f ca="1">IFERROR(__xludf.DUMMYFUNCTION("""COMPUTED_VALUE"""),"Диагноз по Zк обмотки НН")</f>
        <v>Диагноз по Zк обмотки НН</v>
      </c>
      <c r="D99" s="13" t="str">
        <f ca="1">IFERROR(__xludf.DUMMYFUNCTION("""COMPUTED_VALUE"""),"°")</f>
        <v>°</v>
      </c>
      <c r="F99" s="49"/>
      <c r="H99" s="49"/>
    </row>
    <row r="100" spans="1:8" ht="15.75" customHeight="1" x14ac:dyDescent="0.25">
      <c r="A100" s="13" t="str">
        <f ca="1">IFERROR(__xludf.DUMMYFUNCTION("""COMPUTED_VALUE"""),"albatros_freq_max_absorption")</f>
        <v>albatros_freq_max_absorption</v>
      </c>
      <c r="B100" s="13" t="str">
        <f ca="1">IFERROR(__xludf.DUMMYFUNCTION("""COMPUTED_VALUE"""),"Частота, соответствующая максимальной амплитуде ИК-поглощения масла")</f>
        <v>Частота, соответствующая максимальной амплитуде ИК-поглощения масла</v>
      </c>
      <c r="D100" s="13" t="str">
        <f ca="1">IFERROR(__xludf.DUMMYFUNCTION("""COMPUTED_VALUE"""),"'")</f>
        <v>'</v>
      </c>
      <c r="F100" s="49"/>
      <c r="H100" s="49"/>
    </row>
    <row r="101" spans="1:8" ht="15.75" customHeight="1" x14ac:dyDescent="0.25">
      <c r="A101" s="13" t="str">
        <f ca="1">IFERROR(__xludf.DUMMYFUNCTION("""COMPUTED_VALUE"""),"albatros_furans")</f>
        <v>albatros_furans</v>
      </c>
      <c r="B101" s="13" t="str">
        <f ca="1">IFERROR(__xludf.DUMMYFUNCTION("""COMPUTED_VALUE"""),"Содержание фурановых соединений в масле")</f>
        <v>Содержание фурановых соединений в масле</v>
      </c>
      <c r="D101" s="13" t="str">
        <f ca="1">IFERROR(__xludf.DUMMYFUNCTION("""COMPUTED_VALUE"""),"о.е.")</f>
        <v>о.е.</v>
      </c>
      <c r="F101" s="49"/>
      <c r="H101" s="49"/>
    </row>
    <row r="102" spans="1:8" ht="15.75" customHeight="1" x14ac:dyDescent="0.25">
      <c r="A102" s="13" t="str">
        <f ca="1">IFERROR(__xludf.DUMMYFUNCTION("""COMPUTED_VALUE"""),"albatros_its_fuz2")</f>
        <v>albatros_its_fuz2</v>
      </c>
      <c r="B102" s="13" t="str">
        <f ca="1">IFERROR(__xludf.DUMMYFUNCTION("""COMPUTED_VALUE"""),"Индекс тех.состояния Минэнерго изоляц.система")</f>
        <v>Индекс тех.состояния Минэнерго изоляц.система</v>
      </c>
      <c r="D102" s="13" t="str">
        <f ca="1">IFERROR(__xludf.DUMMYFUNCTION("""COMPUTED_VALUE"""),"шт.")</f>
        <v>шт.</v>
      </c>
      <c r="F102" s="49"/>
      <c r="H102" s="49"/>
    </row>
    <row r="103" spans="1:8" ht="15.75" customHeight="1" x14ac:dyDescent="0.25">
      <c r="A103" s="13" t="str">
        <f ca="1">IFERROR(__xludf.DUMMYFUNCTION("""COMPUTED_VALUE"""),"albatros_its_fuz3")</f>
        <v>albatros_its_fuz3</v>
      </c>
      <c r="B103" s="13" t="str">
        <f ca="1">IFERROR(__xludf.DUMMYFUNCTION("""COMPUTED_VALUE"""),"Индекс тех.состояния Минэнерго магнитопровода")</f>
        <v>Индекс тех.состояния Минэнерго магнитопровода</v>
      </c>
      <c r="D103" s="13" t="str">
        <f ca="1">IFERROR(__xludf.DUMMYFUNCTION("""COMPUTED_VALUE"""),"pH")</f>
        <v>pH</v>
      </c>
      <c r="F103" s="49"/>
      <c r="H103" s="49"/>
    </row>
    <row r="104" spans="1:8" ht="15.75" customHeight="1" x14ac:dyDescent="0.25">
      <c r="A104" s="13" t="str">
        <f ca="1">IFERROR(__xludf.DUMMYFUNCTION("""COMPUTED_VALUE"""),"albatros_its_fuz4")</f>
        <v>albatros_its_fuz4</v>
      </c>
      <c r="B104" s="13" t="str">
        <f ca="1">IFERROR(__xludf.DUMMYFUNCTION("""COMPUTED_VALUE"""),"Индекс тех.состояния Минэнерго обмоток")</f>
        <v>Индекс тех.состояния Минэнерго обмоток</v>
      </c>
      <c r="D104" s="13" t="str">
        <f ca="1">IFERROR(__xludf.DUMMYFUNCTION("""COMPUTED_VALUE"""),"мН/м")</f>
        <v>мН/м</v>
      </c>
      <c r="F104" s="49"/>
      <c r="H104" s="49"/>
    </row>
    <row r="105" spans="1:8" ht="15.75" customHeight="1" x14ac:dyDescent="0.25">
      <c r="A105" s="13" t="str">
        <f ca="1">IFERROR(__xludf.DUMMYFUNCTION("""COMPUTED_VALUE"""),"albatros_itse")</f>
        <v>albatros_itse</v>
      </c>
      <c r="B105" s="13" t="str">
        <f ca="1">IFERROR(__xludf.DUMMYFUNCTION("""COMPUTED_VALUE"""),"ИТС общий – метод ЭДИС-экспертные критерии")</f>
        <v>ИТС общий – метод ЭДИС-экспертные критерии</v>
      </c>
      <c r="D105" s="13" t="str">
        <f ca="1">IFERROR(__xludf.DUMMYFUNCTION("""COMPUTED_VALUE"""),"мм2/с")</f>
        <v>мм2/с</v>
      </c>
      <c r="F105" s="49"/>
      <c r="H105" s="49"/>
    </row>
    <row r="106" spans="1:8" ht="15.75" customHeight="1" x14ac:dyDescent="0.25">
      <c r="A106" s="13" t="str">
        <f ca="1">IFERROR(__xludf.DUMMYFUNCTION("""COMPUTED_VALUE"""),"albatros_itsz")</f>
        <v>albatros_itsz</v>
      </c>
      <c r="B106" s="13" t="str">
        <f ca="1">IFERROR(__xludf.DUMMYFUNCTION("""COMPUTED_VALUE"""),"ИТС – метод ЭДИС-нормативные критерии")</f>
        <v>ИТС – метод ЭДИС-нормативные критерии</v>
      </c>
      <c r="D106" s="13" t="str">
        <f ca="1">IFERROR(__xludf.DUMMYFUNCTION("""COMPUTED_VALUE"""),"кг/м3")</f>
        <v>кг/м3</v>
      </c>
      <c r="F106" s="49"/>
      <c r="H106" s="49"/>
    </row>
    <row r="107" spans="1:8" ht="15.75" customHeight="1" x14ac:dyDescent="0.25">
      <c r="A107" s="13" t="str">
        <f ca="1">IFERROR(__xludf.DUMMYFUNCTION("""COMPUTED_VALUE"""),"albatros_koh_offline")</f>
        <v>albatros_koh_offline</v>
      </c>
      <c r="B107" s="13" t="str">
        <f ca="1">IFERROR(__xludf.DUMMYFUNCTION("""COMPUTED_VALUE"""),"Кислотное число")</f>
        <v>Кислотное число</v>
      </c>
      <c r="D107" s="13" t="str">
        <f ca="1">IFERROR(__xludf.DUMMYFUNCTION("""COMPUTED_VALUE"""),"мВ*ln(Гц)")</f>
        <v>мВ*ln(Гц)</v>
      </c>
      <c r="F107" s="49"/>
      <c r="H107" s="49"/>
    </row>
    <row r="108" spans="1:8" ht="15.75" customHeight="1" x14ac:dyDescent="0.25">
      <c r="A108" s="13" t="str">
        <f ca="1">IFERROR(__xludf.DUMMYFUNCTION("""COMPUTED_VALUE"""),"albatros_loss_noload")</f>
        <v>albatros_loss_noload</v>
      </c>
      <c r="B108" s="13" t="str">
        <f ca="1">IFERROR(__xludf.DUMMYFUNCTION("""COMPUTED_VALUE"""),"Потери холостого хода ")</f>
        <v xml:space="preserve">Потери холостого хода </v>
      </c>
      <c r="D108" s="13" t="str">
        <f ca="1">IFERROR(__xludf.DUMMYFUNCTION("""COMPUTED_VALUE"""),"г/т/сут")</f>
        <v>г/т/сут</v>
      </c>
      <c r="F108" s="49"/>
      <c r="H108" s="49"/>
    </row>
    <row r="109" spans="1:8" ht="15.75" customHeight="1" x14ac:dyDescent="0.25">
      <c r="A109" s="13" t="str">
        <f ca="1">IFERROR(__xludf.DUMMYFUNCTION("""COMPUTED_VALUE"""),"albatros_mech_debris")</f>
        <v>albatros_mech_debris</v>
      </c>
      <c r="B109" s="13" t="str">
        <f ca="1">IFERROR(__xludf.DUMMYFUNCTION("""COMPUTED_VALUE"""),"Содержание механических примесей в масле")</f>
        <v>Содержание механических примесей в масле</v>
      </c>
      <c r="D109" s="13" t="str">
        <f ca="1">IFERROR(__xludf.DUMMYFUNCTION("""COMPUTED_VALUE"""),"г/т/мес")</f>
        <v>г/т/мес</v>
      </c>
      <c r="F109" s="49"/>
      <c r="H109" s="49"/>
    </row>
    <row r="110" spans="1:8" ht="15.75" customHeight="1" x14ac:dyDescent="0.25">
      <c r="A110" s="13" t="str">
        <f ca="1">IFERROR(__xludf.DUMMYFUNCTION("""COMPUTED_VALUE"""),"albatros_naphthene")</f>
        <v>albatros_naphthene</v>
      </c>
      <c r="B110" s="13" t="str">
        <f ca="1">IFERROR(__xludf.DUMMYFUNCTION("""COMPUTED_VALUE"""),"Содержание нафтенов")</f>
        <v>Содержание нафтенов</v>
      </c>
      <c r="D110" s="13" t="str">
        <f ca="1">IFERROR(__xludf.DUMMYFUNCTION("""COMPUTED_VALUE"""),"г/т/нед")</f>
        <v>г/т/нед</v>
      </c>
      <c r="F110" s="49"/>
      <c r="H110" s="49"/>
    </row>
    <row r="111" spans="1:8" ht="15.75" customHeight="1" x14ac:dyDescent="0.25">
      <c r="A111" s="13" t="str">
        <f ca="1">IFERROR(__xludf.DUMMYFUNCTION("""COMPUTED_VALUE"""),"albatros_oil_color")</f>
        <v>albatros_oil_color</v>
      </c>
      <c r="B111" s="13" t="str">
        <f ca="1">IFERROR(__xludf.DUMMYFUNCTION("""COMPUTED_VALUE"""),"Цвет масла")</f>
        <v>Цвет масла</v>
      </c>
      <c r="D111" s="13" t="str">
        <f ca="1">IFERROR(__xludf.DUMMYFUNCTION("""COMPUTED_VALUE"""),"г/т/год")</f>
        <v>г/т/год</v>
      </c>
      <c r="F111" s="49"/>
      <c r="H111" s="49"/>
    </row>
    <row r="112" spans="1:8" ht="15.75" customHeight="1" x14ac:dyDescent="0.25">
      <c r="A112" s="13" t="str">
        <f ca="1">IFERROR(__xludf.DUMMYFUNCTION("""COMPUTED_VALUE"""),"albatros_oil_density")</f>
        <v>albatros_oil_density</v>
      </c>
      <c r="B112" s="13" t="str">
        <f ca="1">IFERROR(__xludf.DUMMYFUNCTION("""COMPUTED_VALUE"""),"Плотность масла")</f>
        <v>Плотность масла</v>
      </c>
      <c r="D112" s="13" t="str">
        <f ca="1">IFERROR(__xludf.DUMMYFUNCTION("""COMPUTED_VALUE"""),"%/сут")</f>
        <v>%/сут</v>
      </c>
      <c r="F112" s="49"/>
      <c r="H112" s="49"/>
    </row>
    <row r="113" spans="1:8" ht="15.75" customHeight="1" x14ac:dyDescent="0.25">
      <c r="A113" s="13" t="str">
        <f ca="1">IFERROR(__xludf.DUMMYFUNCTION("""COMPUTED_VALUE"""),"albatros_oil_mud")</f>
        <v>albatros_oil_mud</v>
      </c>
      <c r="B113" s="13" t="str">
        <f ca="1">IFERROR(__xludf.DUMMYFUNCTION("""COMPUTED_VALUE"""),"Оптическая мутность масла")</f>
        <v>Оптическая мутность масла</v>
      </c>
      <c r="D113" s="13" t="str">
        <f ca="1">IFERROR(__xludf.DUMMYFUNCTION("""COMPUTED_VALUE"""),"%/мес")</f>
        <v>%/мес</v>
      </c>
      <c r="F113" s="49"/>
      <c r="H113" s="49"/>
    </row>
    <row r="114" spans="1:8" ht="15.75" customHeight="1" x14ac:dyDescent="0.25">
      <c r="A114" s="13" t="str">
        <f ca="1">IFERROR(__xludf.DUMMYFUNCTION("""COMPUTED_VALUE"""),"albatros_oil_viscosity_kinematic")</f>
        <v>albatros_oil_viscosity_kinematic</v>
      </c>
      <c r="B114" s="13" t="str">
        <f ca="1">IFERROR(__xludf.DUMMYFUNCTION("""COMPUTED_VALUE"""),"Вязкость кинематическая")</f>
        <v>Вязкость кинематическая</v>
      </c>
      <c r="D114" s="13" t="str">
        <f ca="1">IFERROR(__xludf.DUMMYFUNCTION("""COMPUTED_VALUE"""),"%/нед")</f>
        <v>%/нед</v>
      </c>
      <c r="F114" s="49"/>
      <c r="H114" s="49"/>
    </row>
    <row r="115" spans="1:8" ht="15.75" customHeight="1" x14ac:dyDescent="0.25">
      <c r="A115" s="13" t="str">
        <f ca="1">IFERROR(__xludf.DUMMYFUNCTION("""COMPUTED_VALUE"""),"albatros_oil_water_tension")</f>
        <v>albatros_oil_water_tension</v>
      </c>
      <c r="B115" s="13" t="str">
        <f ca="1">IFERROR(__xludf.DUMMYFUNCTION("""COMPUTED_VALUE"""),"Межфазное натяжение масло-вода")</f>
        <v>Межфазное натяжение масло-вода</v>
      </c>
      <c r="D115" s="13" t="str">
        <f ca="1">IFERROR(__xludf.DUMMYFUNCTION("""COMPUTED_VALUE"""),"%/год")</f>
        <v>%/год</v>
      </c>
      <c r="F115" s="49"/>
      <c r="H115" s="49"/>
    </row>
    <row r="116" spans="1:8" ht="15.75" customHeight="1" x14ac:dyDescent="0.25">
      <c r="A116" s="13" t="str">
        <f ca="1">IFERROR(__xludf.DUMMYFUNCTION("""COMPUTED_VALUE"""),"albatros_on_its_fuz2")</f>
        <v>albatros_on_its_fuz2</v>
      </c>
      <c r="B116" s="13" t="str">
        <f ca="1">IFERROR(__xludf.DUMMYFUNCTION("""COMPUTED_VALUE"""),"Индекс тех. состояния изоляц.системы с учетом on-line")</f>
        <v>Индекс тех. состояния изоляц.системы с учетом on-line</v>
      </c>
      <c r="D116" s="13" t="str">
        <f ca="1">IFERROR(__xludf.DUMMYFUNCTION("""COMPUTED_VALUE"""),"пКл")</f>
        <v>пКл</v>
      </c>
      <c r="F116" s="49"/>
      <c r="H116" s="49"/>
    </row>
    <row r="117" spans="1:8" ht="15.75" customHeight="1" x14ac:dyDescent="0.25">
      <c r="A117" s="13" t="str">
        <f ca="1">IFERROR(__xludf.DUMMYFUNCTION("""COMPUTED_VALUE"""),"albatros_on_its_fuz3")</f>
        <v>albatros_on_its_fuz3</v>
      </c>
      <c r="B117" s="13" t="str">
        <f ca="1">IFERROR(__xludf.DUMMYFUNCTION("""COMPUTED_VALUE"""),"Индекс тех.состояния магнитопровода с учетом on-line")</f>
        <v>Индекс тех.состояния магнитопровода с учетом on-line</v>
      </c>
      <c r="D117" s="49"/>
      <c r="F117" s="49"/>
      <c r="H117" s="49"/>
    </row>
    <row r="118" spans="1:8" ht="15.75" customHeight="1" x14ac:dyDescent="0.25">
      <c r="A118" s="13" t="str">
        <f ca="1">IFERROR(__xludf.DUMMYFUNCTION("""COMPUTED_VALUE"""),"albatros_on_its_fuz4")</f>
        <v>albatros_on_its_fuz4</v>
      </c>
      <c r="B118" s="13" t="str">
        <f ca="1">IFERROR(__xludf.DUMMYFUNCTION("""COMPUTED_VALUE"""),"Индекс тех. состояния обмоток с учетом on-line")</f>
        <v>Индекс тех. состояния обмоток с учетом on-line</v>
      </c>
      <c r="D118" s="49"/>
      <c r="F118" s="49"/>
      <c r="H118" s="49"/>
    </row>
    <row r="119" spans="1:8" ht="15.75" customHeight="1" x14ac:dyDescent="0.25">
      <c r="A119" s="13" t="str">
        <f ca="1">IFERROR(__xludf.DUMMYFUNCTION("""COMPUTED_VALUE"""),"albatros_oxidation_stability_inductive")</f>
        <v>albatros_oxidation_stability_inductive</v>
      </c>
      <c r="B119" s="13" t="str">
        <f ca="1">IFERROR(__xludf.DUMMYFUNCTION("""COMPUTED_VALUE"""),"Стабильность против окисления, индукционный период")</f>
        <v>Стабильность против окисления, индукционный период</v>
      </c>
      <c r="D119" s="49"/>
      <c r="F119" s="49"/>
      <c r="H119" s="49"/>
    </row>
    <row r="120" spans="1:8" ht="15.75" customHeight="1" x14ac:dyDescent="0.25">
      <c r="A120" s="13" t="str">
        <f ca="1">IFERROR(__xludf.DUMMYFUNCTION("""COMPUTED_VALUE"""),"albatros_oxidation_stability_koh")</f>
        <v>albatros_oxidation_stability_koh</v>
      </c>
      <c r="B120" s="13" t="str">
        <f ca="1">IFERROR(__xludf.DUMMYFUNCTION("""COMPUTED_VALUE"""),"Стабильность против окисления по кислотному числу")</f>
        <v>Стабильность против окисления по кислотному числу</v>
      </c>
      <c r="D120" s="49"/>
      <c r="F120" s="49"/>
      <c r="H120" s="49"/>
    </row>
    <row r="121" spans="1:8" ht="15.75" customHeight="1" x14ac:dyDescent="0.25">
      <c r="A121" s="13" t="str">
        <f ca="1">IFERROR(__xludf.DUMMYFUNCTION("""COMPUTED_VALUE"""),"albatros_oxidation_stability_sediment")</f>
        <v>albatros_oxidation_stability_sediment</v>
      </c>
      <c r="B121" s="13" t="str">
        <f ca="1">IFERROR(__xludf.DUMMYFUNCTION("""COMPUTED_VALUE"""),"Стабильность против окисления по осадку")</f>
        <v>Стабильность против окисления по осадку</v>
      </c>
      <c r="D121" s="49"/>
      <c r="F121" s="49"/>
      <c r="H121" s="49"/>
    </row>
    <row r="122" spans="1:8" ht="15.75" customHeight="1" x14ac:dyDescent="0.25">
      <c r="A122" s="13" t="str">
        <f ca="1">IFERROR(__xludf.DUMMYFUNCTION("""COMPUTED_VALUE"""),"albatros_oxidation_stability_volatile_acids")</f>
        <v>albatros_oxidation_stability_volatile_acids</v>
      </c>
      <c r="B122" s="13" t="str">
        <f ca="1">IFERROR(__xludf.DUMMYFUNCTION("""COMPUTED_VALUE"""),"Стабильность против окисления по летучим кислотам")</f>
        <v>Стабильность против окисления по летучим кислотам</v>
      </c>
      <c r="D122" s="49"/>
      <c r="F122" s="49"/>
      <c r="H122" s="49"/>
    </row>
    <row r="123" spans="1:8" ht="15.75" customHeight="1" x14ac:dyDescent="0.25">
      <c r="A123" s="13" t="str">
        <f ca="1">IFERROR(__xludf.DUMMYFUNCTION("""COMPUTED_VALUE"""),"albatros_paraffines")</f>
        <v>albatros_paraffines</v>
      </c>
      <c r="B123" s="13" t="str">
        <f ca="1">IFERROR(__xludf.DUMMYFUNCTION("""COMPUTED_VALUE"""),"Содержание парафинов")</f>
        <v>Содержание парафинов</v>
      </c>
      <c r="D123" s="49"/>
      <c r="F123" s="49"/>
      <c r="H123" s="49"/>
    </row>
    <row r="124" spans="1:8" ht="15.75" customHeight="1" x14ac:dyDescent="0.25">
      <c r="A124" s="13" t="str">
        <f ca="1">IFERROR(__xludf.DUMMYFUNCTION("""COMPUTED_VALUE"""),"albatros_prz30")</f>
        <v>albatros_prz30</v>
      </c>
      <c r="B124" s="13" t="str">
        <f ca="1">IFERROR(__xludf.DUMMYFUNCTION("""COMPUTED_VALUE"""),"Рекомендации по измерениям харак-к изоляции")</f>
        <v>Рекомендации по измерениям харак-к изоляции</v>
      </c>
      <c r="D124" s="49"/>
      <c r="F124" s="49"/>
      <c r="H124" s="49"/>
    </row>
    <row r="125" spans="1:8" ht="15.75" customHeight="1" x14ac:dyDescent="0.25">
      <c r="A125" s="13" t="str">
        <f ca="1">IFERROR(__xludf.DUMMYFUNCTION("""COMPUTED_VALUE"""),"albatros_prz60")</f>
        <v>albatros_prz60</v>
      </c>
      <c r="B125" s="13" t="str">
        <f ca="1">IFERROR(__xludf.DUMMYFUNCTION("""COMPUTED_VALUE"""),"Рекомендации по измерению Zk")</f>
        <v>Рекомендации по измерению Zk</v>
      </c>
      <c r="D125" s="49"/>
      <c r="F125" s="49"/>
      <c r="H125" s="49"/>
    </row>
    <row r="126" spans="1:8" ht="15.75" customHeight="1" x14ac:dyDescent="0.25">
      <c r="A126" s="13" t="str">
        <f ca="1">IFERROR(__xludf.DUMMYFUNCTION("""COMPUTED_VALUE"""),"albatros_r_winding_pa_hv")</f>
        <v>albatros_r_winding_pa_hv</v>
      </c>
      <c r="B126" s="13" t="str">
        <f ca="1">IFERROR(__xludf.DUMMYFUNCTION("""COMPUTED_VALUE"""),"Омическое сопротивление обмотки ВН, фаза A")</f>
        <v>Омическое сопротивление обмотки ВН, фаза A</v>
      </c>
      <c r="D126" s="49"/>
      <c r="F126" s="49"/>
      <c r="H126" s="49"/>
    </row>
    <row r="127" spans="1:8" ht="15.75" customHeight="1" x14ac:dyDescent="0.25">
      <c r="A127" s="13" t="str">
        <f ca="1">IFERROR(__xludf.DUMMYFUNCTION("""COMPUTED_VALUE"""),"albatros_r_winding_pa_lv")</f>
        <v>albatros_r_winding_pa_lv</v>
      </c>
      <c r="B127" s="13" t="str">
        <f ca="1">IFERROR(__xludf.DUMMYFUNCTION("""COMPUTED_VALUE"""),"Омическое сопротивление обмотки НН, фаза A")</f>
        <v>Омическое сопротивление обмотки НН, фаза A</v>
      </c>
      <c r="D127" s="49"/>
      <c r="F127" s="49"/>
      <c r="H127" s="49"/>
    </row>
    <row r="128" spans="1:8" ht="15.75" customHeight="1" x14ac:dyDescent="0.25">
      <c r="A128" s="13" t="str">
        <f ca="1">IFERROR(__xludf.DUMMYFUNCTION("""COMPUTED_VALUE"""),"albatros_r_winding_pb_hv")</f>
        <v>albatros_r_winding_pb_hv</v>
      </c>
      <c r="B128" s="13" t="str">
        <f ca="1">IFERROR(__xludf.DUMMYFUNCTION("""COMPUTED_VALUE"""),"Омическое сопротивление обмотки ВН, фаза B")</f>
        <v>Омическое сопротивление обмотки ВН, фаза B</v>
      </c>
      <c r="D128" s="49"/>
      <c r="F128" s="49"/>
      <c r="H128" s="49"/>
    </row>
    <row r="129" spans="1:8" ht="15.75" customHeight="1" x14ac:dyDescent="0.25">
      <c r="A129" s="13" t="str">
        <f ca="1">IFERROR(__xludf.DUMMYFUNCTION("""COMPUTED_VALUE"""),"albatros_r_winding_pb_lv")</f>
        <v>albatros_r_winding_pb_lv</v>
      </c>
      <c r="B129" s="13" t="str">
        <f ca="1">IFERROR(__xludf.DUMMYFUNCTION("""COMPUTED_VALUE"""),"Омическое сопротивление обмотки НН, фаза B")</f>
        <v>Омическое сопротивление обмотки НН, фаза B</v>
      </c>
      <c r="D129" s="49"/>
      <c r="F129" s="49"/>
      <c r="H129" s="49"/>
    </row>
    <row r="130" spans="1:8" ht="15.75" customHeight="1" x14ac:dyDescent="0.25">
      <c r="A130" s="13" t="str">
        <f ca="1">IFERROR(__xludf.DUMMYFUNCTION("""COMPUTED_VALUE"""),"albatros_r_winding_pc_hv")</f>
        <v>albatros_r_winding_pc_hv</v>
      </c>
      <c r="B130" s="13" t="str">
        <f ca="1">IFERROR(__xludf.DUMMYFUNCTION("""COMPUTED_VALUE"""),"Омическое сопротивление обмотки ВН, фаза C")</f>
        <v>Омическое сопротивление обмотки ВН, фаза C</v>
      </c>
      <c r="D130" s="49"/>
      <c r="F130" s="49"/>
      <c r="H130" s="49"/>
    </row>
    <row r="131" spans="1:8" ht="15.75" customHeight="1" x14ac:dyDescent="0.25">
      <c r="A131" s="13" t="str">
        <f ca="1">IFERROR(__xludf.DUMMYFUNCTION("""COMPUTED_VALUE"""),"albatros_r_winding_pc_lv")</f>
        <v>albatros_r_winding_pc_lv</v>
      </c>
      <c r="B131" s="13" t="str">
        <f ca="1">IFERROR(__xludf.DUMMYFUNCTION("""COMPUTED_VALUE"""),"Омическое сопротивление обмотки НН, фаза C")</f>
        <v>Омическое сопротивление обмотки НН, фаза C</v>
      </c>
      <c r="D131" s="49"/>
      <c r="F131" s="49"/>
      <c r="H131" s="49"/>
    </row>
    <row r="132" spans="1:8" ht="15.75" customHeight="1" x14ac:dyDescent="0.25">
      <c r="A132" s="13" t="str">
        <f ca="1">IFERROR(__xludf.DUMMYFUNCTION("""COMPUTED_VALUE"""),"albatros_rr20")</f>
        <v>albatros_rr20</v>
      </c>
      <c r="B132" s="13" t="str">
        <f ca="1">IFERROR(__xludf.DUMMYFUNCTION("""COMPUTED_VALUE"""),"Текущая рекомендация по ФХА масла")</f>
        <v>Текущая рекомендация по ФХА масла</v>
      </c>
      <c r="D132" s="49"/>
      <c r="F132" s="49"/>
      <c r="H132" s="49"/>
    </row>
    <row r="133" spans="1:8" ht="15.75" customHeight="1" x14ac:dyDescent="0.25">
      <c r="A133" s="13" t="str">
        <f ca="1">IFERROR(__xludf.DUMMYFUNCTION("""COMPUTED_VALUE"""),"albatros_rr21")</f>
        <v>albatros_rr21</v>
      </c>
      <c r="B133" s="13" t="str">
        <f ca="1"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33" s="49"/>
      <c r="F133" s="49"/>
      <c r="H133" s="49"/>
    </row>
    <row r="134" spans="1:8" ht="15.75" customHeight="1" x14ac:dyDescent="0.25">
      <c r="A134" s="13" t="str">
        <f ca="1">IFERROR(__xludf.DUMMYFUNCTION("""COMPUTED_VALUE"""),"albatros_rr30")</f>
        <v>albatros_rr30</v>
      </c>
      <c r="B134" s="13" t="str">
        <f ca="1">IFERROR(__xludf.DUMMYFUNCTION("""COMPUTED_VALUE"""),"Рекомендации по измерениям характеристик изоляции")</f>
        <v>Рекомендации по измерениям характеристик изоляции</v>
      </c>
      <c r="D134" s="49"/>
      <c r="F134" s="49"/>
      <c r="H134" s="49"/>
    </row>
    <row r="135" spans="1:8" ht="15.75" customHeight="1" x14ac:dyDescent="0.25">
      <c r="A135" s="13" t="str">
        <f ca="1">IFERROR(__xludf.DUMMYFUNCTION("""COMPUTED_VALUE"""),"albatros_rr40")</f>
        <v>albatros_rr40</v>
      </c>
      <c r="B135" s="13" t="str">
        <f ca="1">IFERROR(__xludf.DUMMYFUNCTION("""COMPUTED_VALUE"""),"Рекомендация по ХХ")</f>
        <v>Рекомендация по ХХ</v>
      </c>
      <c r="D135" s="49"/>
      <c r="F135" s="49"/>
      <c r="H135" s="49"/>
    </row>
    <row r="136" spans="1:8" ht="15.75" customHeight="1" x14ac:dyDescent="0.25">
      <c r="A136" s="13" t="str">
        <f ca="1">IFERROR(__xludf.DUMMYFUNCTION("""COMPUTED_VALUE"""),"albatros_rr50")</f>
        <v>albatros_rr50</v>
      </c>
      <c r="B136" s="13" t="str">
        <f ca="1">IFERROR(__xludf.DUMMYFUNCTION("""COMPUTED_VALUE"""),"Рекомендации по измерениям Rактив. обмоток")</f>
        <v>Рекомендации по измерениям Rактив. обмоток</v>
      </c>
      <c r="D136" s="49"/>
      <c r="F136" s="49"/>
      <c r="H136" s="49"/>
    </row>
    <row r="137" spans="1:8" ht="15.75" customHeight="1" x14ac:dyDescent="0.25">
      <c r="A137" s="13" t="str">
        <f ca="1">IFERROR(__xludf.DUMMYFUNCTION("""COMPUTED_VALUE"""),"albatros_rrz11")</f>
        <v>albatros_rrz11</v>
      </c>
      <c r="B137" s="13" t="str">
        <f ca="1">IFERROR(__xludf.DUMMYFUNCTION("""COMPUTED_VALUE"""),"Текущая рекомендация (основная)")</f>
        <v>Текущая рекомендация (основная)</v>
      </c>
      <c r="D137" s="49"/>
      <c r="F137" s="49"/>
      <c r="H137" s="49"/>
    </row>
    <row r="138" spans="1:8" ht="15.75" customHeight="1" x14ac:dyDescent="0.25">
      <c r="A138" s="13" t="str">
        <f ca="1">IFERROR(__xludf.DUMMYFUNCTION("""COMPUTED_VALUE"""),"albatros_rrz12")</f>
        <v>albatros_rrz12</v>
      </c>
      <c r="B138" s="13" t="str">
        <f ca="1">IFERROR(__xludf.DUMMYFUNCTION("""COMPUTED_VALUE"""),"Текущая рекомендация дополнит.")</f>
        <v>Текущая рекомендация дополнит.</v>
      </c>
      <c r="D138" s="49"/>
      <c r="F138" s="49"/>
      <c r="H138" s="49"/>
    </row>
    <row r="139" spans="1:8" ht="15.75" customHeight="1" x14ac:dyDescent="0.25">
      <c r="A139" s="13" t="str">
        <f ca="1">IFERROR(__xludf.DUMMYFUNCTION("""COMPUTED_VALUE"""),"albatros_rrz20")</f>
        <v>albatros_rrz20</v>
      </c>
      <c r="B139" s="13" t="str">
        <f ca="1">IFERROR(__xludf.DUMMYFUNCTION("""COMPUTED_VALUE"""),"Текущая рекомендация по ФХА масла")</f>
        <v>Текущая рекомендация по ФХА масла</v>
      </c>
      <c r="D139" s="49"/>
      <c r="F139" s="49"/>
      <c r="H139" s="49"/>
    </row>
    <row r="140" spans="1:8" ht="15.75" customHeight="1" x14ac:dyDescent="0.25">
      <c r="A140" s="13" t="str">
        <f ca="1">IFERROR(__xludf.DUMMYFUNCTION("""COMPUTED_VALUE"""),"albatros_rrz21")</f>
        <v>albatros_rrz21</v>
      </c>
      <c r="B140" s="13" t="str">
        <f ca="1">IFERROR(__xludf.DUMMYFUNCTION("""COMPUTED_VALUE"""),"Рекомендации для твердой изоляции фурановым \ степени полимеризации \влагосодержанию")</f>
        <v>Рекомендации для твердой изоляции фурановым \ степени полимеризации \влагосодержанию</v>
      </c>
      <c r="D140" s="49"/>
      <c r="F140" s="49"/>
      <c r="H140" s="49"/>
    </row>
    <row r="141" spans="1:8" ht="15.75" customHeight="1" x14ac:dyDescent="0.25">
      <c r="A141" s="13" t="str">
        <f ca="1">IFERROR(__xludf.DUMMYFUNCTION("""COMPUTED_VALUE"""),"albatros_rrz40")</f>
        <v>albatros_rrz40</v>
      </c>
      <c r="B141" s="13" t="str">
        <f ca="1">IFERROR(__xludf.DUMMYFUNCTION("""COMPUTED_VALUE"""),"Рекомендация по ХХ")</f>
        <v>Рекомендация по ХХ</v>
      </c>
      <c r="D141" s="49"/>
      <c r="F141" s="49"/>
      <c r="H141" s="49"/>
    </row>
    <row r="142" spans="1:8" ht="15.75" customHeight="1" x14ac:dyDescent="0.25">
      <c r="A142" s="13" t="str">
        <f ca="1">IFERROR(__xludf.DUMMYFUNCTION("""COMPUTED_VALUE"""),"albatros_rrz50")</f>
        <v>albatros_rrz50</v>
      </c>
      <c r="B142" s="13" t="str">
        <f ca="1">IFERROR(__xludf.DUMMYFUNCTION("""COMPUTED_VALUE"""),"Рекомендации по измерениям Rактив. обмоток")</f>
        <v>Рекомендации по измерениям Rактив. обмоток</v>
      </c>
      <c r="D142" s="49"/>
      <c r="F142" s="49"/>
      <c r="H142" s="49"/>
    </row>
    <row r="143" spans="1:8" ht="15.75" customHeight="1" x14ac:dyDescent="0.25">
      <c r="A143" s="13" t="str">
        <f ca="1">IFERROR(__xludf.DUMMYFUNCTION("""COMPUTED_VALUE"""),"albatros_shlam")</f>
        <v>albatros_shlam</v>
      </c>
      <c r="B143" s="13" t="str">
        <f ca="1">IFERROR(__xludf.DUMMYFUNCTION("""COMPUTED_VALUE"""),"Общее содержание шлама")</f>
        <v>Общее содержание шлама</v>
      </c>
      <c r="D143" s="49"/>
      <c r="F143" s="49"/>
      <c r="H143" s="49"/>
    </row>
    <row r="144" spans="1:8" ht="15.75" customHeight="1" x14ac:dyDescent="0.25">
      <c r="A144" s="13" t="str">
        <f ca="1">IFERROR(__xludf.DUMMYFUNCTION("""COMPUTED_VALUE"""),"albatros_sivrt_dz10")</f>
        <v>albatros_sivrt_dz10</v>
      </c>
      <c r="B144" s="13" t="str">
        <f ca="1">IFERROR(__xludf.DUMMYFUNCTION("""COMPUTED_VALUE"""),"Оценка тяжести\опасности дефекта")</f>
        <v>Оценка тяжести\опасности дефекта</v>
      </c>
      <c r="D144" s="49"/>
      <c r="F144" s="49"/>
      <c r="H144" s="49"/>
    </row>
    <row r="145" spans="1:8" ht="15.75" customHeight="1" x14ac:dyDescent="0.25">
      <c r="A145" s="13" t="str">
        <f ca="1">IFERROR(__xludf.DUMMYFUNCTION("""COMPUTED_VALUE"""),"albatros_sivrt_dz11")</f>
        <v>albatros_sivrt_dz11</v>
      </c>
      <c r="B145" s="13" t="str">
        <f ca="1">IFERROR(__xludf.DUMMYFUNCTION("""COMPUTED_VALUE"""),"Оценка тяжести\опасности дефекта")</f>
        <v>Оценка тяжести\опасности дефекта</v>
      </c>
      <c r="D145" s="49"/>
      <c r="F145" s="49"/>
      <c r="H145" s="49"/>
    </row>
    <row r="146" spans="1:8" ht="15.75" customHeight="1" x14ac:dyDescent="0.25">
      <c r="A146" s="13" t="str">
        <f ca="1">IFERROR(__xludf.DUMMYFUNCTION("""COMPUTED_VALUE"""),"albatros_sivrt_dz12")</f>
        <v>albatros_sivrt_dz12</v>
      </c>
      <c r="B146" s="13" t="str">
        <f ca="1">IFERROR(__xludf.DUMMYFUNCTION("""COMPUTED_VALUE"""),"Оценка тяжести\опасности дефекта")</f>
        <v>Оценка тяжести\опасности дефекта</v>
      </c>
      <c r="D146" s="49"/>
      <c r="F146" s="49"/>
      <c r="H146" s="49"/>
    </row>
    <row r="147" spans="1:8" ht="15.75" customHeight="1" x14ac:dyDescent="0.25">
      <c r="A147" s="13" t="str">
        <f ca="1">IFERROR(__xludf.DUMMYFUNCTION("""COMPUTED_VALUE"""),"albatros_sivrt_dz20")</f>
        <v>albatros_sivrt_dz20</v>
      </c>
      <c r="B147" s="13" t="str">
        <f ca="1">IFERROR(__xludf.DUMMYFUNCTION("""COMPUTED_VALUE"""),"Оценка тяжести\опасности дефекта")</f>
        <v>Оценка тяжести\опасности дефекта</v>
      </c>
      <c r="D147" s="49"/>
      <c r="F147" s="49"/>
      <c r="H147" s="49"/>
    </row>
    <row r="148" spans="1:8" ht="15.75" customHeight="1" x14ac:dyDescent="0.25">
      <c r="A148" s="13" t="str">
        <f ca="1">IFERROR(__xludf.DUMMYFUNCTION("""COMPUTED_VALUE"""),"albatros_sivrt_dz21")</f>
        <v>albatros_sivrt_dz21</v>
      </c>
      <c r="B148" s="13" t="str">
        <f ca="1">IFERROR(__xludf.DUMMYFUNCTION("""COMPUTED_VALUE"""),"Оценка тяжести\опасности дефекта")</f>
        <v>Оценка тяжести\опасности дефекта</v>
      </c>
      <c r="D148" s="49"/>
      <c r="F148" s="49"/>
      <c r="H148" s="49"/>
    </row>
    <row r="149" spans="1:8" ht="15.75" customHeight="1" x14ac:dyDescent="0.25">
      <c r="A149" s="13" t="str">
        <f ca="1">IFERROR(__xludf.DUMMYFUNCTION("""COMPUTED_VALUE"""),"albatros_sivrt_dz30")</f>
        <v>albatros_sivrt_dz30</v>
      </c>
      <c r="B149" s="13" t="str">
        <f ca="1">IFERROR(__xludf.DUMMYFUNCTION("""COMPUTED_VALUE"""),"Оценка тяжести\опасности дефекта")</f>
        <v>Оценка тяжести\опасности дефекта</v>
      </c>
      <c r="D149" s="49"/>
      <c r="F149" s="49"/>
      <c r="H149" s="49"/>
    </row>
    <row r="150" spans="1:8" ht="15.75" customHeight="1" x14ac:dyDescent="0.25">
      <c r="A150" s="13" t="str">
        <f ca="1">IFERROR(__xludf.DUMMYFUNCTION("""COMPUTED_VALUE"""),"albatros_sivrt_dz40")</f>
        <v>albatros_sivrt_dz40</v>
      </c>
      <c r="B150" s="13" t="str">
        <f ca="1">IFERROR(__xludf.DUMMYFUNCTION("""COMPUTED_VALUE"""),"Оценка тяжести\опасности дефекта")</f>
        <v>Оценка тяжести\опасности дефекта</v>
      </c>
      <c r="D150" s="49"/>
      <c r="F150" s="49"/>
      <c r="H150" s="49"/>
    </row>
    <row r="151" spans="1:8" ht="15.75" customHeight="1" x14ac:dyDescent="0.25">
      <c r="A151" s="13" t="str">
        <f ca="1">IFERROR(__xludf.DUMMYFUNCTION("""COMPUTED_VALUE"""),"albatros_sivrt_dz50")</f>
        <v>albatros_sivrt_dz50</v>
      </c>
      <c r="B151" s="13" t="str">
        <f ca="1">IFERROR(__xludf.DUMMYFUNCTION("""COMPUTED_VALUE"""),"Оценка тяжести\опасности дефекта")</f>
        <v>Оценка тяжести\опасности дефекта</v>
      </c>
      <c r="D151" s="49"/>
      <c r="F151" s="49"/>
      <c r="H151" s="49"/>
    </row>
    <row r="152" spans="1:8" ht="15.75" customHeight="1" x14ac:dyDescent="0.25">
      <c r="A152" s="13" t="str">
        <f ca="1">IFERROR(__xludf.DUMMYFUNCTION("""COMPUTED_VALUE"""),"albatros_sivrt_dz51")</f>
        <v>albatros_sivrt_dz51</v>
      </c>
      <c r="B152" s="13" t="str">
        <f ca="1">IFERROR(__xludf.DUMMYFUNCTION("""COMPUTED_VALUE"""),"Оценка тяжести\опасности дефекта")</f>
        <v>Оценка тяжести\опасности дефекта</v>
      </c>
      <c r="D152" s="49"/>
      <c r="F152" s="49"/>
      <c r="H152" s="49"/>
    </row>
    <row r="153" spans="1:8" ht="15.75" customHeight="1" x14ac:dyDescent="0.25">
      <c r="A153" s="13" t="str">
        <f ca="1">IFERROR(__xludf.DUMMYFUNCTION("""COMPUTED_VALUE"""),"albatros_sivrt_dz52")</f>
        <v>albatros_sivrt_dz52</v>
      </c>
      <c r="B153" s="13" t="str">
        <f ca="1">IFERROR(__xludf.DUMMYFUNCTION("""COMPUTED_VALUE"""),"Оценка тяжести\опасности дефекта")</f>
        <v>Оценка тяжести\опасности дефекта</v>
      </c>
      <c r="D153" s="49"/>
      <c r="F153" s="49"/>
      <c r="H153" s="49"/>
    </row>
    <row r="154" spans="1:8" ht="15.75" customHeight="1" x14ac:dyDescent="0.25">
      <c r="A154" s="13" t="str">
        <f ca="1">IFERROR(__xludf.DUMMYFUNCTION("""COMPUTED_VALUE"""),"albatros_sivrt_dz60")</f>
        <v>albatros_sivrt_dz60</v>
      </c>
      <c r="B154" s="13" t="str">
        <f ca="1">IFERROR(__xludf.DUMMYFUNCTION("""COMPUTED_VALUE"""),"Оценка тяжести\опасности дефекта обмотки ВН")</f>
        <v>Оценка тяжести\опасности дефекта обмотки ВН</v>
      </c>
      <c r="D154" s="49"/>
      <c r="F154" s="49"/>
      <c r="H154" s="49"/>
    </row>
    <row r="155" spans="1:8" ht="15.75" customHeight="1" x14ac:dyDescent="0.25">
      <c r="A155" s="13" t="str">
        <f ca="1">IFERROR(__xludf.DUMMYFUNCTION("""COMPUTED_VALUE"""),"albatros_sivrt_dz61")</f>
        <v>albatros_sivrt_dz61</v>
      </c>
      <c r="B155" s="13" t="str">
        <f ca="1">IFERROR(__xludf.DUMMYFUNCTION("""COMPUTED_VALUE"""),"Оценка тяжести\опасности дефекта обмотки НН")</f>
        <v>Оценка тяжести\опасности дефекта обмотки НН</v>
      </c>
      <c r="D155" s="49"/>
      <c r="F155" s="49"/>
      <c r="H155" s="49"/>
    </row>
    <row r="156" spans="1:8" ht="15.75" customHeight="1" x14ac:dyDescent="0.25">
      <c r="A156" s="13" t="str">
        <f ca="1">IFERROR(__xludf.DUMMYFUNCTION("""COMPUTED_VALUE"""),"albatros_sulfur")</f>
        <v>albatros_sulfur</v>
      </c>
      <c r="B156" s="13" t="str">
        <f ca="1">IFERROR(__xludf.DUMMYFUNCTION("""COMPUTED_VALUE"""),"Содержание серы")</f>
        <v>Содержание серы</v>
      </c>
      <c r="D156" s="49"/>
      <c r="F156" s="49"/>
      <c r="H156" s="49"/>
    </row>
    <row r="157" spans="1:8" ht="15.75" customHeight="1" x14ac:dyDescent="0.25">
      <c r="A157" s="13" t="str">
        <f ca="1">IFERROR(__xludf.DUMMYFUNCTION("""COMPUTED_VALUE"""),"albatros_sum_its")</f>
        <v>albatros_sum_its</v>
      </c>
      <c r="B157" s="13" t="str">
        <f ca="1">IFERROR(__xludf.DUMMYFUNCTION("""COMPUTED_VALUE"""),"Интегральный показатель =  ITS_FUZ2+ ITS_FUZ3+ ITS_FUZ4+ On_ITS_FUZ2+ On_ITS_FUZ4")</f>
        <v>Интегральный показатель =  ITS_FUZ2+ ITS_FUZ3+ ITS_FUZ4+ On_ITS_FUZ2+ On_ITS_FUZ4</v>
      </c>
      <c r="D157" s="49"/>
      <c r="F157" s="49"/>
      <c r="H157" s="49"/>
    </row>
    <row r="158" spans="1:8" ht="15.75" customHeight="1" x14ac:dyDescent="0.25">
      <c r="A158" s="13" t="str">
        <f ca="1">IFERROR(__xludf.DUMMYFUNCTION("""COMPUTED_VALUE"""),"albatros_t_flash_point_closed")</f>
        <v>albatros_t_flash_point_closed</v>
      </c>
      <c r="B158" s="13" t="str">
        <f ca="1">IFERROR(__xludf.DUMMYFUNCTION("""COMPUTED_VALUE"""),"Температура вспышки в закрытом тигле")</f>
        <v>Температура вспышки в закрытом тигле</v>
      </c>
      <c r="D158" s="49"/>
      <c r="F158" s="49"/>
      <c r="H158" s="49"/>
    </row>
    <row r="159" spans="1:8" ht="15.75" customHeight="1" x14ac:dyDescent="0.25">
      <c r="A159" s="13" t="str">
        <f ca="1">IFERROR(__xludf.DUMMYFUNCTION("""COMPUTED_VALUE"""),"albatros_t_oil_sample")</f>
        <v>albatros_t_oil_sample</v>
      </c>
      <c r="B159" s="13" t="str">
        <f ca="1">IFERROR(__xludf.DUMMYFUNCTION("""COMPUTED_VALUE"""),"Температура отбора масла")</f>
        <v>Температура отбора масла</v>
      </c>
      <c r="D159" s="49"/>
      <c r="F159" s="49"/>
      <c r="H159" s="49"/>
    </row>
    <row r="160" spans="1:8" ht="15.75" customHeight="1" x14ac:dyDescent="0.25">
      <c r="A160" s="13" t="str">
        <f ca="1">IFERROR(__xludf.DUMMYFUNCTION("""COMPUTED_VALUE"""),"albatros_tgd_fall")</f>
        <v>albatros_tgd_fall</v>
      </c>
      <c r="B160" s="13" t="str">
        <f ca="1">IFERROR(__xludf.DUMMYFUNCTION("""COMPUTED_VALUE"""),"Тангенс угла диэлектрических потерь масла (при спаде температуры 20-50-70-90)")</f>
        <v>Тангенс угла диэлектрических потерь масла (при спаде температуры 20-50-70-90)</v>
      </c>
      <c r="D160" s="49"/>
      <c r="F160" s="49"/>
      <c r="H160" s="49"/>
    </row>
    <row r="161" spans="1:8" ht="15.75" customHeight="1" x14ac:dyDescent="0.25">
      <c r="A161" s="13" t="str">
        <f ca="1">IFERROR(__xludf.DUMMYFUNCTION("""COMPUTED_VALUE"""),"albatros_tgd_rise")</f>
        <v>albatros_tgd_rise</v>
      </c>
      <c r="B161" s="13" t="str">
        <f ca="1">IFERROR(__xludf.DUMMYFUNCTION("""COMPUTED_VALUE"""),"Тангенс угла диэлектрических потерь масла (при подъеме температуры 20-50-70-90)")</f>
        <v>Тангенс угла диэлектрических потерь масла (при подъеме температуры 20-50-70-90)</v>
      </c>
      <c r="D161" s="49"/>
      <c r="F161" s="49"/>
      <c r="H161" s="49"/>
    </row>
    <row r="162" spans="1:8" ht="15.75" customHeight="1" x14ac:dyDescent="0.25">
      <c r="A162" s="13" t="str">
        <f ca="1">IFERROR(__xludf.DUMMYFUNCTION("""COMPUTED_VALUE"""),"albatros_v_arc")</f>
        <v>albatros_v_arc</v>
      </c>
      <c r="B162" s="13" t="str">
        <f ca="1">IFERROR(__xludf.DUMMYFUNCTION("""COMPUTED_VALUE"""),"Пробивное напряжение масла")</f>
        <v>Пробивное напряжение масла</v>
      </c>
      <c r="D162" s="49"/>
      <c r="F162" s="49"/>
      <c r="H162" s="49"/>
    </row>
    <row r="163" spans="1:8" ht="15.75" customHeight="1" x14ac:dyDescent="0.25">
      <c r="A163" s="13" t="str">
        <f ca="1">IFERROR(__xludf.DUMMYFUNCTION("""COMPUTED_VALUE"""),"albatros_wcl")</f>
        <v>albatros_wcl</v>
      </c>
      <c r="B163" s="13" t="str">
        <f ca="1">IFERROR(__xludf.DUMMYFUNCTION("""COMPUTED_VALUE"""),"Влагосодержание масла (офлайн)")</f>
        <v>Влагосодержание масла (офлайн)</v>
      </c>
      <c r="D163" s="49"/>
      <c r="F163" s="49"/>
      <c r="H163" s="49"/>
    </row>
    <row r="164" spans="1:8" ht="15.75" customHeight="1" x14ac:dyDescent="0.25">
      <c r="A164" s="13" t="str">
        <f ca="1">IFERROR(__xludf.DUMMYFUNCTION("""COMPUTED_VALUE"""),"albatros_zk_pa_hv")</f>
        <v>albatros_zk_pa_hv</v>
      </c>
      <c r="B164" s="13" t="str">
        <f ca="1">IFERROR(__xludf.DUMMYFUNCTION("""COMPUTED_VALUE"""),"Сопротивление короткого замыкания Zk обмотки ВН, фаза A")</f>
        <v>Сопротивление короткого замыкания Zk обмотки ВН, фаза A</v>
      </c>
      <c r="D164" s="49"/>
      <c r="F164" s="49"/>
      <c r="H164" s="49"/>
    </row>
    <row r="165" spans="1:8" ht="15.75" customHeight="1" x14ac:dyDescent="0.25">
      <c r="A165" s="13" t="str">
        <f ca="1">IFERROR(__xludf.DUMMYFUNCTION("""COMPUTED_VALUE"""),"albatros_zk_pa_lv")</f>
        <v>albatros_zk_pa_lv</v>
      </c>
      <c r="B165" s="13" t="str">
        <f ca="1">IFERROR(__xludf.DUMMYFUNCTION("""COMPUTED_VALUE"""),"Сопротивление короткого замыкания Zk обмотки НН, фаза A")</f>
        <v>Сопротивление короткого замыкания Zk обмотки НН, фаза A</v>
      </c>
      <c r="D165" s="49"/>
      <c r="F165" s="49"/>
      <c r="H165" s="49"/>
    </row>
    <row r="166" spans="1:8" ht="15.75" customHeight="1" x14ac:dyDescent="0.25">
      <c r="A166" s="13" t="str">
        <f ca="1">IFERROR(__xludf.DUMMYFUNCTION("""COMPUTED_VALUE"""),"albatros_zk_pb_hv")</f>
        <v>albatros_zk_pb_hv</v>
      </c>
      <c r="B166" s="13" t="str">
        <f ca="1">IFERROR(__xludf.DUMMYFUNCTION("""COMPUTED_VALUE"""),"Сопротивление короткого замыкания Zk обмотки ВН, фаза B")</f>
        <v>Сопротивление короткого замыкания Zk обмотки ВН, фаза B</v>
      </c>
      <c r="D166" s="49"/>
      <c r="F166" s="49"/>
      <c r="H166" s="49"/>
    </row>
    <row r="167" spans="1:8" ht="15.75" customHeight="1" x14ac:dyDescent="0.25">
      <c r="A167" s="13" t="str">
        <f ca="1">IFERROR(__xludf.DUMMYFUNCTION("""COMPUTED_VALUE"""),"albatros_zk_pb_lv")</f>
        <v>albatros_zk_pb_lv</v>
      </c>
      <c r="B167" s="13" t="str">
        <f ca="1">IFERROR(__xludf.DUMMYFUNCTION("""COMPUTED_VALUE"""),"Сопротивление короткого замыкания Zk обмотки НН, фаза B")</f>
        <v>Сопротивление короткого замыкания Zk обмотки НН, фаза B</v>
      </c>
      <c r="D167" s="49"/>
      <c r="F167" s="49"/>
      <c r="H167" s="49"/>
    </row>
    <row r="168" spans="1:8" ht="15.75" customHeight="1" x14ac:dyDescent="0.25">
      <c r="A168" s="13" t="str">
        <f ca="1">IFERROR(__xludf.DUMMYFUNCTION("""COMPUTED_VALUE"""),"albatros_zk_pc_hv")</f>
        <v>albatros_zk_pc_hv</v>
      </c>
      <c r="B168" s="13" t="str">
        <f ca="1">IFERROR(__xludf.DUMMYFUNCTION("""COMPUTED_VALUE"""),"Сопротивление короткого замыкания Zk обмотки ВН, фаза C")</f>
        <v>Сопротивление короткого замыкания Zk обмотки ВН, фаза C</v>
      </c>
      <c r="D168" s="49"/>
      <c r="F168" s="49"/>
      <c r="H168" s="49"/>
    </row>
    <row r="169" spans="1:8" ht="15.75" customHeight="1" x14ac:dyDescent="0.25">
      <c r="A169" s="13" t="str">
        <f ca="1">IFERROR(__xludf.DUMMYFUNCTION("""COMPUTED_VALUE"""),"albatros_zk_pc_lv")</f>
        <v>albatros_zk_pc_lv</v>
      </c>
      <c r="B169" s="13" t="str">
        <f ca="1">IFERROR(__xludf.DUMMYFUNCTION("""COMPUTED_VALUE"""),"Сопротивление короткого замыкания Zk обмотки НН, фаза C")</f>
        <v>Сопротивление короткого замыкания Zk обмотки НН, фаза C</v>
      </c>
      <c r="D169" s="49"/>
      <c r="F169" s="49"/>
      <c r="H169" s="49"/>
    </row>
    <row r="170" spans="1:8" ht="15.75" customHeight="1" x14ac:dyDescent="0.25">
      <c r="A170" s="13" t="str">
        <f ca="1">IFERROR(__xludf.DUMMYFUNCTION("""COMPUTED_VALUE"""),"block_valve_actuation")</f>
        <v>block_valve_actuation</v>
      </c>
      <c r="B170" s="13" t="str">
        <f ca="1">IFERROR(__xludf.DUMMYFUNCTION("""COMPUTED_VALUE"""),"Срабатывание отсечного клапана")</f>
        <v>Срабатывание отсечного клапана</v>
      </c>
      <c r="D170" s="49"/>
      <c r="F170" s="49"/>
      <c r="H170" s="49"/>
    </row>
    <row r="171" spans="1:8" ht="15.75" customHeight="1" x14ac:dyDescent="0.25">
      <c r="A171" s="13" t="str">
        <f ca="1">IFERROR(__xludf.DUMMYFUNCTION("""COMPUTED_VALUE"""),"breaker_i_eng_drive")</f>
        <v>breaker_i_eng_drive</v>
      </c>
      <c r="B171" s="13" t="str">
        <f ca="1">IFERROR(__xludf.DUMMYFUNCTION("""COMPUTED_VALUE"""),"Ток двигателя привода выключателя")</f>
        <v>Ток двигателя привода выключателя</v>
      </c>
      <c r="D171" s="49"/>
      <c r="F171" s="49"/>
      <c r="H171" s="49"/>
    </row>
    <row r="172" spans="1:8" ht="15.75" customHeight="1" x14ac:dyDescent="0.25">
      <c r="A172" s="13" t="str">
        <f ca="1">IFERROR(__xludf.DUMMYFUNCTION("""COMPUTED_VALUE"""),"breaker_i_hv_pa")</f>
        <v>breaker_i_hv_pa</v>
      </c>
      <c r="B172" s="13" t="str">
        <f ca="1">IFERROR(__xludf.DUMMYFUNCTION("""COMPUTED_VALUE"""),"Ток выключателя, фаза A")</f>
        <v>Ток выключателя, фаза A</v>
      </c>
      <c r="D172" s="49"/>
      <c r="F172" s="49"/>
      <c r="H172" s="49"/>
    </row>
    <row r="173" spans="1:8" ht="15.75" customHeight="1" x14ac:dyDescent="0.25">
      <c r="A173" s="13" t="str">
        <f ca="1">IFERROR(__xludf.DUMMYFUNCTION("""COMPUTED_VALUE"""),"breaker_i_hv_pb")</f>
        <v>breaker_i_hv_pb</v>
      </c>
      <c r="B173" s="13" t="str">
        <f ca="1">IFERROR(__xludf.DUMMYFUNCTION("""COMPUTED_VALUE"""),"Ток выключателя, фаза B")</f>
        <v>Ток выключателя, фаза B</v>
      </c>
      <c r="D173" s="49"/>
      <c r="F173" s="49"/>
      <c r="H173" s="49"/>
    </row>
    <row r="174" spans="1:8" ht="15.75" customHeight="1" x14ac:dyDescent="0.25">
      <c r="A174" s="13" t="str">
        <f ca="1">IFERROR(__xludf.DUMMYFUNCTION("""COMPUTED_VALUE"""),"breaker_i_hv_pc")</f>
        <v>breaker_i_hv_pc</v>
      </c>
      <c r="B174" s="13" t="str">
        <f ca="1">IFERROR(__xludf.DUMMYFUNCTION("""COMPUTED_VALUE"""),"Ток выключателя, фаза C")</f>
        <v>Ток выключателя, фаза C</v>
      </c>
      <c r="D174" s="49"/>
      <c r="F174" s="49"/>
      <c r="H174" s="49"/>
    </row>
    <row r="175" spans="1:8" ht="15.75" customHeight="1" x14ac:dyDescent="0.25">
      <c r="A175" s="13" t="str">
        <f ca="1">IFERROR(__xludf.DUMMYFUNCTION("""COMPUTED_VALUE"""),"breaker_i_sol_drive")</f>
        <v>breaker_i_sol_drive</v>
      </c>
      <c r="B175" s="13" t="str">
        <f ca="1">IFERROR(__xludf.DUMMYFUNCTION("""COMPUTED_VALUE"""),"Ток соленоида привода выключателя")</f>
        <v>Ток соленоида привода выключателя</v>
      </c>
      <c r="D175" s="49"/>
      <c r="F175" s="49"/>
      <c r="H175" s="49"/>
    </row>
    <row r="176" spans="1:8" ht="15.75" customHeight="1" x14ac:dyDescent="0.25">
      <c r="A176" s="13" t="str">
        <f ca="1">IFERROR(__xludf.DUMMYFUNCTION("""COMPUTED_VALUE"""),"breaker_pos")</f>
        <v>breaker_pos</v>
      </c>
      <c r="B176" s="13" t="str">
        <f ca="1">IFERROR(__xludf.DUMMYFUNCTION("""COMPUTED_VALUE"""),"Положение выключателя")</f>
        <v>Положение выключателя</v>
      </c>
      <c r="D176" s="49"/>
      <c r="F176" s="49"/>
      <c r="H176" s="49"/>
    </row>
    <row r="177" spans="1:8" ht="15.75" customHeight="1" x14ac:dyDescent="0.25">
      <c r="A177" s="13" t="str">
        <f ca="1">IFERROR(__xludf.DUMMYFUNCTION("""COMPUTED_VALUE"""),"bush_с1_pa_hv_initial")</f>
        <v>bush_с1_pa_hv_initial</v>
      </c>
      <c r="B177" s="13" t="str">
        <f ca="1">IFERROR(__xludf.DUMMYFUNCTION("""COMPUTED_VALUE"""),"Начальное значение ёмкости С1 ввода ВН, фаза A с прибора мониторинга")</f>
        <v>Начальное значение ёмкости С1 ввода ВН, фаза A с прибора мониторинга</v>
      </c>
      <c r="D177" s="49"/>
      <c r="F177" s="49"/>
      <c r="H177" s="49"/>
    </row>
    <row r="178" spans="1:8" ht="15.75" customHeight="1" x14ac:dyDescent="0.25">
      <c r="A178" s="13" t="str">
        <f ca="1">IFERROR(__xludf.DUMMYFUNCTION("""COMPUTED_VALUE"""),"bush_с1_pa_hv_initial_manual")</f>
        <v>bush_с1_pa_hv_initial_manual</v>
      </c>
      <c r="B178" s="13" t="str">
        <f ca="1">IFERROR(__xludf.DUMMYFUNCTION("""COMPUTED_VALUE"""),"Начальное значение ёмкости С1 ввода ВН, фаза A по результатам испытаний")</f>
        <v>Начальное значение ёмкости С1 ввода ВН, фаза A по результатам испытаний</v>
      </c>
      <c r="D178" s="49"/>
      <c r="F178" s="49"/>
      <c r="H178" s="49"/>
    </row>
    <row r="179" spans="1:8" ht="15.75" customHeight="1" x14ac:dyDescent="0.25">
      <c r="A179" s="13" t="str">
        <f ca="1">IFERROR(__xludf.DUMMYFUNCTION("""COMPUTED_VALUE"""),"bush_с1_pa_hv_initial_res")</f>
        <v>bush_с1_pa_hv_initial_res</v>
      </c>
      <c r="B179" s="13" t="str">
        <f ca="1">IFERROR(__xludf.DUMMYFUNCTION("""COMPUTED_VALUE"""),"Начальное значение ёмкости С1 ввода ВН, фаза A, результирующее")</f>
        <v>Начальное значение ёмкости С1 ввода ВН, фаза A, результирующее</v>
      </c>
      <c r="D179" s="49"/>
      <c r="F179" s="49"/>
      <c r="H179" s="49"/>
    </row>
    <row r="180" spans="1:8" ht="15.75" customHeight="1" x14ac:dyDescent="0.25">
      <c r="A180" s="13" t="str">
        <f ca="1">IFERROR(__xludf.DUMMYFUNCTION("""COMPUTED_VALUE"""),"bush_с1_pa_lv_initial")</f>
        <v>bush_с1_pa_lv_initial</v>
      </c>
      <c r="B180" s="13" t="str">
        <f ca="1">IFERROR(__xludf.DUMMYFUNCTION("""COMPUTED_VALUE"""),"Начальное значение ёмкости С1 ввода СН, фаза A с прибора мониторинга")</f>
        <v>Начальное значение ёмкости С1 ввода СН, фаза A с прибора мониторинга</v>
      </c>
      <c r="D180" s="49"/>
      <c r="F180" s="49"/>
      <c r="H180" s="49"/>
    </row>
    <row r="181" spans="1:8" ht="15.75" customHeight="1" x14ac:dyDescent="0.25">
      <c r="A181" s="13" t="str">
        <f ca="1">IFERROR(__xludf.DUMMYFUNCTION("""COMPUTED_VALUE"""),"bush_с1_pa_lv_initial_manual")</f>
        <v>bush_с1_pa_lv_initial_manual</v>
      </c>
      <c r="B181" s="13" t="str">
        <f ca="1">IFERROR(__xludf.DUMMYFUNCTION("""COMPUTED_VALUE"""),"Начальное значение ёмкости С1 ввода НН, фаза A по результатам испытаний")</f>
        <v>Начальное значение ёмкости С1 ввода НН, фаза A по результатам испытаний</v>
      </c>
      <c r="D181" s="49"/>
      <c r="F181" s="49"/>
      <c r="H181" s="49"/>
    </row>
    <row r="182" spans="1:8" ht="15.75" customHeight="1" x14ac:dyDescent="0.25">
      <c r="A182" s="13" t="str">
        <f ca="1">IFERROR(__xludf.DUMMYFUNCTION("""COMPUTED_VALUE"""),"bush_с1_pa_lv_initial_res")</f>
        <v>bush_с1_pa_lv_initial_res</v>
      </c>
      <c r="B182" s="13" t="str">
        <f ca="1">IFERROR(__xludf.DUMMYFUNCTION("""COMPUTED_VALUE"""),"Начальное значение ёмкости С1 ввода НН, фаза A, результирующее")</f>
        <v>Начальное значение ёмкости С1 ввода НН, фаза A, результирующее</v>
      </c>
      <c r="D182" s="49"/>
      <c r="F182" s="49"/>
      <c r="H182" s="49"/>
    </row>
    <row r="183" spans="1:8" ht="15.75" customHeight="1" x14ac:dyDescent="0.25">
      <c r="A183" s="13" t="str">
        <f ca="1">IFERROR(__xludf.DUMMYFUNCTION("""COMPUTED_VALUE"""),"bush_с1_pa_mv_initial")</f>
        <v>bush_с1_pa_mv_initial</v>
      </c>
      <c r="B183" s="13" t="str">
        <f ca="1">IFERROR(__xludf.DUMMYFUNCTION("""COMPUTED_VALUE"""),"Начальное значение ёмкости С1 ввода НН, фаза A с прибора мониторинга")</f>
        <v>Начальное значение ёмкости С1 ввода НН, фаза A с прибора мониторинга</v>
      </c>
      <c r="D183" s="49"/>
      <c r="F183" s="49"/>
      <c r="H183" s="49"/>
    </row>
    <row r="184" spans="1:8" ht="15.75" customHeight="1" x14ac:dyDescent="0.25">
      <c r="A184" s="13" t="str">
        <f ca="1">IFERROR(__xludf.DUMMYFUNCTION("""COMPUTED_VALUE"""),"bush_с1_pa_mv_initial_manual")</f>
        <v>bush_с1_pa_mv_initial_manual</v>
      </c>
      <c r="B184" s="13" t="str">
        <f ca="1">IFERROR(__xludf.DUMMYFUNCTION("""COMPUTED_VALUE"""),"Начальное значение ёмкости С1 ввода СН, фаза A по результатам испытаний")</f>
        <v>Начальное значение ёмкости С1 ввода СН, фаза A по результатам испытаний</v>
      </c>
      <c r="D184" s="49"/>
      <c r="F184" s="49"/>
      <c r="H184" s="49"/>
    </row>
    <row r="185" spans="1:8" ht="15.75" customHeight="1" x14ac:dyDescent="0.25">
      <c r="A185" s="13" t="str">
        <f ca="1">IFERROR(__xludf.DUMMYFUNCTION("""COMPUTED_VALUE"""),"bush_с1_pa_mv_initial_res")</f>
        <v>bush_с1_pa_mv_initial_res</v>
      </c>
      <c r="B185" s="13" t="str">
        <f ca="1">IFERROR(__xludf.DUMMYFUNCTION("""COMPUTED_VALUE"""),"Начальное значение ёмкости С1 ввода СН, фаза A, результирующее")</f>
        <v>Начальное значение ёмкости С1 ввода СН, фаза A, результирующее</v>
      </c>
      <c r="D185" s="49"/>
      <c r="F185" s="49"/>
      <c r="H185" s="49"/>
    </row>
    <row r="186" spans="1:8" ht="15.75" customHeight="1" x14ac:dyDescent="0.25">
      <c r="A186" s="13" t="str">
        <f ca="1">IFERROR(__xludf.DUMMYFUNCTION("""COMPUTED_VALUE"""),"bush_с1_pb_hv_initial")</f>
        <v>bush_с1_pb_hv_initial</v>
      </c>
      <c r="B186" s="13" t="str">
        <f ca="1">IFERROR(__xludf.DUMMYFUNCTION("""COMPUTED_VALUE"""),"Начальное значение ёмкости С1 ввода ВН, фаза B с прибора мониторинга")</f>
        <v>Начальное значение ёмкости С1 ввода ВН, фаза B с прибора мониторинга</v>
      </c>
      <c r="D186" s="49"/>
      <c r="F186" s="49"/>
      <c r="H186" s="49"/>
    </row>
    <row r="187" spans="1:8" ht="15.75" customHeight="1" x14ac:dyDescent="0.25">
      <c r="A187" s="13" t="str">
        <f ca="1">IFERROR(__xludf.DUMMYFUNCTION("""COMPUTED_VALUE"""),"bush_с1_pb_hv_initial_manual")</f>
        <v>bush_с1_pb_hv_initial_manual</v>
      </c>
      <c r="B187" s="13" t="str">
        <f ca="1">IFERROR(__xludf.DUMMYFUNCTION("""COMPUTED_VALUE"""),"Начальное значение ёмкости С1 ввода ВН, фаза B по результатам испытаний")</f>
        <v>Начальное значение ёмкости С1 ввода ВН, фаза B по результатам испытаний</v>
      </c>
      <c r="D187" s="49"/>
      <c r="F187" s="49"/>
      <c r="H187" s="49"/>
    </row>
    <row r="188" spans="1:8" ht="15.75" customHeight="1" x14ac:dyDescent="0.25">
      <c r="A188" s="13" t="str">
        <f ca="1">IFERROR(__xludf.DUMMYFUNCTION("""COMPUTED_VALUE"""),"bush_с1_pb_hv_initial_res")</f>
        <v>bush_с1_pb_hv_initial_res</v>
      </c>
      <c r="B188" s="13" t="str">
        <f ca="1">IFERROR(__xludf.DUMMYFUNCTION("""COMPUTED_VALUE"""),"Начальное значение ёмкости С1 ввода ВН, фаза B, результирующее")</f>
        <v>Начальное значение ёмкости С1 ввода ВН, фаза B, результирующее</v>
      </c>
      <c r="D188" s="49"/>
      <c r="F188" s="49"/>
      <c r="H188" s="49"/>
    </row>
    <row r="189" spans="1:8" ht="15.75" customHeight="1" x14ac:dyDescent="0.25">
      <c r="A189" s="13" t="str">
        <f ca="1">IFERROR(__xludf.DUMMYFUNCTION("""COMPUTED_VALUE"""),"bush_с1_pb_lv_initial")</f>
        <v>bush_с1_pb_lv_initial</v>
      </c>
      <c r="B189" s="13" t="str">
        <f ca="1">IFERROR(__xludf.DUMMYFUNCTION("""COMPUTED_VALUE"""),"Начальное значение ёмкости С1 ввода СН, фаза B с прибора мониторинга")</f>
        <v>Начальное значение ёмкости С1 ввода СН, фаза B с прибора мониторинга</v>
      </c>
      <c r="D189" s="49"/>
      <c r="F189" s="49"/>
      <c r="H189" s="49"/>
    </row>
    <row r="190" spans="1:8" ht="15.75" customHeight="1" x14ac:dyDescent="0.25">
      <c r="A190" s="13" t="str">
        <f ca="1">IFERROR(__xludf.DUMMYFUNCTION("""COMPUTED_VALUE"""),"bush_с1_pb_lv_initial_manual")</f>
        <v>bush_с1_pb_lv_initial_manual</v>
      </c>
      <c r="B190" s="13" t="str">
        <f ca="1">IFERROR(__xludf.DUMMYFUNCTION("""COMPUTED_VALUE"""),"Начальное значение ёмкости С1 ввода НН, фаза B по результатам испытаний")</f>
        <v>Начальное значение ёмкости С1 ввода НН, фаза B по результатам испытаний</v>
      </c>
      <c r="D190" s="49"/>
      <c r="F190" s="49"/>
      <c r="H190" s="49"/>
    </row>
    <row r="191" spans="1:8" ht="15.75" customHeight="1" x14ac:dyDescent="0.25">
      <c r="A191" s="13" t="str">
        <f ca="1">IFERROR(__xludf.DUMMYFUNCTION("""COMPUTED_VALUE"""),"bush_с1_pb_lv_initial_res")</f>
        <v>bush_с1_pb_lv_initial_res</v>
      </c>
      <c r="B191" s="13" t="str">
        <f ca="1">IFERROR(__xludf.DUMMYFUNCTION("""COMPUTED_VALUE"""),"Начальное значение ёмкости С1 ввода НН, фаза B, результирующее")</f>
        <v>Начальное значение ёмкости С1 ввода НН, фаза B, результирующее</v>
      </c>
      <c r="D191" s="49"/>
      <c r="F191" s="49"/>
      <c r="H191" s="49"/>
    </row>
    <row r="192" spans="1:8" ht="15.75" customHeight="1" x14ac:dyDescent="0.25">
      <c r="A192" s="13" t="str">
        <f ca="1">IFERROR(__xludf.DUMMYFUNCTION("""COMPUTED_VALUE"""),"bush_с1_pb_mv_initial")</f>
        <v>bush_с1_pb_mv_initial</v>
      </c>
      <c r="B192" s="13" t="str">
        <f ca="1">IFERROR(__xludf.DUMMYFUNCTION("""COMPUTED_VALUE"""),"Начальное значение ёмкости С1 ввода НН, фаза B с прибора мониторинга")</f>
        <v>Начальное значение ёмкости С1 ввода НН, фаза B с прибора мониторинга</v>
      </c>
      <c r="D192" s="49"/>
      <c r="F192" s="49"/>
      <c r="H192" s="49"/>
    </row>
    <row r="193" spans="1:8" ht="15.75" customHeight="1" x14ac:dyDescent="0.25">
      <c r="A193" s="13" t="str">
        <f ca="1">IFERROR(__xludf.DUMMYFUNCTION("""COMPUTED_VALUE"""),"bush_с1_pb_mv_initial_manual")</f>
        <v>bush_с1_pb_mv_initial_manual</v>
      </c>
      <c r="B193" s="13" t="str">
        <f ca="1">IFERROR(__xludf.DUMMYFUNCTION("""COMPUTED_VALUE"""),"Начальное значение ёмкости С1 ввода СН, фаза B по результатам испытаний")</f>
        <v>Начальное значение ёмкости С1 ввода СН, фаза B по результатам испытаний</v>
      </c>
      <c r="D193" s="49"/>
      <c r="F193" s="49"/>
      <c r="H193" s="49"/>
    </row>
    <row r="194" spans="1:8" ht="15.75" customHeight="1" x14ac:dyDescent="0.25">
      <c r="A194" s="13" t="str">
        <f ca="1">IFERROR(__xludf.DUMMYFUNCTION("""COMPUTED_VALUE"""),"bush_с1_pb_mv_initial_res")</f>
        <v>bush_с1_pb_mv_initial_res</v>
      </c>
      <c r="B194" s="13" t="str">
        <f ca="1">IFERROR(__xludf.DUMMYFUNCTION("""COMPUTED_VALUE"""),"Начальное значение ёмкости С1 ввода СН, фаза B, результирующее")</f>
        <v>Начальное значение ёмкости С1 ввода СН, фаза B, результирующее</v>
      </c>
      <c r="D194" s="49"/>
      <c r="F194" s="49"/>
      <c r="H194" s="49"/>
    </row>
    <row r="195" spans="1:8" ht="15.75" customHeight="1" x14ac:dyDescent="0.25">
      <c r="A195" s="13" t="str">
        <f ca="1">IFERROR(__xludf.DUMMYFUNCTION("""COMPUTED_VALUE"""),"bush_с1_pc_hv_initial")</f>
        <v>bush_с1_pc_hv_initial</v>
      </c>
      <c r="B195" s="13" t="str">
        <f ca="1">IFERROR(__xludf.DUMMYFUNCTION("""COMPUTED_VALUE"""),"Начальное значение ёмкости С1 ввода ВН, фаза C с прибора мониторинга")</f>
        <v>Начальное значение ёмкости С1 ввода ВН, фаза C с прибора мониторинга</v>
      </c>
      <c r="D195" s="49"/>
      <c r="F195" s="49"/>
      <c r="H195" s="49"/>
    </row>
    <row r="196" spans="1:8" ht="15.75" customHeight="1" x14ac:dyDescent="0.25">
      <c r="A196" s="13" t="str">
        <f ca="1">IFERROR(__xludf.DUMMYFUNCTION("""COMPUTED_VALUE"""),"bush_с1_pc_hv_initial_manual")</f>
        <v>bush_с1_pc_hv_initial_manual</v>
      </c>
      <c r="B196" s="13" t="str">
        <f ca="1">IFERROR(__xludf.DUMMYFUNCTION("""COMPUTED_VALUE"""),"Начальное значение ёмкости С1 ввода ВН, фаза C по результатам испытаний")</f>
        <v>Начальное значение ёмкости С1 ввода ВН, фаза C по результатам испытаний</v>
      </c>
      <c r="D196" s="49"/>
      <c r="F196" s="49"/>
      <c r="H196" s="49"/>
    </row>
    <row r="197" spans="1:8" ht="15.75" customHeight="1" x14ac:dyDescent="0.25">
      <c r="A197" s="13" t="str">
        <f ca="1">IFERROR(__xludf.DUMMYFUNCTION("""COMPUTED_VALUE"""),"bush_с1_pc_hv_initial_res")</f>
        <v>bush_с1_pc_hv_initial_res</v>
      </c>
      <c r="B197" s="13" t="str">
        <f ca="1">IFERROR(__xludf.DUMMYFUNCTION("""COMPUTED_VALUE"""),"Начальное значение ёмкости С1 ввода ВН, фаза C, результирующее")</f>
        <v>Начальное значение ёмкости С1 ввода ВН, фаза C, результирующее</v>
      </c>
      <c r="D197" s="49"/>
      <c r="F197" s="49"/>
      <c r="H197" s="49"/>
    </row>
    <row r="198" spans="1:8" ht="15.75" customHeight="1" x14ac:dyDescent="0.25">
      <c r="A198" s="13" t="str">
        <f ca="1">IFERROR(__xludf.DUMMYFUNCTION("""COMPUTED_VALUE"""),"bush_с1_pc_lv_initial")</f>
        <v>bush_с1_pc_lv_initial</v>
      </c>
      <c r="B198" s="13" t="str">
        <f ca="1">IFERROR(__xludf.DUMMYFUNCTION("""COMPUTED_VALUE"""),"Начальное значение ёмкости С1 ввода СН, фаза C с прибора мониторинга")</f>
        <v>Начальное значение ёмкости С1 ввода СН, фаза C с прибора мониторинга</v>
      </c>
      <c r="D198" s="49"/>
      <c r="F198" s="49"/>
      <c r="H198" s="49"/>
    </row>
    <row r="199" spans="1:8" ht="15.75" customHeight="1" x14ac:dyDescent="0.25">
      <c r="A199" s="13" t="str">
        <f ca="1">IFERROR(__xludf.DUMMYFUNCTION("""COMPUTED_VALUE"""),"bush_с1_pc_lv_initial_manual")</f>
        <v>bush_с1_pc_lv_initial_manual</v>
      </c>
      <c r="B199" s="13" t="str">
        <f ca="1">IFERROR(__xludf.DUMMYFUNCTION("""COMPUTED_VALUE"""),"Начальное значение ёмкости С1 ввода НН, фаза C по результатам испытаний")</f>
        <v>Начальное значение ёмкости С1 ввода НН, фаза C по результатам испытаний</v>
      </c>
      <c r="D199" s="49"/>
      <c r="F199" s="49"/>
      <c r="H199" s="49"/>
    </row>
    <row r="200" spans="1:8" ht="15.75" customHeight="1" x14ac:dyDescent="0.25">
      <c r="A200" s="13" t="str">
        <f ca="1">IFERROR(__xludf.DUMMYFUNCTION("""COMPUTED_VALUE"""),"bush_с1_pc_lv_initial_res")</f>
        <v>bush_с1_pc_lv_initial_res</v>
      </c>
      <c r="B200" s="13" t="str">
        <f ca="1">IFERROR(__xludf.DUMMYFUNCTION("""COMPUTED_VALUE"""),"Начальное значение ёмкости С1 ввода НН, фаза C, результирующее")</f>
        <v>Начальное значение ёмкости С1 ввода НН, фаза C, результирующее</v>
      </c>
      <c r="D200" s="49"/>
      <c r="F200" s="49"/>
      <c r="H200" s="49"/>
    </row>
    <row r="201" spans="1:8" ht="15.75" customHeight="1" x14ac:dyDescent="0.25">
      <c r="A201" s="13" t="str">
        <f ca="1">IFERROR(__xludf.DUMMYFUNCTION("""COMPUTED_VALUE"""),"bush_с1_pc_mv_initial")</f>
        <v>bush_с1_pc_mv_initial</v>
      </c>
      <c r="B201" s="13" t="str">
        <f ca="1">IFERROR(__xludf.DUMMYFUNCTION("""COMPUTED_VALUE"""),"Начальное значение ёмкости С1 ввода НН, фаза C с прибора мониторинга")</f>
        <v>Начальное значение ёмкости С1 ввода НН, фаза C с прибора мониторинга</v>
      </c>
      <c r="D201" s="49"/>
      <c r="F201" s="49"/>
      <c r="H201" s="49"/>
    </row>
    <row r="202" spans="1:8" ht="15.75" customHeight="1" x14ac:dyDescent="0.25">
      <c r="A202" s="13" t="str">
        <f ca="1">IFERROR(__xludf.DUMMYFUNCTION("""COMPUTED_VALUE"""),"bush_с1_pc_mv_initial_manual")</f>
        <v>bush_с1_pc_mv_initial_manual</v>
      </c>
      <c r="B202" s="13" t="str">
        <f ca="1">IFERROR(__xludf.DUMMYFUNCTION("""COMPUTED_VALUE"""),"Начальное значение ёмкости С1 ввода СН, фаза C по результатам испытаний")</f>
        <v>Начальное значение ёмкости С1 ввода СН, фаза C по результатам испытаний</v>
      </c>
      <c r="D202" s="49"/>
      <c r="F202" s="49"/>
      <c r="H202" s="49"/>
    </row>
    <row r="203" spans="1:8" ht="15.75" customHeight="1" x14ac:dyDescent="0.25">
      <c r="A203" s="13" t="str">
        <f ca="1">IFERROR(__xludf.DUMMYFUNCTION("""COMPUTED_VALUE"""),"bush_с1_pc_mv_initial_res")</f>
        <v>bush_с1_pc_mv_initial_res</v>
      </c>
      <c r="B203" s="13" t="str">
        <f ca="1">IFERROR(__xludf.DUMMYFUNCTION("""COMPUTED_VALUE"""),"Начальное значение ёмкости С1 ввода СН, фаза C, результирующее")</f>
        <v>Начальное значение ёмкости С1 ввода СН, фаза C, результирующее</v>
      </c>
      <c r="D203" s="49"/>
      <c r="F203" s="49"/>
      <c r="H203" s="49"/>
    </row>
    <row r="204" spans="1:8" ht="15.75" customHeight="1" x14ac:dyDescent="0.25">
      <c r="A204" s="13" t="str">
        <f ca="1">IFERROR(__xludf.DUMMYFUNCTION("""COMPUTED_VALUE"""),"bush_alarm0")</f>
        <v>bush_alarm0</v>
      </c>
      <c r="B204" s="13" t="str">
        <f ca="1">IFERROR(__xludf.DUMMYFUNCTION("""COMPUTED_VALUE"""),"Опасное состояние изоляции высоковольтных вводов")</f>
        <v>Опасное состояние изоляции высоковольтных вводов</v>
      </c>
      <c r="D204" s="49"/>
      <c r="F204" s="49"/>
      <c r="H204" s="49"/>
    </row>
    <row r="205" spans="1:8" ht="15.75" customHeight="1" x14ac:dyDescent="0.25">
      <c r="A205" s="13" t="str">
        <f ca="1">IFERROR(__xludf.DUMMYFUNCTION("""COMPUTED_VALUE"""),"bush_alarm1")</f>
        <v>bush_alarm1</v>
      </c>
      <c r="B205" s="13" t="str">
        <f ca="1">IFERROR(__xludf.DUMMYFUNCTION("""COMPUTED_VALUE"""),"Аварийное состояние изоляции высоковольтных вводов")</f>
        <v>Аварийное состояние изоляции высоковольтных вводов</v>
      </c>
      <c r="D205" s="49"/>
      <c r="F205" s="49"/>
      <c r="H205" s="49"/>
    </row>
    <row r="206" spans="1:8" ht="15.75" customHeight="1" x14ac:dyDescent="0.25">
      <c r="A206" s="13" t="str">
        <f ca="1">IFERROR(__xludf.DUMMYFUNCTION("""COMPUTED_VALUE"""),"bush_c_forecast_pa_hv")</f>
        <v>bush_c_forecast_pa_hv</v>
      </c>
      <c r="B206" s="13" t="str">
        <f ca="1">IFERROR(__xludf.DUMMYFUNCTION("""COMPUTED_VALUE"""),"Прогноз развития ёмкости ввод ВН, фаза A")</f>
        <v>Прогноз развития ёмкости ввод ВН, фаза A</v>
      </c>
      <c r="D206" s="49"/>
      <c r="F206" s="49"/>
      <c r="H206" s="49"/>
    </row>
    <row r="207" spans="1:8" ht="15.75" customHeight="1" x14ac:dyDescent="0.25">
      <c r="A207" s="13" t="str">
        <f ca="1">IFERROR(__xludf.DUMMYFUNCTION("""COMPUTED_VALUE"""),"bush_c_forecast_pa_lv")</f>
        <v>bush_c_forecast_pa_lv</v>
      </c>
      <c r="B207" s="13" t="str">
        <f ca="1">IFERROR(__xludf.DUMMYFUNCTION("""COMPUTED_VALUE"""),"Прогноз развития ёмкости ввод НН, фаза A")</f>
        <v>Прогноз развития ёмкости ввод НН, фаза A</v>
      </c>
      <c r="D207" s="49"/>
      <c r="F207" s="49"/>
      <c r="H207" s="49"/>
    </row>
    <row r="208" spans="1:8" ht="15.75" customHeight="1" x14ac:dyDescent="0.25">
      <c r="A208" s="13" t="str">
        <f ca="1">IFERROR(__xludf.DUMMYFUNCTION("""COMPUTED_VALUE"""),"bush_c_forecast_pa_mv")</f>
        <v>bush_c_forecast_pa_mv</v>
      </c>
      <c r="B208" s="13" t="str">
        <f ca="1">IFERROR(__xludf.DUMMYFUNCTION("""COMPUTED_VALUE"""),"Прогноз развития ёмкости ввод СН, фаза A")</f>
        <v>Прогноз развития ёмкости ввод СН, фаза A</v>
      </c>
      <c r="D208" s="49"/>
      <c r="F208" s="49"/>
      <c r="H208" s="49"/>
    </row>
    <row r="209" spans="1:8" ht="15.75" customHeight="1" x14ac:dyDescent="0.25">
      <c r="A209" s="13" t="str">
        <f ca="1">IFERROR(__xludf.DUMMYFUNCTION("""COMPUTED_VALUE"""),"bush_c_forecast_pb_hv")</f>
        <v>bush_c_forecast_pb_hv</v>
      </c>
      <c r="B209" s="13" t="str">
        <f ca="1">IFERROR(__xludf.DUMMYFUNCTION("""COMPUTED_VALUE"""),"Прогноз развития ёмкости ввод ВН, фаза B")</f>
        <v>Прогноз развития ёмкости ввод ВН, фаза B</v>
      </c>
      <c r="D209" s="49"/>
      <c r="F209" s="49"/>
      <c r="H209" s="49"/>
    </row>
    <row r="210" spans="1:8" ht="15.75" customHeight="1" x14ac:dyDescent="0.25">
      <c r="A210" s="13" t="str">
        <f ca="1">IFERROR(__xludf.DUMMYFUNCTION("""COMPUTED_VALUE"""),"bush_c_forecast_pb_lv")</f>
        <v>bush_c_forecast_pb_lv</v>
      </c>
      <c r="B210" s="13" t="str">
        <f ca="1">IFERROR(__xludf.DUMMYFUNCTION("""COMPUTED_VALUE"""),"Прогноз развития ёмкости ввод НН, фаза B")</f>
        <v>Прогноз развития ёмкости ввод НН, фаза B</v>
      </c>
      <c r="D210" s="49"/>
      <c r="F210" s="49"/>
      <c r="H210" s="49"/>
    </row>
    <row r="211" spans="1:8" ht="15.75" customHeight="1" x14ac:dyDescent="0.25">
      <c r="A211" s="13" t="str">
        <f ca="1">IFERROR(__xludf.DUMMYFUNCTION("""COMPUTED_VALUE"""),"bush_c_forecast_pb_mv")</f>
        <v>bush_c_forecast_pb_mv</v>
      </c>
      <c r="B211" s="13" t="str">
        <f ca="1">IFERROR(__xludf.DUMMYFUNCTION("""COMPUTED_VALUE"""),"Прогноз развития ёмкости ввод СН, фаза B")</f>
        <v>Прогноз развития ёмкости ввод СН, фаза B</v>
      </c>
      <c r="D211" s="49"/>
      <c r="F211" s="49"/>
      <c r="H211" s="49"/>
    </row>
    <row r="212" spans="1:8" ht="15.75" customHeight="1" x14ac:dyDescent="0.25">
      <c r="A212" s="13" t="str">
        <f ca="1">IFERROR(__xludf.DUMMYFUNCTION("""COMPUTED_VALUE"""),"bush_c_forecast_pc_hv")</f>
        <v>bush_c_forecast_pc_hv</v>
      </c>
      <c r="B212" s="13" t="str">
        <f ca="1">IFERROR(__xludf.DUMMYFUNCTION("""COMPUTED_VALUE"""),"Прогноз развития ёмкости ввод ВН, фаза C")</f>
        <v>Прогноз развития ёмкости ввод ВН, фаза C</v>
      </c>
      <c r="D212" s="49"/>
      <c r="F212" s="49"/>
      <c r="H212" s="49"/>
    </row>
    <row r="213" spans="1:8" ht="15.75" customHeight="1" x14ac:dyDescent="0.25">
      <c r="A213" s="13" t="str">
        <f ca="1">IFERROR(__xludf.DUMMYFUNCTION("""COMPUTED_VALUE"""),"bush_c_forecast_pc_lv")</f>
        <v>bush_c_forecast_pc_lv</v>
      </c>
      <c r="B213" s="13" t="str">
        <f ca="1">IFERROR(__xludf.DUMMYFUNCTION("""COMPUTED_VALUE"""),"Прогноз развития ёмкости ввод НН, фаза C")</f>
        <v>Прогноз развития ёмкости ввод НН, фаза C</v>
      </c>
      <c r="D213" s="49"/>
      <c r="F213" s="49"/>
      <c r="H213" s="49"/>
    </row>
    <row r="214" spans="1:8" ht="15.75" customHeight="1" x14ac:dyDescent="0.25">
      <c r="A214" s="13" t="str">
        <f ca="1">IFERROR(__xludf.DUMMYFUNCTION("""COMPUTED_VALUE"""),"bush_c_forecast_pc_mv")</f>
        <v>bush_c_forecast_pc_mv</v>
      </c>
      <c r="B214" s="13" t="str">
        <f ca="1">IFERROR(__xludf.DUMMYFUNCTION("""COMPUTED_VALUE"""),"Прогноз развития ёмкости ввод СН, фаза C")</f>
        <v>Прогноз развития ёмкости ввод СН, фаза C</v>
      </c>
      <c r="D214" s="49"/>
      <c r="F214" s="49"/>
      <c r="H214" s="49"/>
    </row>
    <row r="215" spans="1:8" ht="15.75" customHeight="1" x14ac:dyDescent="0.25">
      <c r="A215" s="13" t="str">
        <f ca="1">IFERROR(__xludf.DUMMYFUNCTION("""COMPUTED_VALUE"""),"bush_c1_20_pa_hv")</f>
        <v>bush_c1_20_pa_hv</v>
      </c>
      <c r="B215" s="13" t="str">
        <f ca="1">IFERROR(__xludf.DUMMYFUNCTION("""COMPUTED_VALUE"""),"Ёмкость для 20 град. ввод ВН, фаза A")</f>
        <v>Ёмкость для 20 град. ввод ВН, фаза A</v>
      </c>
      <c r="D215" s="49"/>
      <c r="F215" s="49"/>
      <c r="H215" s="49"/>
    </row>
    <row r="216" spans="1:8" ht="15.75" customHeight="1" x14ac:dyDescent="0.25">
      <c r="A216" s="13" t="str">
        <f ca="1">IFERROR(__xludf.DUMMYFUNCTION("""COMPUTED_VALUE"""),"bush_c1_20_pa_lv")</f>
        <v>bush_c1_20_pa_lv</v>
      </c>
      <c r="B216" s="13" t="str">
        <f ca="1">IFERROR(__xludf.DUMMYFUNCTION("""COMPUTED_VALUE"""),"Ёмкость для 20 град. ввод НН, фаза A")</f>
        <v>Ёмкость для 20 град. ввод НН, фаза A</v>
      </c>
      <c r="D216" s="49"/>
      <c r="F216" s="49"/>
      <c r="H216" s="49"/>
    </row>
    <row r="217" spans="1:8" ht="15.75" customHeight="1" x14ac:dyDescent="0.25">
      <c r="A217" s="13" t="str">
        <f ca="1">IFERROR(__xludf.DUMMYFUNCTION("""COMPUTED_VALUE"""),"bush_c1_20_pa_mv")</f>
        <v>bush_c1_20_pa_mv</v>
      </c>
      <c r="B217" s="13" t="str">
        <f ca="1">IFERROR(__xludf.DUMMYFUNCTION("""COMPUTED_VALUE"""),"Ёмкость для 20 град. ввод СН, фаза A")</f>
        <v>Ёмкость для 20 град. ввод СН, фаза A</v>
      </c>
      <c r="D217" s="49"/>
      <c r="F217" s="49"/>
      <c r="H217" s="49"/>
    </row>
    <row r="218" spans="1:8" ht="15.75" customHeight="1" x14ac:dyDescent="0.25">
      <c r="A218" s="13" t="str">
        <f ca="1">IFERROR(__xludf.DUMMYFUNCTION("""COMPUTED_VALUE"""),"bush_c1_20_pb_hv")</f>
        <v>bush_c1_20_pb_hv</v>
      </c>
      <c r="B218" s="13" t="str">
        <f ca="1">IFERROR(__xludf.DUMMYFUNCTION("""COMPUTED_VALUE"""),"Ёмкость для 20 град. ввод ВН, фаза B")</f>
        <v>Ёмкость для 20 град. ввод ВН, фаза B</v>
      </c>
      <c r="D218" s="49"/>
      <c r="F218" s="49"/>
      <c r="H218" s="49"/>
    </row>
    <row r="219" spans="1:8" ht="15.75" customHeight="1" x14ac:dyDescent="0.25">
      <c r="A219" s="13" t="str">
        <f ca="1">IFERROR(__xludf.DUMMYFUNCTION("""COMPUTED_VALUE"""),"bush_c1_20_pb_lv")</f>
        <v>bush_c1_20_pb_lv</v>
      </c>
      <c r="B219" s="13" t="str">
        <f ca="1">IFERROR(__xludf.DUMMYFUNCTION("""COMPUTED_VALUE"""),"Ёмкость для 20 град. ввод НН, фаза B")</f>
        <v>Ёмкость для 20 град. ввод НН, фаза B</v>
      </c>
      <c r="D219" s="49"/>
      <c r="F219" s="49"/>
      <c r="H219" s="49"/>
    </row>
    <row r="220" spans="1:8" ht="15.75" customHeight="1" x14ac:dyDescent="0.25">
      <c r="A220" s="13" t="str">
        <f ca="1">IFERROR(__xludf.DUMMYFUNCTION("""COMPUTED_VALUE"""),"bush_c1_20_pb_mv")</f>
        <v>bush_c1_20_pb_mv</v>
      </c>
      <c r="B220" s="13" t="str">
        <f ca="1">IFERROR(__xludf.DUMMYFUNCTION("""COMPUTED_VALUE"""),"Ёмкость для 20 град. ввод СН, фаза B")</f>
        <v>Ёмкость для 20 град. ввод СН, фаза B</v>
      </c>
      <c r="D220" s="49"/>
      <c r="F220" s="49"/>
      <c r="H220" s="49"/>
    </row>
    <row r="221" spans="1:8" ht="15.75" customHeight="1" x14ac:dyDescent="0.25">
      <c r="A221" s="13" t="str">
        <f ca="1">IFERROR(__xludf.DUMMYFUNCTION("""COMPUTED_VALUE"""),"bush_c1_20_pc_hv")</f>
        <v>bush_c1_20_pc_hv</v>
      </c>
      <c r="B221" s="13" t="str">
        <f ca="1">IFERROR(__xludf.DUMMYFUNCTION("""COMPUTED_VALUE"""),"Ёмкость для 20 град. ввод ВН, фаза C")</f>
        <v>Ёмкость для 20 град. ввод ВН, фаза C</v>
      </c>
      <c r="D221" s="49"/>
      <c r="F221" s="49"/>
      <c r="H221" s="49"/>
    </row>
    <row r="222" spans="1:8" ht="15.75" customHeight="1" x14ac:dyDescent="0.25">
      <c r="A222" s="13" t="str">
        <f ca="1">IFERROR(__xludf.DUMMYFUNCTION("""COMPUTED_VALUE"""),"bush_c1_20_pc_lv")</f>
        <v>bush_c1_20_pc_lv</v>
      </c>
      <c r="B222" s="13" t="str">
        <f ca="1">IFERROR(__xludf.DUMMYFUNCTION("""COMPUTED_VALUE"""),"Ёмкость для 20 град. ввод НН, фаза C")</f>
        <v>Ёмкость для 20 град. ввод НН, фаза C</v>
      </c>
      <c r="D222" s="49"/>
      <c r="F222" s="49"/>
      <c r="H222" s="49"/>
    </row>
    <row r="223" spans="1:8" ht="15.75" customHeight="1" x14ac:dyDescent="0.25">
      <c r="A223" s="13" t="str">
        <f ca="1">IFERROR(__xludf.DUMMYFUNCTION("""COMPUTED_VALUE"""),"bush_c1_20_pc_mv")</f>
        <v>bush_c1_20_pc_mv</v>
      </c>
      <c r="B223" s="13" t="str">
        <f ca="1">IFERROR(__xludf.DUMMYFUNCTION("""COMPUTED_VALUE"""),"Ёмкость для 20 град. ввод СН, фаза C")</f>
        <v>Ёмкость для 20 град. ввод СН, фаза C</v>
      </c>
      <c r="D223" s="49"/>
      <c r="F223" s="49"/>
      <c r="H223" s="49"/>
    </row>
    <row r="224" spans="1:8" ht="15.75" customHeight="1" x14ac:dyDescent="0.25">
      <c r="A224" s="13" t="str">
        <f ca="1">IFERROR(__xludf.DUMMYFUNCTION("""COMPUTED_VALUE"""),"bush_c1_lim0")</f>
        <v>bush_c1_lim0</v>
      </c>
      <c r="B224" s="13" t="str">
        <f ca="1">IFERROR(__xludf.DUMMYFUNCTION("""COMPUTED_VALUE"""),"ДЗ ёмкости ")</f>
        <v xml:space="preserve">ДЗ ёмкости </v>
      </c>
      <c r="D224" s="49"/>
      <c r="F224" s="49"/>
      <c r="H224" s="49"/>
    </row>
    <row r="225" spans="1:8" ht="15.75" customHeight="1" x14ac:dyDescent="0.25">
      <c r="A225" s="13" t="str">
        <f ca="1">IFERROR(__xludf.DUMMYFUNCTION("""COMPUTED_VALUE"""),"bush_c1_lim1")</f>
        <v>bush_c1_lim1</v>
      </c>
      <c r="B225" s="13" t="str">
        <f ca="1">IFERROR(__xludf.DUMMYFUNCTION("""COMPUTED_VALUE"""),"Верхняя граница ёмкости ")</f>
        <v xml:space="preserve">Верхняя граница ёмкости </v>
      </c>
      <c r="D225" s="49"/>
      <c r="F225" s="49"/>
      <c r="H225" s="49"/>
    </row>
    <row r="226" spans="1:8" ht="15.75" customHeight="1" x14ac:dyDescent="0.25">
      <c r="A226" s="13" t="str">
        <f ca="1">IFERROR(__xludf.DUMMYFUNCTION("""COMPUTED_VALUE"""),"bush_c1_lim1_manual")</f>
        <v>bush_c1_lim1_manual</v>
      </c>
      <c r="B226" s="13" t="str">
        <f ca="1">IFERROR(__xludf.DUMMYFUNCTION("""COMPUTED_VALUE"""),"Верхняя граница ёмкости, ручное")</f>
        <v>Верхняя граница ёмкости, ручное</v>
      </c>
      <c r="D226" s="49"/>
      <c r="F226" s="49"/>
      <c r="H226" s="49"/>
    </row>
    <row r="227" spans="1:8" ht="15.75" customHeight="1" x14ac:dyDescent="0.25">
      <c r="A227" s="13" t="str">
        <f ca="1">IFERROR(__xludf.DUMMYFUNCTION("""COMPUTED_VALUE"""),"bush_c1_pa_hv")</f>
        <v>bush_c1_pa_hv</v>
      </c>
      <c r="B227" s="13" t="str">
        <f ca="1">IFERROR(__xludf.DUMMYFUNCTION("""COMPUTED_VALUE"""),"Ёмкость C1 основной изоляции ввода ВН, фаза A")</f>
        <v>Ёмкость C1 основной изоляции ввода ВН, фаза A</v>
      </c>
      <c r="D227" s="49"/>
      <c r="F227" s="49"/>
      <c r="H227" s="49"/>
    </row>
    <row r="228" spans="1:8" ht="15.75" customHeight="1" x14ac:dyDescent="0.25">
      <c r="A228" s="13" t="str">
        <f ca="1">IFERROR(__xludf.DUMMYFUNCTION("""COMPUTED_VALUE"""),"bush_c1_pa_lv")</f>
        <v>bush_c1_pa_lv</v>
      </c>
      <c r="B228" s="13" t="str">
        <f ca="1">IFERROR(__xludf.DUMMYFUNCTION("""COMPUTED_VALUE"""),"Ёмкость C1 основной изоляции ввода НН, фаза A")</f>
        <v>Ёмкость C1 основной изоляции ввода НН, фаза A</v>
      </c>
      <c r="D228" s="49"/>
      <c r="F228" s="49"/>
      <c r="H228" s="49"/>
    </row>
    <row r="229" spans="1:8" ht="15.75" customHeight="1" x14ac:dyDescent="0.25">
      <c r="A229" s="13" t="str">
        <f ca="1">IFERROR(__xludf.DUMMYFUNCTION("""COMPUTED_VALUE"""),"bush_c1_pa_mv")</f>
        <v>bush_c1_pa_mv</v>
      </c>
      <c r="B229" s="13" t="str">
        <f ca="1">IFERROR(__xludf.DUMMYFUNCTION("""COMPUTED_VALUE"""),"Ёмкость C1 основной изоляции ввода СН, фаза A")</f>
        <v>Ёмкость C1 основной изоляции ввода СН, фаза A</v>
      </c>
      <c r="D229" s="49"/>
      <c r="F229" s="49"/>
      <c r="H229" s="49"/>
    </row>
    <row r="230" spans="1:8" ht="15.75" customHeight="1" x14ac:dyDescent="0.25">
      <c r="A230" s="13" t="str">
        <f ca="1">IFERROR(__xludf.DUMMYFUNCTION("""COMPUTED_VALUE"""),"bush_c1_pb_hv")</f>
        <v>bush_c1_pb_hv</v>
      </c>
      <c r="B230" s="13" t="str">
        <f ca="1">IFERROR(__xludf.DUMMYFUNCTION("""COMPUTED_VALUE"""),"Ёмкость C1 основной изоляции ввода ВН, фаза B")</f>
        <v>Ёмкость C1 основной изоляции ввода ВН, фаза B</v>
      </c>
      <c r="D230" s="49"/>
      <c r="F230" s="49"/>
      <c r="H230" s="49"/>
    </row>
    <row r="231" spans="1:8" ht="15.75" customHeight="1" x14ac:dyDescent="0.25">
      <c r="A231" s="13" t="str">
        <f ca="1">IFERROR(__xludf.DUMMYFUNCTION("""COMPUTED_VALUE"""),"bush_c1_pb_lv")</f>
        <v>bush_c1_pb_lv</v>
      </c>
      <c r="B231" s="13" t="str">
        <f ca="1">IFERROR(__xludf.DUMMYFUNCTION("""COMPUTED_VALUE"""),"Ёмкость C1 основной изоляции ввода НН, фаза B")</f>
        <v>Ёмкость C1 основной изоляции ввода НН, фаза B</v>
      </c>
      <c r="D231" s="49"/>
      <c r="F231" s="49"/>
      <c r="H231" s="49"/>
    </row>
    <row r="232" spans="1:8" ht="15.75" customHeight="1" x14ac:dyDescent="0.25">
      <c r="A232" s="13" t="str">
        <f ca="1">IFERROR(__xludf.DUMMYFUNCTION("""COMPUTED_VALUE"""),"bush_c1_pb_mv")</f>
        <v>bush_c1_pb_mv</v>
      </c>
      <c r="B232" s="13" t="str">
        <f ca="1">IFERROR(__xludf.DUMMYFUNCTION("""COMPUTED_VALUE"""),"Ёмкость C1 основной изоляции ввода СН, фаза B")</f>
        <v>Ёмкость C1 основной изоляции ввода СН, фаза B</v>
      </c>
      <c r="D232" s="49"/>
      <c r="F232" s="49"/>
      <c r="H232" s="49"/>
    </row>
    <row r="233" spans="1:8" ht="15.75" customHeight="1" x14ac:dyDescent="0.25">
      <c r="A233" s="13" t="str">
        <f ca="1">IFERROR(__xludf.DUMMYFUNCTION("""COMPUTED_VALUE"""),"bush_c1_pc_hv")</f>
        <v>bush_c1_pc_hv</v>
      </c>
      <c r="B233" s="13" t="str">
        <f ca="1">IFERROR(__xludf.DUMMYFUNCTION("""COMPUTED_VALUE"""),"Ёмкость C1 основной изоляции ввода ВН, фаза C")</f>
        <v>Ёмкость C1 основной изоляции ввода ВН, фаза C</v>
      </c>
      <c r="D233" s="49"/>
      <c r="F233" s="49"/>
      <c r="H233" s="49"/>
    </row>
    <row r="234" spans="1:8" ht="15.75" customHeight="1" x14ac:dyDescent="0.25">
      <c r="A234" s="13" t="str">
        <f ca="1">IFERROR(__xludf.DUMMYFUNCTION("""COMPUTED_VALUE"""),"bush_c1_pc_lv")</f>
        <v>bush_c1_pc_lv</v>
      </c>
      <c r="B234" s="13" t="str">
        <f ca="1">IFERROR(__xludf.DUMMYFUNCTION("""COMPUTED_VALUE"""),"Ёмкость C1 основной изоляции ввода НН, фаза C")</f>
        <v>Ёмкость C1 основной изоляции ввода НН, фаза C</v>
      </c>
      <c r="D234" s="49"/>
      <c r="F234" s="49"/>
      <c r="H234" s="49"/>
    </row>
    <row r="235" spans="1:8" ht="15.75" customHeight="1" x14ac:dyDescent="0.25">
      <c r="A235" s="13" t="str">
        <f ca="1">IFERROR(__xludf.DUMMYFUNCTION("""COMPUTED_VALUE"""),"bush_c1_pc_mv")</f>
        <v>bush_c1_pc_mv</v>
      </c>
      <c r="B235" s="13" t="str">
        <f ca="1">IFERROR(__xludf.DUMMYFUNCTION("""COMPUTED_VALUE"""),"Ёмкость C1 основной изоляции ввода СН, фаза C")</f>
        <v>Ёмкость C1 основной изоляции ввода СН, фаза C</v>
      </c>
      <c r="D235" s="49"/>
      <c r="F235" s="49"/>
      <c r="H235" s="49"/>
    </row>
    <row r="236" spans="1:8" ht="15.75" customHeight="1" x14ac:dyDescent="0.25">
      <c r="A236" s="13" t="str">
        <f ca="1">IFERROR(__xludf.DUMMYFUNCTION("""COMPUTED_VALUE"""),"bush_d_c1_lim0")</f>
        <v>bush_d_c1_lim0</v>
      </c>
      <c r="B236" s="13" t="str">
        <f ca="1">IFERROR(__xludf.DUMMYFUNCTION("""COMPUTED_VALUE"""),"ДЗ изменения ёмкости ")</f>
        <v xml:space="preserve">ДЗ изменения ёмкости </v>
      </c>
      <c r="D236" s="49"/>
      <c r="F236" s="49"/>
      <c r="H236" s="49"/>
    </row>
    <row r="237" spans="1:8" ht="15.75" customHeight="1" x14ac:dyDescent="0.25">
      <c r="A237" s="13" t="str">
        <f ca="1">IFERROR(__xludf.DUMMYFUNCTION("""COMPUTED_VALUE"""),"bush_d_c1_lim0_manual")</f>
        <v>bush_d_c1_lim0_manual</v>
      </c>
      <c r="B237" s="13" t="str">
        <f ca="1">IFERROR(__xludf.DUMMYFUNCTION("""COMPUTED_VALUE"""),"ДЗ изменения ёмкости, ручное")</f>
        <v>ДЗ изменения ёмкости, ручное</v>
      </c>
      <c r="D237" s="49"/>
      <c r="F237" s="49"/>
      <c r="H237" s="49"/>
    </row>
    <row r="238" spans="1:8" ht="15.75" customHeight="1" x14ac:dyDescent="0.25">
      <c r="A238" s="13" t="str">
        <f ca="1">IFERROR(__xludf.DUMMYFUNCTION("""COMPUTED_VALUE"""),"bush_d_c1_lim1")</f>
        <v>bush_d_c1_lim1</v>
      </c>
      <c r="B238" s="13" t="str">
        <f ca="1">IFERROR(__xludf.DUMMYFUNCTION("""COMPUTED_VALUE"""),"ПДЗ изменения ёмкости ")</f>
        <v xml:space="preserve">ПДЗ изменения ёмкости </v>
      </c>
      <c r="D238" s="49"/>
      <c r="F238" s="49"/>
      <c r="H238" s="49"/>
    </row>
    <row r="239" spans="1:8" ht="15.75" customHeight="1" x14ac:dyDescent="0.25">
      <c r="A239" s="13" t="str">
        <f ca="1">IFERROR(__xludf.DUMMYFUNCTION("""COMPUTED_VALUE"""),"bush_d_c1_lim1_manual")</f>
        <v>bush_d_c1_lim1_manual</v>
      </c>
      <c r="B239" s="13" t="str">
        <f ca="1">IFERROR(__xludf.DUMMYFUNCTION("""COMPUTED_VALUE"""),"ПДЗ изменения ёмкости, ручное")</f>
        <v>ПДЗ изменения ёмкости, ручное</v>
      </c>
      <c r="D239" s="49"/>
      <c r="F239" s="49"/>
      <c r="H239" s="49"/>
    </row>
    <row r="240" spans="1:8" ht="15.75" customHeight="1" x14ac:dyDescent="0.25">
      <c r="A240" s="13" t="str">
        <f ca="1">IFERROR(__xludf.DUMMYFUNCTION("""COMPUTED_VALUE"""),"bush_d_c1_pa_hv")</f>
        <v>bush_d_c1_pa_hv</v>
      </c>
      <c r="B240" s="13" t="str">
        <f ca="1">IFERROR(__xludf.DUMMYFUNCTION("""COMPUTED_VALUE"""),"Изменение ёмкости С1 ввода ВН, фаза A")</f>
        <v>Изменение ёмкости С1 ввода ВН, фаза A</v>
      </c>
      <c r="D240" s="49"/>
      <c r="F240" s="49"/>
      <c r="H240" s="49"/>
    </row>
    <row r="241" spans="1:8" ht="15.75" customHeight="1" x14ac:dyDescent="0.25">
      <c r="A241" s="13" t="str">
        <f ca="1">IFERROR(__xludf.DUMMYFUNCTION("""COMPUTED_VALUE"""),"bush_d_c1_pa_hv_calc")</f>
        <v>bush_d_c1_pa_hv_calc</v>
      </c>
      <c r="B241" s="13" t="str">
        <f ca="1">IFERROR(__xludf.DUMMYFUNCTION("""COMPUTED_VALUE"""),"Изменение ёмкости С1 ввода ВН, фаза A, расчётное")</f>
        <v>Изменение ёмкости С1 ввода ВН, фаза A, расчётное</v>
      </c>
      <c r="D241" s="49"/>
      <c r="F241" s="49"/>
      <c r="H241" s="49"/>
    </row>
    <row r="242" spans="1:8" ht="15.75" customHeight="1" x14ac:dyDescent="0.25">
      <c r="A242" s="13" t="str">
        <f ca="1">IFERROR(__xludf.DUMMYFUNCTION("""COMPUTED_VALUE"""),"bush_d_c1_pa_lv")</f>
        <v>bush_d_c1_pa_lv</v>
      </c>
      <c r="B242" s="13" t="str">
        <f ca="1">IFERROR(__xludf.DUMMYFUNCTION("""COMPUTED_VALUE"""),"Изменение ёмкости С1 ввода НН, фаза A")</f>
        <v>Изменение ёмкости С1 ввода НН, фаза A</v>
      </c>
      <c r="D242" s="49"/>
      <c r="F242" s="49"/>
      <c r="H242" s="49"/>
    </row>
    <row r="243" spans="1:8" ht="15.75" customHeight="1" x14ac:dyDescent="0.25">
      <c r="A243" s="13" t="str">
        <f ca="1">IFERROR(__xludf.DUMMYFUNCTION("""COMPUTED_VALUE"""),"bush_d_c1_pa_lv_calc")</f>
        <v>bush_d_c1_pa_lv_calc</v>
      </c>
      <c r="B243" s="13" t="str">
        <f ca="1">IFERROR(__xludf.DUMMYFUNCTION("""COMPUTED_VALUE"""),"Изменение ёмкости С1 ввода НН, фаза A, расчётное")</f>
        <v>Изменение ёмкости С1 ввода НН, фаза A, расчётное</v>
      </c>
      <c r="D243" s="49"/>
      <c r="F243" s="49"/>
      <c r="H243" s="49"/>
    </row>
    <row r="244" spans="1:8" ht="15.75" customHeight="1" x14ac:dyDescent="0.25">
      <c r="A244" s="13" t="str">
        <f ca="1">IFERROR(__xludf.DUMMYFUNCTION("""COMPUTED_VALUE"""),"bush_d_c1_pa_mv")</f>
        <v>bush_d_c1_pa_mv</v>
      </c>
      <c r="B244" s="13" t="str">
        <f ca="1">IFERROR(__xludf.DUMMYFUNCTION("""COMPUTED_VALUE"""),"Изменение ёмкости С1 ввода СН, фаза A")</f>
        <v>Изменение ёмкости С1 ввода СН, фаза A</v>
      </c>
      <c r="D244" s="49"/>
      <c r="F244" s="49"/>
      <c r="H244" s="49"/>
    </row>
    <row r="245" spans="1:8" ht="15.75" customHeight="1" x14ac:dyDescent="0.25">
      <c r="A245" s="13" t="str">
        <f ca="1">IFERROR(__xludf.DUMMYFUNCTION("""COMPUTED_VALUE"""),"bush_d_c1_pa_mv_calc")</f>
        <v>bush_d_c1_pa_mv_calc</v>
      </c>
      <c r="B245" s="13" t="str">
        <f ca="1">IFERROR(__xludf.DUMMYFUNCTION("""COMPUTED_VALUE"""),"Изменение ёмкости С1 ввода СН, фаза A, расчётное")</f>
        <v>Изменение ёмкости С1 ввода СН, фаза A, расчётное</v>
      </c>
      <c r="D245" s="49"/>
      <c r="F245" s="49"/>
      <c r="H245" s="49"/>
    </row>
    <row r="246" spans="1:8" ht="15.75" customHeight="1" x14ac:dyDescent="0.25">
      <c r="A246" s="13" t="str">
        <f ca="1">IFERROR(__xludf.DUMMYFUNCTION("""COMPUTED_VALUE"""),"bush_d_c1_pb_hv")</f>
        <v>bush_d_c1_pb_hv</v>
      </c>
      <c r="B246" s="13" t="str">
        <f ca="1">IFERROR(__xludf.DUMMYFUNCTION("""COMPUTED_VALUE"""),"Изменение ёмкости С1 ввода ВН, фаза B")</f>
        <v>Изменение ёмкости С1 ввода ВН, фаза B</v>
      </c>
      <c r="D246" s="49"/>
      <c r="F246" s="49"/>
      <c r="H246" s="49"/>
    </row>
    <row r="247" spans="1:8" ht="15.75" customHeight="1" x14ac:dyDescent="0.25">
      <c r="A247" s="13" t="str">
        <f ca="1">IFERROR(__xludf.DUMMYFUNCTION("""COMPUTED_VALUE"""),"bush_d_c1_pb_hv_calc")</f>
        <v>bush_d_c1_pb_hv_calc</v>
      </c>
      <c r="B247" s="13" t="str">
        <f ca="1">IFERROR(__xludf.DUMMYFUNCTION("""COMPUTED_VALUE"""),"Изменение ёмкости С1 ввода ВН, фаза B, расчётное")</f>
        <v>Изменение ёмкости С1 ввода ВН, фаза B, расчётное</v>
      </c>
      <c r="D247" s="49"/>
      <c r="F247" s="49"/>
      <c r="H247" s="49"/>
    </row>
    <row r="248" spans="1:8" ht="15.75" customHeight="1" x14ac:dyDescent="0.25">
      <c r="A248" s="13" t="str">
        <f ca="1">IFERROR(__xludf.DUMMYFUNCTION("""COMPUTED_VALUE"""),"bush_d_c1_pb_lv")</f>
        <v>bush_d_c1_pb_lv</v>
      </c>
      <c r="B248" s="13" t="str">
        <f ca="1">IFERROR(__xludf.DUMMYFUNCTION("""COMPUTED_VALUE"""),"Изменение ёмкости С1 ввода НН, фаза B")</f>
        <v>Изменение ёмкости С1 ввода НН, фаза B</v>
      </c>
      <c r="D248" s="49"/>
      <c r="F248" s="49"/>
      <c r="H248" s="49"/>
    </row>
    <row r="249" spans="1:8" ht="15.75" customHeight="1" x14ac:dyDescent="0.25">
      <c r="A249" s="13" t="str">
        <f ca="1">IFERROR(__xludf.DUMMYFUNCTION("""COMPUTED_VALUE"""),"bush_d_c1_pb_lv_calc")</f>
        <v>bush_d_c1_pb_lv_calc</v>
      </c>
      <c r="B249" s="13" t="str">
        <f ca="1">IFERROR(__xludf.DUMMYFUNCTION("""COMPUTED_VALUE"""),"Изменение ёмкости С1 ввода НН, фаза B, расчётное")</f>
        <v>Изменение ёмкости С1 ввода НН, фаза B, расчётное</v>
      </c>
      <c r="D249" s="49"/>
      <c r="F249" s="49"/>
      <c r="H249" s="49"/>
    </row>
    <row r="250" spans="1:8" ht="15.75" customHeight="1" x14ac:dyDescent="0.25">
      <c r="A250" s="13" t="str">
        <f ca="1">IFERROR(__xludf.DUMMYFUNCTION("""COMPUTED_VALUE"""),"bush_d_c1_pb_mv")</f>
        <v>bush_d_c1_pb_mv</v>
      </c>
      <c r="B250" s="13" t="str">
        <f ca="1">IFERROR(__xludf.DUMMYFUNCTION("""COMPUTED_VALUE"""),"Изменение ёмкости С1 ввода СН, фаза B")</f>
        <v>Изменение ёмкости С1 ввода СН, фаза B</v>
      </c>
      <c r="D250" s="49"/>
      <c r="F250" s="49"/>
      <c r="H250" s="49"/>
    </row>
    <row r="251" spans="1:8" ht="15.75" customHeight="1" x14ac:dyDescent="0.25">
      <c r="A251" s="13" t="str">
        <f ca="1">IFERROR(__xludf.DUMMYFUNCTION("""COMPUTED_VALUE"""),"bush_d_c1_pb_mv_calc")</f>
        <v>bush_d_c1_pb_mv_calc</v>
      </c>
      <c r="B251" s="13" t="str">
        <f ca="1">IFERROR(__xludf.DUMMYFUNCTION("""COMPUTED_VALUE"""),"Изменение ёмкости С1 ввода СН, фаза B, расчётное")</f>
        <v>Изменение ёмкости С1 ввода СН, фаза B, расчётное</v>
      </c>
      <c r="D251" s="49"/>
      <c r="F251" s="49"/>
      <c r="H251" s="49"/>
    </row>
    <row r="252" spans="1:8" ht="15.75" customHeight="1" x14ac:dyDescent="0.25">
      <c r="A252" s="13" t="str">
        <f ca="1">IFERROR(__xludf.DUMMYFUNCTION("""COMPUTED_VALUE"""),"bush_d_c1_pc_hv")</f>
        <v>bush_d_c1_pc_hv</v>
      </c>
      <c r="B252" s="13" t="str">
        <f ca="1">IFERROR(__xludf.DUMMYFUNCTION("""COMPUTED_VALUE"""),"Изменение ёмкости С1 ввода ВН, фаза C")</f>
        <v>Изменение ёмкости С1 ввода ВН, фаза C</v>
      </c>
      <c r="D252" s="49"/>
      <c r="F252" s="49"/>
      <c r="H252" s="49"/>
    </row>
    <row r="253" spans="1:8" ht="15.75" customHeight="1" x14ac:dyDescent="0.25">
      <c r="A253" s="13" t="str">
        <f ca="1">IFERROR(__xludf.DUMMYFUNCTION("""COMPUTED_VALUE"""),"bush_d_c1_pc_hv_calc")</f>
        <v>bush_d_c1_pc_hv_calc</v>
      </c>
      <c r="B253" s="13" t="str">
        <f ca="1">IFERROR(__xludf.DUMMYFUNCTION("""COMPUTED_VALUE"""),"Изменение ёмкости С1 ввода ВН, фаза C, расчётное")</f>
        <v>Изменение ёмкости С1 ввода ВН, фаза C, расчётное</v>
      </c>
      <c r="D253" s="49"/>
      <c r="F253" s="49"/>
      <c r="H253" s="49"/>
    </row>
    <row r="254" spans="1:8" ht="15.75" customHeight="1" x14ac:dyDescent="0.25">
      <c r="A254" s="13" t="str">
        <f ca="1">IFERROR(__xludf.DUMMYFUNCTION("""COMPUTED_VALUE"""),"bush_d_c1_pc_lv")</f>
        <v>bush_d_c1_pc_lv</v>
      </c>
      <c r="B254" s="13" t="str">
        <f ca="1">IFERROR(__xludf.DUMMYFUNCTION("""COMPUTED_VALUE"""),"Изменение ёмкости С1 ввода НН, фаза C")</f>
        <v>Изменение ёмкости С1 ввода НН, фаза C</v>
      </c>
      <c r="D254" s="49"/>
      <c r="F254" s="49"/>
      <c r="H254" s="49"/>
    </row>
    <row r="255" spans="1:8" ht="15.75" customHeight="1" x14ac:dyDescent="0.25">
      <c r="A255" s="13" t="str">
        <f ca="1">IFERROR(__xludf.DUMMYFUNCTION("""COMPUTED_VALUE"""),"bush_d_c1_pc_lv_calc")</f>
        <v>bush_d_c1_pc_lv_calc</v>
      </c>
      <c r="B255" s="13" t="str">
        <f ca="1">IFERROR(__xludf.DUMMYFUNCTION("""COMPUTED_VALUE"""),"Изменение ёмкости С1 ввода НН, фаза C, расчётное")</f>
        <v>Изменение ёмкости С1 ввода НН, фаза C, расчётное</v>
      </c>
      <c r="D255" s="49"/>
      <c r="F255" s="49"/>
      <c r="H255" s="49"/>
    </row>
    <row r="256" spans="1:8" ht="15.75" customHeight="1" x14ac:dyDescent="0.25">
      <c r="A256" s="13" t="str">
        <f ca="1">IFERROR(__xludf.DUMMYFUNCTION("""COMPUTED_VALUE"""),"bush_d_c1_pc_mv")</f>
        <v>bush_d_c1_pc_mv</v>
      </c>
      <c r="B256" s="13" t="str">
        <f ca="1">IFERROR(__xludf.DUMMYFUNCTION("""COMPUTED_VALUE"""),"Изменение ёмкости С1 ввода СН, фаза C")</f>
        <v>Изменение ёмкости С1 ввода СН, фаза C</v>
      </c>
      <c r="D256" s="49"/>
      <c r="F256" s="49"/>
      <c r="H256" s="49"/>
    </row>
    <row r="257" spans="1:8" ht="15.75" customHeight="1" x14ac:dyDescent="0.25">
      <c r="A257" s="13" t="str">
        <f ca="1">IFERROR(__xludf.DUMMYFUNCTION("""COMPUTED_VALUE"""),"bush_d_c1_pc_mv_calc")</f>
        <v>bush_d_c1_pc_mv_calc</v>
      </c>
      <c r="B257" s="13" t="str">
        <f ca="1">IFERROR(__xludf.DUMMYFUNCTION("""COMPUTED_VALUE"""),"Изменение ёмкости С1 ввода СН, фаза C, расчётное")</f>
        <v>Изменение ёмкости С1 ввода СН, фаза C, расчётное</v>
      </c>
      <c r="D257" s="49"/>
      <c r="F257" s="49"/>
      <c r="H257" s="49"/>
    </row>
    <row r="258" spans="1:8" ht="15.75" customHeight="1" x14ac:dyDescent="0.25">
      <c r="A258" s="13" t="str">
        <f ca="1">IFERROR(__xludf.DUMMYFUNCTION("""COMPUTED_VALUE"""),"bush_d_tgd_lim0")</f>
        <v>bush_d_tgd_lim0</v>
      </c>
      <c r="B258" s="13" t="str">
        <f ca="1">IFERROR(__xludf.DUMMYFUNCTION("""COMPUTED_VALUE"""),"ДЗ изменения тангенса дельта")</f>
        <v>ДЗ изменения тангенса дельта</v>
      </c>
      <c r="D258" s="49"/>
      <c r="F258" s="49"/>
      <c r="H258" s="49"/>
    </row>
    <row r="259" spans="1:8" ht="15.75" customHeight="1" x14ac:dyDescent="0.25">
      <c r="A259" s="13" t="str">
        <f ca="1">IFERROR(__xludf.DUMMYFUNCTION("""COMPUTED_VALUE"""),"bush_d_tgd_lim0_manual")</f>
        <v>bush_d_tgd_lim0_manual</v>
      </c>
      <c r="B259" s="13" t="str">
        <f ca="1">IFERROR(__xludf.DUMMYFUNCTION("""COMPUTED_VALUE"""),"ДЗ изменения тангенса дельта, ручное")</f>
        <v>ДЗ изменения тангенса дельта, ручное</v>
      </c>
      <c r="D259" s="49"/>
      <c r="F259" s="49"/>
      <c r="H259" s="49"/>
    </row>
    <row r="260" spans="1:8" ht="15.75" customHeight="1" x14ac:dyDescent="0.25">
      <c r="A260" s="13" t="str">
        <f ca="1">IFERROR(__xludf.DUMMYFUNCTION("""COMPUTED_VALUE"""),"bush_d_tgd_lim1")</f>
        <v>bush_d_tgd_lim1</v>
      </c>
      <c r="B260" s="13" t="str">
        <f ca="1">IFERROR(__xludf.DUMMYFUNCTION("""COMPUTED_VALUE"""),"ПДЗ изменения тангенса дельта")</f>
        <v>ПДЗ изменения тангенса дельта</v>
      </c>
      <c r="D260" s="49"/>
      <c r="F260" s="49"/>
      <c r="H260" s="49"/>
    </row>
    <row r="261" spans="1:8" ht="15.75" customHeight="1" x14ac:dyDescent="0.25">
      <c r="A261" s="13" t="str">
        <f ca="1">IFERROR(__xludf.DUMMYFUNCTION("""COMPUTED_VALUE"""),"bush_d_tgd_lim1_manual")</f>
        <v>bush_d_tgd_lim1_manual</v>
      </c>
      <c r="B261" s="13" t="str">
        <f ca="1">IFERROR(__xludf.DUMMYFUNCTION("""COMPUTED_VALUE"""),"ПДЗ изменения тангенса дельта, ручное")</f>
        <v>ПДЗ изменения тангенса дельта, ручное</v>
      </c>
      <c r="D261" s="49"/>
      <c r="F261" s="49"/>
      <c r="H261" s="49"/>
    </row>
    <row r="262" spans="1:8" ht="15.75" customHeight="1" x14ac:dyDescent="0.25">
      <c r="A262" s="13" t="str">
        <f ca="1">IFERROR(__xludf.DUMMYFUNCTION("""COMPUTED_VALUE"""),"bush_d_tgd_pa_hv")</f>
        <v>bush_d_tgd_pa_hv</v>
      </c>
      <c r="B262" s="13" t="str">
        <f ca="1">IFERROR(__xludf.DUMMYFUNCTION("""COMPUTED_VALUE"""),"Изменение тангенса дельта основной изоляции ввода ВН, фаза A")</f>
        <v>Изменение тангенса дельта основной изоляции ввода ВН, фаза A</v>
      </c>
      <c r="D262" s="49"/>
      <c r="F262" s="49"/>
      <c r="H262" s="49"/>
    </row>
    <row r="263" spans="1:8" ht="15.75" customHeight="1" x14ac:dyDescent="0.25">
      <c r="A263" s="13" t="str">
        <f ca="1">IFERROR(__xludf.DUMMYFUNCTION("""COMPUTED_VALUE"""),"bush_d_tgd_pa_hv_calc")</f>
        <v>bush_d_tgd_pa_hv_calc</v>
      </c>
      <c r="B263" s="13" t="str">
        <f ca="1">IFERROR(__xludf.DUMMYFUNCTION("""COMPUTED_VALUE"""),"Изменение тангенса дельта основной изоляции ввода ВН, фаза A, расчётное")</f>
        <v>Изменение тангенса дельта основной изоляции ввода ВН, фаза A, расчётное</v>
      </c>
      <c r="D263" s="49"/>
      <c r="F263" s="49"/>
      <c r="H263" s="49"/>
    </row>
    <row r="264" spans="1:8" ht="15.75" customHeight="1" x14ac:dyDescent="0.25">
      <c r="A264" s="13" t="str">
        <f ca="1">IFERROR(__xludf.DUMMYFUNCTION("""COMPUTED_VALUE"""),"bush_d_tgd_pa_lv")</f>
        <v>bush_d_tgd_pa_lv</v>
      </c>
      <c r="B264" s="13" t="str">
        <f ca="1">IFERROR(__xludf.DUMMYFUNCTION("""COMPUTED_VALUE"""),"Изменение тангенса дельта основной изоляции ввода НН, фаза A")</f>
        <v>Изменение тангенса дельта основной изоляции ввода НН, фаза A</v>
      </c>
      <c r="D264" s="49"/>
      <c r="F264" s="49"/>
      <c r="H264" s="49"/>
    </row>
    <row r="265" spans="1:8" ht="15.75" customHeight="1" x14ac:dyDescent="0.25">
      <c r="A265" s="13" t="str">
        <f ca="1">IFERROR(__xludf.DUMMYFUNCTION("""COMPUTED_VALUE"""),"bush_d_tgd_pa_lv_calc")</f>
        <v>bush_d_tgd_pa_lv_calc</v>
      </c>
      <c r="B265" s="13" t="str">
        <f ca="1">IFERROR(__xludf.DUMMYFUNCTION("""COMPUTED_VALUE"""),"Изменение тангенса дельта основной изоляции ввода НН, фаза A, расчётное")</f>
        <v>Изменение тангенса дельта основной изоляции ввода НН, фаза A, расчётное</v>
      </c>
      <c r="D265" s="49"/>
      <c r="F265" s="49"/>
      <c r="H265" s="49"/>
    </row>
    <row r="266" spans="1:8" ht="15.75" customHeight="1" x14ac:dyDescent="0.25">
      <c r="A266" s="13" t="str">
        <f ca="1">IFERROR(__xludf.DUMMYFUNCTION("""COMPUTED_VALUE"""),"bush_d_tgd_pa_mv")</f>
        <v>bush_d_tgd_pa_mv</v>
      </c>
      <c r="B266" s="13" t="str">
        <f ca="1">IFERROR(__xludf.DUMMYFUNCTION("""COMPUTED_VALUE"""),"Изменение тангенса дельта основной изоляции ввода СН, фаза A")</f>
        <v>Изменение тангенса дельта основной изоляции ввода СН, фаза A</v>
      </c>
      <c r="D266" s="49"/>
      <c r="F266" s="49"/>
      <c r="H266" s="49"/>
    </row>
    <row r="267" spans="1:8" ht="15.75" customHeight="1" x14ac:dyDescent="0.25">
      <c r="A267" s="13" t="str">
        <f ca="1">IFERROR(__xludf.DUMMYFUNCTION("""COMPUTED_VALUE"""),"bush_d_tgd_pa_mv_calc")</f>
        <v>bush_d_tgd_pa_mv_calc</v>
      </c>
      <c r="B267" s="13" t="str">
        <f ca="1">IFERROR(__xludf.DUMMYFUNCTION("""COMPUTED_VALUE"""),"Изменение тангенса дельта основной изоляции ввода СН, фаза A, расчётное")</f>
        <v>Изменение тангенса дельта основной изоляции ввода СН, фаза A, расчётное</v>
      </c>
      <c r="D267" s="49"/>
      <c r="F267" s="49"/>
      <c r="H267" s="49"/>
    </row>
    <row r="268" spans="1:8" ht="15.75" customHeight="1" x14ac:dyDescent="0.25">
      <c r="A268" s="13" t="str">
        <f ca="1">IFERROR(__xludf.DUMMYFUNCTION("""COMPUTED_VALUE"""),"bush_d_tgd_pb_hv")</f>
        <v>bush_d_tgd_pb_hv</v>
      </c>
      <c r="B268" s="13" t="str">
        <f ca="1">IFERROR(__xludf.DUMMYFUNCTION("""COMPUTED_VALUE"""),"Изменение тангенса дельта основной изоляции ввода ВН, фаза B")</f>
        <v>Изменение тангенса дельта основной изоляции ввода ВН, фаза B</v>
      </c>
      <c r="D268" s="49"/>
      <c r="F268" s="49"/>
      <c r="H268" s="49"/>
    </row>
    <row r="269" spans="1:8" ht="15.75" customHeight="1" x14ac:dyDescent="0.25">
      <c r="A269" s="13" t="str">
        <f ca="1">IFERROR(__xludf.DUMMYFUNCTION("""COMPUTED_VALUE"""),"bush_d_tgd_pb_hv_calc")</f>
        <v>bush_d_tgd_pb_hv_calc</v>
      </c>
      <c r="B269" s="13" t="str">
        <f ca="1">IFERROR(__xludf.DUMMYFUNCTION("""COMPUTED_VALUE"""),"Изменение тангенса дельта основной изоляции ввода ВН, фаза B, расчётное")</f>
        <v>Изменение тангенса дельта основной изоляции ввода ВН, фаза B, расчётное</v>
      </c>
      <c r="D269" s="49"/>
      <c r="F269" s="49"/>
      <c r="H269" s="49"/>
    </row>
    <row r="270" spans="1:8" ht="15.75" customHeight="1" x14ac:dyDescent="0.25">
      <c r="A270" s="13" t="str">
        <f ca="1">IFERROR(__xludf.DUMMYFUNCTION("""COMPUTED_VALUE"""),"bush_d_tgd_pb_lv")</f>
        <v>bush_d_tgd_pb_lv</v>
      </c>
      <c r="B270" s="13" t="str">
        <f ca="1">IFERROR(__xludf.DUMMYFUNCTION("""COMPUTED_VALUE"""),"Изменение тангенса дельта основной изоляции ввода НН, фаза B")</f>
        <v>Изменение тангенса дельта основной изоляции ввода НН, фаза B</v>
      </c>
      <c r="D270" s="49"/>
      <c r="F270" s="49"/>
      <c r="H270" s="49"/>
    </row>
    <row r="271" spans="1:8" ht="15.75" customHeight="1" x14ac:dyDescent="0.25">
      <c r="A271" s="13" t="str">
        <f ca="1">IFERROR(__xludf.DUMMYFUNCTION("""COMPUTED_VALUE"""),"bush_d_tgd_pb_lv_calc")</f>
        <v>bush_d_tgd_pb_lv_calc</v>
      </c>
      <c r="B271" s="13" t="str">
        <f ca="1">IFERROR(__xludf.DUMMYFUNCTION("""COMPUTED_VALUE"""),"Изменение тангенса дельта основной изоляции ввода НН, фаза B, расчётное")</f>
        <v>Изменение тангенса дельта основной изоляции ввода НН, фаза B, расчётное</v>
      </c>
      <c r="D271" s="49"/>
      <c r="F271" s="49"/>
      <c r="H271" s="49"/>
    </row>
    <row r="272" spans="1:8" ht="15.75" customHeight="1" x14ac:dyDescent="0.25">
      <c r="A272" s="13" t="str">
        <f ca="1">IFERROR(__xludf.DUMMYFUNCTION("""COMPUTED_VALUE"""),"bush_d_tgd_pb_mv")</f>
        <v>bush_d_tgd_pb_mv</v>
      </c>
      <c r="B272" s="13" t="str">
        <f ca="1">IFERROR(__xludf.DUMMYFUNCTION("""COMPUTED_VALUE"""),"Изменение тангенса дельта основной изоляции ввода СН, фаза B")</f>
        <v>Изменение тангенса дельта основной изоляции ввода СН, фаза B</v>
      </c>
      <c r="D272" s="49"/>
      <c r="F272" s="49"/>
      <c r="H272" s="49"/>
    </row>
    <row r="273" spans="1:8" ht="15.75" customHeight="1" x14ac:dyDescent="0.25">
      <c r="A273" s="13" t="str">
        <f ca="1">IFERROR(__xludf.DUMMYFUNCTION("""COMPUTED_VALUE"""),"bush_d_tgd_pb_mv_calc")</f>
        <v>bush_d_tgd_pb_mv_calc</v>
      </c>
      <c r="B273" s="13" t="str">
        <f ca="1">IFERROR(__xludf.DUMMYFUNCTION("""COMPUTED_VALUE"""),"Изменение тангенса дельта основной изоляции ввода СН, фаза B, расчётное")</f>
        <v>Изменение тангенса дельта основной изоляции ввода СН, фаза B, расчётное</v>
      </c>
      <c r="D273" s="49"/>
      <c r="F273" s="49"/>
      <c r="H273" s="49"/>
    </row>
    <row r="274" spans="1:8" ht="15.75" customHeight="1" x14ac:dyDescent="0.25">
      <c r="A274" s="13" t="str">
        <f ca="1">IFERROR(__xludf.DUMMYFUNCTION("""COMPUTED_VALUE"""),"bush_d_tgd_pc_hv")</f>
        <v>bush_d_tgd_pc_hv</v>
      </c>
      <c r="B274" s="13" t="str">
        <f ca="1">IFERROR(__xludf.DUMMYFUNCTION("""COMPUTED_VALUE"""),"Изменение тангенса дельта основной изоляции ввода ВН, фаза C")</f>
        <v>Изменение тангенса дельта основной изоляции ввода ВН, фаза C</v>
      </c>
      <c r="D274" s="49"/>
      <c r="F274" s="49"/>
      <c r="H274" s="49"/>
    </row>
    <row r="275" spans="1:8" ht="15.75" customHeight="1" x14ac:dyDescent="0.25">
      <c r="A275" s="13" t="str">
        <f ca="1">IFERROR(__xludf.DUMMYFUNCTION("""COMPUTED_VALUE"""),"bush_d_tgd_pc_hv_calc")</f>
        <v>bush_d_tgd_pc_hv_calc</v>
      </c>
      <c r="B275" s="13" t="str">
        <f ca="1">IFERROR(__xludf.DUMMYFUNCTION("""COMPUTED_VALUE"""),"Изменение тангенса дельта основной изоляции ввода ВН, фаза C, расчётное")</f>
        <v>Изменение тангенса дельта основной изоляции ввода ВН, фаза C, расчётное</v>
      </c>
      <c r="D275" s="49"/>
      <c r="F275" s="49"/>
      <c r="H275" s="49"/>
    </row>
    <row r="276" spans="1:8" ht="15.75" customHeight="1" x14ac:dyDescent="0.25">
      <c r="A276" s="13" t="str">
        <f ca="1">IFERROR(__xludf.DUMMYFUNCTION("""COMPUTED_VALUE"""),"bush_d_tgd_pc_lv")</f>
        <v>bush_d_tgd_pc_lv</v>
      </c>
      <c r="B276" s="13" t="str">
        <f ca="1">IFERROR(__xludf.DUMMYFUNCTION("""COMPUTED_VALUE"""),"Изменение тангенса дельта основной изоляции ввода НН, фаза C")</f>
        <v>Изменение тангенса дельта основной изоляции ввода НН, фаза C</v>
      </c>
      <c r="D276" s="49"/>
      <c r="F276" s="49"/>
      <c r="H276" s="49"/>
    </row>
    <row r="277" spans="1:8" ht="15.75" customHeight="1" x14ac:dyDescent="0.25">
      <c r="A277" s="13" t="str">
        <f ca="1">IFERROR(__xludf.DUMMYFUNCTION("""COMPUTED_VALUE"""),"bush_d_tgd_pc_lv_calc")</f>
        <v>bush_d_tgd_pc_lv_calc</v>
      </c>
      <c r="B277" s="13" t="str">
        <f ca="1">IFERROR(__xludf.DUMMYFUNCTION("""COMPUTED_VALUE"""),"Изменение тангенса дельта основной изоляции ввода НН, фаза C, расчётное")</f>
        <v>Изменение тангенса дельта основной изоляции ввода НН, фаза C, расчётное</v>
      </c>
      <c r="D277" s="49"/>
      <c r="F277" s="49"/>
      <c r="H277" s="49"/>
    </row>
    <row r="278" spans="1:8" ht="15.75" customHeight="1" x14ac:dyDescent="0.25">
      <c r="A278" s="13" t="str">
        <f ca="1">IFERROR(__xludf.DUMMYFUNCTION("""COMPUTED_VALUE"""),"bush_d_tgd_pc_mv")</f>
        <v>bush_d_tgd_pc_mv</v>
      </c>
      <c r="B278" s="13" t="str">
        <f ca="1">IFERROR(__xludf.DUMMYFUNCTION("""COMPUTED_VALUE"""),"Изменение тангенса дельта основной изоляции ввода СН, фаза C")</f>
        <v>Изменение тангенса дельта основной изоляции ввода СН, фаза C</v>
      </c>
      <c r="D278" s="49"/>
      <c r="F278" s="49"/>
      <c r="H278" s="49"/>
    </row>
    <row r="279" spans="1:8" ht="15.75" customHeight="1" x14ac:dyDescent="0.25">
      <c r="A279" s="13" t="str">
        <f ca="1">IFERROR(__xludf.DUMMYFUNCTION("""COMPUTED_VALUE"""),"bush_d_tgd_pc_mv_calc")</f>
        <v>bush_d_tgd_pc_mv_calc</v>
      </c>
      <c r="B279" s="13" t="str">
        <f ca="1">IFERROR(__xludf.DUMMYFUNCTION("""COMPUTED_VALUE"""),"Изменение тангенса дельта основной изоляции ввода СН, фаза C, расчётное")</f>
        <v>Изменение тангенса дельта основной изоляции ввода СН, фаза C, расчётное</v>
      </c>
      <c r="D279" s="49"/>
      <c r="F279" s="49"/>
      <c r="H279" s="49"/>
    </row>
    <row r="280" spans="1:8" ht="15.75" customHeight="1" x14ac:dyDescent="0.25">
      <c r="A280" s="13" t="str">
        <f ca="1">IFERROR(__xludf.DUMMYFUNCTION("""COMPUTED_VALUE"""),"bush_i_creepage_lim0")</f>
        <v>bush_i_creepage_lim0</v>
      </c>
      <c r="B280" s="13" t="str">
        <f ca="1">IFERROR(__xludf.DUMMYFUNCTION("""COMPUTED_VALUE"""),"ДЗ тока утечки по поверхности ввода")</f>
        <v>ДЗ тока утечки по поверхности ввода</v>
      </c>
      <c r="D280" s="49"/>
      <c r="F280" s="49"/>
      <c r="H280" s="49"/>
    </row>
    <row r="281" spans="1:8" ht="15.75" customHeight="1" x14ac:dyDescent="0.25">
      <c r="A281" s="13" t="str">
        <f ca="1">IFERROR(__xludf.DUMMYFUNCTION("""COMPUTED_VALUE"""),"bush_i_creepage_lim0_manual")</f>
        <v>bush_i_creepage_lim0_manual</v>
      </c>
      <c r="B281" s="13" t="str">
        <f ca="1">IFERROR(__xludf.DUMMYFUNCTION("""COMPUTED_VALUE"""),"ДЗ тока утечки по поверхности ввода, ручное")</f>
        <v>ДЗ тока утечки по поверхности ввода, ручное</v>
      </c>
      <c r="D281" s="49"/>
      <c r="F281" s="49"/>
      <c r="H281" s="49"/>
    </row>
    <row r="282" spans="1:8" ht="15.75" customHeight="1" x14ac:dyDescent="0.25">
      <c r="A282" s="13" t="str">
        <f ca="1">IFERROR(__xludf.DUMMYFUNCTION("""COMPUTED_VALUE"""),"bush_i_creepage_lim1")</f>
        <v>bush_i_creepage_lim1</v>
      </c>
      <c r="B282" s="13" t="str">
        <f ca="1">IFERROR(__xludf.DUMMYFUNCTION("""COMPUTED_VALUE"""),"ПДЗ тока утечки по поверхности ввода")</f>
        <v>ПДЗ тока утечки по поверхности ввода</v>
      </c>
      <c r="D282" s="49"/>
      <c r="F282" s="49"/>
      <c r="H282" s="49"/>
    </row>
    <row r="283" spans="1:8" ht="15.75" customHeight="1" x14ac:dyDescent="0.25">
      <c r="A283" s="13" t="str">
        <f ca="1">IFERROR(__xludf.DUMMYFUNCTION("""COMPUTED_VALUE"""),"bush_i_creepage_lim1_manual")</f>
        <v>bush_i_creepage_lim1_manual</v>
      </c>
      <c r="B283" s="13" t="str">
        <f ca="1">IFERROR(__xludf.DUMMYFUNCTION("""COMPUTED_VALUE"""),"ПДЗ тока утечки по поверхности ввода, ручное")</f>
        <v>ПДЗ тока утечки по поверхности ввода, ручное</v>
      </c>
      <c r="D283" s="49"/>
      <c r="F283" s="49"/>
      <c r="H283" s="49"/>
    </row>
    <row r="284" spans="1:8" ht="15.75" customHeight="1" x14ac:dyDescent="0.25">
      <c r="A284" s="13" t="str">
        <f ca="1">IFERROR(__xludf.DUMMYFUNCTION("""COMPUTED_VALUE"""),"bush_i_creepage_pa_hv")</f>
        <v>bush_i_creepage_pa_hv</v>
      </c>
      <c r="B284" s="13" t="str">
        <f ca="1">IFERROR(__xludf.DUMMYFUNCTION("""COMPUTED_VALUE"""),"Ток утечки по поверхности ввода ВН, фаза A")</f>
        <v>Ток утечки по поверхности ввода ВН, фаза A</v>
      </c>
      <c r="D284" s="49"/>
      <c r="F284" s="49"/>
      <c r="H284" s="49"/>
    </row>
    <row r="285" spans="1:8" ht="15.75" customHeight="1" x14ac:dyDescent="0.25">
      <c r="A285" s="13" t="str">
        <f ca="1">IFERROR(__xludf.DUMMYFUNCTION("""COMPUTED_VALUE"""),"bush_i_creepage_pa_lv")</f>
        <v>bush_i_creepage_pa_lv</v>
      </c>
      <c r="B285" s="13" t="str">
        <f ca="1">IFERROR(__xludf.DUMMYFUNCTION("""COMPUTED_VALUE"""),"Ток утечки по поверхности ввода НН, фаза A")</f>
        <v>Ток утечки по поверхности ввода НН, фаза A</v>
      </c>
      <c r="D285" s="49"/>
      <c r="F285" s="49"/>
      <c r="H285" s="49"/>
    </row>
    <row r="286" spans="1:8" ht="15.75" customHeight="1" x14ac:dyDescent="0.25">
      <c r="A286" s="13" t="str">
        <f ca="1">IFERROR(__xludf.DUMMYFUNCTION("""COMPUTED_VALUE"""),"bush_i_creepage_pa_mv")</f>
        <v>bush_i_creepage_pa_mv</v>
      </c>
      <c r="B286" s="13" t="str">
        <f ca="1">IFERROR(__xludf.DUMMYFUNCTION("""COMPUTED_VALUE"""),"Ток утечки по поверхности ввода СН, фаза A")</f>
        <v>Ток утечки по поверхности ввода СН, фаза A</v>
      </c>
      <c r="D286" s="49"/>
      <c r="F286" s="49"/>
      <c r="H286" s="49"/>
    </row>
    <row r="287" spans="1:8" ht="15.75" customHeight="1" x14ac:dyDescent="0.25">
      <c r="A287" s="13" t="str">
        <f ca="1">IFERROR(__xludf.DUMMYFUNCTION("""COMPUTED_VALUE"""),"bush_i_creepage_pb_hv")</f>
        <v>bush_i_creepage_pb_hv</v>
      </c>
      <c r="B287" s="13" t="str">
        <f ca="1">IFERROR(__xludf.DUMMYFUNCTION("""COMPUTED_VALUE"""),"Ток утечки по поверхности ввода ВН, фаза B")</f>
        <v>Ток утечки по поверхности ввода ВН, фаза B</v>
      </c>
      <c r="D287" s="49"/>
      <c r="F287" s="49"/>
      <c r="H287" s="49"/>
    </row>
    <row r="288" spans="1:8" ht="15.75" customHeight="1" x14ac:dyDescent="0.25">
      <c r="A288" s="13" t="str">
        <f ca="1">IFERROR(__xludf.DUMMYFUNCTION("""COMPUTED_VALUE"""),"bush_i_creepage_pb_lv")</f>
        <v>bush_i_creepage_pb_lv</v>
      </c>
      <c r="B288" s="13" t="str">
        <f ca="1">IFERROR(__xludf.DUMMYFUNCTION("""COMPUTED_VALUE"""),"Ток утечки по поверхности ввода НН, фаза B")</f>
        <v>Ток утечки по поверхности ввода НН, фаза B</v>
      </c>
      <c r="D288" s="49"/>
      <c r="F288" s="49"/>
      <c r="H288" s="49"/>
    </row>
    <row r="289" spans="1:8" ht="15.75" customHeight="1" x14ac:dyDescent="0.25">
      <c r="A289" s="13" t="str">
        <f ca="1">IFERROR(__xludf.DUMMYFUNCTION("""COMPUTED_VALUE"""),"bush_i_creepage_pb_mv")</f>
        <v>bush_i_creepage_pb_mv</v>
      </c>
      <c r="B289" s="13" t="str">
        <f ca="1">IFERROR(__xludf.DUMMYFUNCTION("""COMPUTED_VALUE"""),"Ток утечки по поверхности ввода СН, фаза B")</f>
        <v>Ток утечки по поверхности ввода СН, фаза B</v>
      </c>
      <c r="D289" s="49"/>
      <c r="F289" s="49"/>
      <c r="H289" s="49"/>
    </row>
    <row r="290" spans="1:8" ht="15.75" customHeight="1" x14ac:dyDescent="0.25">
      <c r="A290" s="13" t="str">
        <f ca="1">IFERROR(__xludf.DUMMYFUNCTION("""COMPUTED_VALUE"""),"bush_i_creepage_pc_hv")</f>
        <v>bush_i_creepage_pc_hv</v>
      </c>
      <c r="B290" s="13" t="str">
        <f ca="1">IFERROR(__xludf.DUMMYFUNCTION("""COMPUTED_VALUE"""),"Ток утечки по поверхности ввода ВН, фаза C")</f>
        <v>Ток утечки по поверхности ввода ВН, фаза C</v>
      </c>
      <c r="D290" s="49"/>
      <c r="F290" s="49"/>
      <c r="H290" s="49"/>
    </row>
    <row r="291" spans="1:8" ht="15.75" customHeight="1" x14ac:dyDescent="0.25">
      <c r="A291" s="13" t="str">
        <f ca="1">IFERROR(__xludf.DUMMYFUNCTION("""COMPUTED_VALUE"""),"bush_i_creepage_pc_lv")</f>
        <v>bush_i_creepage_pc_lv</v>
      </c>
      <c r="B291" s="13" t="str">
        <f ca="1">IFERROR(__xludf.DUMMYFUNCTION("""COMPUTED_VALUE"""),"Ток утечки по поверхности ввода НН, фаза C")</f>
        <v>Ток утечки по поверхности ввода НН, фаза C</v>
      </c>
      <c r="D291" s="49"/>
      <c r="F291" s="49"/>
      <c r="H291" s="49"/>
    </row>
    <row r="292" spans="1:8" ht="15.75" customHeight="1" x14ac:dyDescent="0.25">
      <c r="A292" s="13" t="str">
        <f ca="1">IFERROR(__xludf.DUMMYFUNCTION("""COMPUTED_VALUE"""),"bush_i_creepage_pc_mv")</f>
        <v>bush_i_creepage_pc_mv</v>
      </c>
      <c r="B292" s="13" t="str">
        <f ca="1">IFERROR(__xludf.DUMMYFUNCTION("""COMPUTED_VALUE"""),"Ток утечки по поверхности ввода СН, фаза C")</f>
        <v>Ток утечки по поверхности ввода СН, фаза C</v>
      </c>
      <c r="D292" s="49"/>
      <c r="F292" s="49"/>
      <c r="H292" s="49"/>
    </row>
    <row r="293" spans="1:8" ht="15.75" customHeight="1" x14ac:dyDescent="0.25">
      <c r="A293" s="13" t="str">
        <f ca="1">IFERROR(__xludf.DUMMYFUNCTION("""COMPUTED_VALUE"""),"bush_i_leakage_hv_pa")</f>
        <v>bush_i_leakage_hv_pa</v>
      </c>
      <c r="B293" s="13" t="str">
        <f ca="1">IFERROR(__xludf.DUMMYFUNCTION("""COMPUTED_VALUE"""),"Ток утечки через основную изоляцию ввода ВН, фаза A")</f>
        <v>Ток утечки через основную изоляцию ввода ВН, фаза A</v>
      </c>
      <c r="D293" s="49"/>
      <c r="F293" s="49"/>
      <c r="H293" s="49"/>
    </row>
    <row r="294" spans="1:8" ht="15.75" customHeight="1" x14ac:dyDescent="0.25">
      <c r="A294" s="13" t="str">
        <f ca="1">IFERROR(__xludf.DUMMYFUNCTION("""COMPUTED_VALUE"""),"bush_i_leakage_hv_pb")</f>
        <v>bush_i_leakage_hv_pb</v>
      </c>
      <c r="B294" s="13" t="str">
        <f ca="1">IFERROR(__xludf.DUMMYFUNCTION("""COMPUTED_VALUE"""),"Ток утечки через основную изоляцию ввода ВН, фаза B")</f>
        <v>Ток утечки через основную изоляцию ввода ВН, фаза B</v>
      </c>
      <c r="D294" s="49"/>
      <c r="F294" s="49"/>
      <c r="H294" s="49"/>
    </row>
    <row r="295" spans="1:8" ht="15.75" customHeight="1" x14ac:dyDescent="0.25">
      <c r="A295" s="13" t="str">
        <f ca="1">IFERROR(__xludf.DUMMYFUNCTION("""COMPUTED_VALUE"""),"bush_i_leakage_hv_pc")</f>
        <v>bush_i_leakage_hv_pc</v>
      </c>
      <c r="B295" s="13" t="str">
        <f ca="1">IFERROR(__xludf.DUMMYFUNCTION("""COMPUTED_VALUE"""),"Токутечки через основную изоляцию ввода ВН, фаза C")</f>
        <v>Токутечки через основную изоляцию ввода ВН, фаза C</v>
      </c>
      <c r="D295" s="49"/>
      <c r="F295" s="49"/>
      <c r="H295" s="49"/>
    </row>
    <row r="296" spans="1:8" ht="15.75" customHeight="1" x14ac:dyDescent="0.25">
      <c r="A296" s="13" t="str">
        <f ca="1">IFERROR(__xludf.DUMMYFUNCTION("""COMPUTED_VALUE"""),"bush_i_leakage_lim0")</f>
        <v>bush_i_leakage_lim0</v>
      </c>
      <c r="B296" s="13" t="str">
        <f ca="1">IFERROR(__xludf.DUMMYFUNCTION("""COMPUTED_VALUE"""),"ДЗ тока утечки через основную изоляцию ввода")</f>
        <v>ДЗ тока утечки через основную изоляцию ввода</v>
      </c>
      <c r="D296" s="49"/>
      <c r="F296" s="49"/>
      <c r="H296" s="49"/>
    </row>
    <row r="297" spans="1:8" ht="15.75" customHeight="1" x14ac:dyDescent="0.25">
      <c r="A297" s="13" t="str">
        <f ca="1">IFERROR(__xludf.DUMMYFUNCTION("""COMPUTED_VALUE"""),"bush_i_leakage_lim0_manual")</f>
        <v>bush_i_leakage_lim0_manual</v>
      </c>
      <c r="B297" s="13" t="str">
        <f ca="1">IFERROR(__xludf.DUMMYFUNCTION("""COMPUTED_VALUE"""),"ДЗ тока утечки через основную изоляцию ввода, ручное")</f>
        <v>ДЗ тока утечки через основную изоляцию ввода, ручное</v>
      </c>
      <c r="D297" s="49"/>
      <c r="F297" s="49"/>
      <c r="H297" s="49"/>
    </row>
    <row r="298" spans="1:8" ht="15.75" customHeight="1" x14ac:dyDescent="0.25">
      <c r="A298" s="13" t="str">
        <f ca="1">IFERROR(__xludf.DUMMYFUNCTION("""COMPUTED_VALUE"""),"bush_i_leakage_lim1")</f>
        <v>bush_i_leakage_lim1</v>
      </c>
      <c r="B298" s="13" t="str">
        <f ca="1">IFERROR(__xludf.DUMMYFUNCTION("""COMPUTED_VALUE"""),"ПДЗ тока утечки через основную изоляцию ввода")</f>
        <v>ПДЗ тока утечки через основную изоляцию ввода</v>
      </c>
      <c r="D298" s="49"/>
      <c r="F298" s="49"/>
      <c r="H298" s="49"/>
    </row>
    <row r="299" spans="1:8" ht="15.75" customHeight="1" x14ac:dyDescent="0.25">
      <c r="A299" s="13" t="str">
        <f ca="1">IFERROR(__xludf.DUMMYFUNCTION("""COMPUTED_VALUE"""),"bush_i_leakage_lim1_manual")</f>
        <v>bush_i_leakage_lim1_manual</v>
      </c>
      <c r="B299" s="13" t="str">
        <f ca="1">IFERROR(__xludf.DUMMYFUNCTION("""COMPUTED_VALUE"""),"ПДЗ тока утечки через основную изоляцию ввода, ручное")</f>
        <v>ПДЗ тока утечки через основную изоляцию ввода, ручное</v>
      </c>
      <c r="D299" s="49"/>
      <c r="F299" s="49"/>
      <c r="H299" s="49"/>
    </row>
    <row r="300" spans="1:8" ht="15.75" customHeight="1" x14ac:dyDescent="0.25">
      <c r="A300" s="13" t="str">
        <f ca="1">IFERROR(__xludf.DUMMYFUNCTION("""COMPUTED_VALUE"""),"bush_i_leakage_lv_pa")</f>
        <v>bush_i_leakage_lv_pa</v>
      </c>
      <c r="B300" s="13" t="str">
        <f ca="1">IFERROR(__xludf.DUMMYFUNCTION("""COMPUTED_VALUE"""),"Ток утечки через основную изоляцию ввода НН, фаза A")</f>
        <v>Ток утечки через основную изоляцию ввода НН, фаза A</v>
      </c>
      <c r="D300" s="49"/>
      <c r="F300" s="49"/>
      <c r="H300" s="49"/>
    </row>
    <row r="301" spans="1:8" ht="15.75" customHeight="1" x14ac:dyDescent="0.25">
      <c r="A301" s="13" t="str">
        <f ca="1">IFERROR(__xludf.DUMMYFUNCTION("""COMPUTED_VALUE"""),"bush_i_leakage_lv_pb")</f>
        <v>bush_i_leakage_lv_pb</v>
      </c>
      <c r="B301" s="13" t="str">
        <f ca="1">IFERROR(__xludf.DUMMYFUNCTION("""COMPUTED_VALUE"""),"Ток утечки через основную изоляцию ввода НН, фаза B")</f>
        <v>Ток утечки через основную изоляцию ввода НН, фаза B</v>
      </c>
      <c r="D301" s="49"/>
      <c r="F301" s="49"/>
      <c r="H301" s="49"/>
    </row>
    <row r="302" spans="1:8" ht="15.75" customHeight="1" x14ac:dyDescent="0.25">
      <c r="A302" s="13" t="str">
        <f ca="1">IFERROR(__xludf.DUMMYFUNCTION("""COMPUTED_VALUE"""),"bush_i_leakage_lv_pc")</f>
        <v>bush_i_leakage_lv_pc</v>
      </c>
      <c r="B302" s="13" t="str">
        <f ca="1">IFERROR(__xludf.DUMMYFUNCTION("""COMPUTED_VALUE"""),"Ток утечки через основную изоляцию ввода НН, фаза C")</f>
        <v>Ток утечки через основную изоляцию ввода НН, фаза C</v>
      </c>
      <c r="D302" s="49"/>
      <c r="F302" s="49"/>
      <c r="H302" s="49"/>
    </row>
    <row r="303" spans="1:8" ht="15.75" customHeight="1" x14ac:dyDescent="0.25">
      <c r="A303" s="13" t="str">
        <f ca="1">IFERROR(__xludf.DUMMYFUNCTION("""COMPUTED_VALUE"""),"bush_i_leakage_mv_pa")</f>
        <v>bush_i_leakage_mv_pa</v>
      </c>
      <c r="B303" s="13" t="str">
        <f ca="1">IFERROR(__xludf.DUMMYFUNCTION("""COMPUTED_VALUE"""),"Ток утечки через основную изоляцию ввода СН, фаза A")</f>
        <v>Ток утечки через основную изоляцию ввода СН, фаза A</v>
      </c>
      <c r="D303" s="49"/>
      <c r="F303" s="49"/>
      <c r="H303" s="49"/>
    </row>
    <row r="304" spans="1:8" ht="15.75" customHeight="1" x14ac:dyDescent="0.25">
      <c r="A304" s="13" t="str">
        <f ca="1">IFERROR(__xludf.DUMMYFUNCTION("""COMPUTED_VALUE"""),"bush_i_leakage_mv_pb")</f>
        <v>bush_i_leakage_mv_pb</v>
      </c>
      <c r="B304" s="13" t="str">
        <f ca="1">IFERROR(__xludf.DUMMYFUNCTION("""COMPUTED_VALUE"""),"Ток утечки через основную изоляцию ввода СН, фаза B")</f>
        <v>Ток утечки через основную изоляцию ввода СН, фаза B</v>
      </c>
      <c r="D304" s="49"/>
      <c r="F304" s="49"/>
      <c r="H304" s="49"/>
    </row>
    <row r="305" spans="1:8" ht="15.75" customHeight="1" x14ac:dyDescent="0.25">
      <c r="A305" s="13" t="str">
        <f ca="1">IFERROR(__xludf.DUMMYFUNCTION("""COMPUTED_VALUE"""),"bush_i_leakage_mv_pc")</f>
        <v>bush_i_leakage_mv_pc</v>
      </c>
      <c r="B305" s="13" t="str">
        <f ca="1">IFERROR(__xludf.DUMMYFUNCTION("""COMPUTED_VALUE"""),"Ток утечки через основную изоляцию ввода СН, фаза C")</f>
        <v>Ток утечки через основную изоляцию ввода СН, фаза C</v>
      </c>
      <c r="D305" s="49"/>
      <c r="F305" s="49"/>
      <c r="H305" s="49"/>
    </row>
    <row r="306" spans="1:8" ht="15.75" customHeight="1" x14ac:dyDescent="0.25">
      <c r="A306" s="13" t="str">
        <f ca="1">IFERROR(__xludf.DUMMYFUNCTION("""COMPUTED_VALUE"""),"bush_nkvv_fault")</f>
        <v>bush_nkvv_fault</v>
      </c>
      <c r="B306" s="13" t="str">
        <f ca="1">IFERROR(__xludf.DUMMYFUNCTION("""COMPUTED_VALUE"""),"Неисправность прибора НКВВ")</f>
        <v>Неисправность прибора НКВВ</v>
      </c>
      <c r="D306" s="49"/>
      <c r="F306" s="49"/>
      <c r="H306" s="49"/>
    </row>
    <row r="307" spans="1:8" ht="15.75" customHeight="1" x14ac:dyDescent="0.25">
      <c r="A307" s="13" t="str">
        <f ca="1">IFERROR(__xludf.DUMMYFUNCTION("""COMPUTED_VALUE"""),"bush_pd_level_lim0")</f>
        <v>bush_pd_level_lim0</v>
      </c>
      <c r="B307" s="13" t="str">
        <f ca="1">IFERROR(__xludf.DUMMYFUNCTION("""COMPUTED_VALUE"""),"ДЗ активности ЧР")</f>
        <v>ДЗ активности ЧР</v>
      </c>
      <c r="D307" s="49"/>
      <c r="F307" s="49"/>
      <c r="H307" s="49"/>
    </row>
    <row r="308" spans="1:8" ht="15.75" customHeight="1" x14ac:dyDescent="0.25">
      <c r="A308" s="13" t="str">
        <f ca="1">IFERROR(__xludf.DUMMYFUNCTION("""COMPUTED_VALUE"""),"bush_pd_level_lim0_manual")</f>
        <v>bush_pd_level_lim0_manual</v>
      </c>
      <c r="B308" s="13" t="str">
        <f ca="1">IFERROR(__xludf.DUMMYFUNCTION("""COMPUTED_VALUE"""),"ДЗ активности ЧР, ручное")</f>
        <v>ДЗ активности ЧР, ручное</v>
      </c>
      <c r="D308" s="49"/>
      <c r="F308" s="49"/>
      <c r="H308" s="49"/>
    </row>
    <row r="309" spans="1:8" ht="15.75" customHeight="1" x14ac:dyDescent="0.25">
      <c r="A309" s="13" t="str">
        <f ca="1">IFERROR(__xludf.DUMMYFUNCTION("""COMPUTED_VALUE"""),"bush_pd_level_lim1")</f>
        <v>bush_pd_level_lim1</v>
      </c>
      <c r="B309" s="13" t="str">
        <f ca="1">IFERROR(__xludf.DUMMYFUNCTION("""COMPUTED_VALUE"""),"ПДЗ активности ЧР")</f>
        <v>ПДЗ активности ЧР</v>
      </c>
      <c r="D309" s="49"/>
      <c r="F309" s="49"/>
      <c r="H309" s="49"/>
    </row>
    <row r="310" spans="1:8" ht="15.75" customHeight="1" x14ac:dyDescent="0.25">
      <c r="A310" s="13" t="str">
        <f ca="1">IFERROR(__xludf.DUMMYFUNCTION("""COMPUTED_VALUE"""),"bush_pd_level_lim1_manual")</f>
        <v>bush_pd_level_lim1_manual</v>
      </c>
      <c r="B310" s="13" t="str">
        <f ca="1">IFERROR(__xludf.DUMMYFUNCTION("""COMPUTED_VALUE"""),"ПДЗ активности ЧР, ручное")</f>
        <v>ПДЗ активности ЧР, ручное</v>
      </c>
      <c r="D310" s="49"/>
      <c r="F310" s="49"/>
      <c r="H310" s="49"/>
    </row>
    <row r="311" spans="1:8" ht="15.75" customHeight="1" x14ac:dyDescent="0.25">
      <c r="A311" s="13" t="str">
        <f ca="1">IFERROR(__xludf.DUMMYFUNCTION("""COMPUTED_VALUE"""),"bush_pd_level_pa_hv")</f>
        <v>bush_pd_level_pa_hv</v>
      </c>
      <c r="B311" s="13" t="str">
        <f ca="1">IFERROR(__xludf.DUMMYFUNCTION("""COMPUTED_VALUE"""),"Уровень ЧР изоляции ввода ВН, фаза A")</f>
        <v>Уровень ЧР изоляции ввода ВН, фаза A</v>
      </c>
      <c r="D311" s="49"/>
      <c r="F311" s="49"/>
      <c r="H311" s="49"/>
    </row>
    <row r="312" spans="1:8" ht="15.75" customHeight="1" x14ac:dyDescent="0.25">
      <c r="A312" s="13" t="str">
        <f ca="1">IFERROR(__xludf.DUMMYFUNCTION("""COMPUTED_VALUE"""),"bush_pd_level_pa_lv")</f>
        <v>bush_pd_level_pa_lv</v>
      </c>
      <c r="B312" s="13" t="str">
        <f ca="1">IFERROR(__xludf.DUMMYFUNCTION("""COMPUTED_VALUE"""),"Уровень ЧР изоляции ввода НН, фаза A")</f>
        <v>Уровень ЧР изоляции ввода НН, фаза A</v>
      </c>
      <c r="D312" s="49"/>
      <c r="F312" s="49"/>
      <c r="H312" s="49"/>
    </row>
    <row r="313" spans="1:8" ht="15.75" customHeight="1" x14ac:dyDescent="0.25">
      <c r="A313" s="13" t="str">
        <f ca="1">IFERROR(__xludf.DUMMYFUNCTION("""COMPUTED_VALUE"""),"bush_pd_level_pa_mv")</f>
        <v>bush_pd_level_pa_mv</v>
      </c>
      <c r="B313" s="13" t="str">
        <f ca="1">IFERROR(__xludf.DUMMYFUNCTION("""COMPUTED_VALUE"""),"Уровень ЧР изоляции ввода СН, фаза A")</f>
        <v>Уровень ЧР изоляции ввода СН, фаза A</v>
      </c>
      <c r="D313" s="49"/>
      <c r="F313" s="49"/>
      <c r="H313" s="49"/>
    </row>
    <row r="314" spans="1:8" ht="15.75" customHeight="1" x14ac:dyDescent="0.25">
      <c r="A314" s="13" t="str">
        <f ca="1">IFERROR(__xludf.DUMMYFUNCTION("""COMPUTED_VALUE"""),"bush_pd_level_pb_hv")</f>
        <v>bush_pd_level_pb_hv</v>
      </c>
      <c r="B314" s="13" t="str">
        <f ca="1">IFERROR(__xludf.DUMMYFUNCTION("""COMPUTED_VALUE"""),"Уровень ЧР изоляции ввода ВН, фаза B")</f>
        <v>Уровень ЧР изоляции ввода ВН, фаза B</v>
      </c>
      <c r="D314" s="49"/>
      <c r="F314" s="49"/>
      <c r="H314" s="49"/>
    </row>
    <row r="315" spans="1:8" ht="15.75" customHeight="1" x14ac:dyDescent="0.25">
      <c r="A315" s="13" t="str">
        <f ca="1">IFERROR(__xludf.DUMMYFUNCTION("""COMPUTED_VALUE"""),"bush_pd_level_pb_lv")</f>
        <v>bush_pd_level_pb_lv</v>
      </c>
      <c r="B315" s="13" t="str">
        <f ca="1">IFERROR(__xludf.DUMMYFUNCTION("""COMPUTED_VALUE"""),"Уровень ЧР изоляции ввода НН, фаза B")</f>
        <v>Уровень ЧР изоляции ввода НН, фаза B</v>
      </c>
      <c r="D315" s="49"/>
      <c r="F315" s="49"/>
      <c r="H315" s="49"/>
    </row>
    <row r="316" spans="1:8" ht="15.75" customHeight="1" x14ac:dyDescent="0.25">
      <c r="A316" s="13" t="str">
        <f ca="1">IFERROR(__xludf.DUMMYFUNCTION("""COMPUTED_VALUE"""),"bush_pd_level_pb_mv")</f>
        <v>bush_pd_level_pb_mv</v>
      </c>
      <c r="B316" s="13" t="str">
        <f ca="1">IFERROR(__xludf.DUMMYFUNCTION("""COMPUTED_VALUE"""),"Уровень ЧР изоляции ввода СН, фаза B")</f>
        <v>Уровень ЧР изоляции ввода СН, фаза B</v>
      </c>
      <c r="D316" s="49"/>
      <c r="F316" s="49"/>
      <c r="H316" s="49"/>
    </row>
    <row r="317" spans="1:8" ht="15.75" customHeight="1" x14ac:dyDescent="0.25">
      <c r="A317" s="13" t="str">
        <f ca="1">IFERROR(__xludf.DUMMYFUNCTION("""COMPUTED_VALUE"""),"bush_pd_level_pc_hv")</f>
        <v>bush_pd_level_pc_hv</v>
      </c>
      <c r="B317" s="13" t="str">
        <f ca="1">IFERROR(__xludf.DUMMYFUNCTION("""COMPUTED_VALUE"""),"Уровень ЧР изоляции ввода ВН, фаза C")</f>
        <v>Уровень ЧР изоляции ввода ВН, фаза C</v>
      </c>
      <c r="D317" s="49"/>
      <c r="F317" s="49"/>
      <c r="H317" s="49"/>
    </row>
    <row r="318" spans="1:8" ht="15.75" customHeight="1" x14ac:dyDescent="0.25">
      <c r="A318" s="13" t="str">
        <f ca="1">IFERROR(__xludf.DUMMYFUNCTION("""COMPUTED_VALUE"""),"bush_pd_level_pc_lv")</f>
        <v>bush_pd_level_pc_lv</v>
      </c>
      <c r="B318" s="13" t="str">
        <f ca="1">IFERROR(__xludf.DUMMYFUNCTION("""COMPUTED_VALUE"""),"Уровень ЧР изоляции ввода НН, фаза C")</f>
        <v>Уровень ЧР изоляции ввода НН, фаза C</v>
      </c>
      <c r="D318" s="49"/>
      <c r="F318" s="49"/>
      <c r="H318" s="49"/>
    </row>
    <row r="319" spans="1:8" ht="15.75" customHeight="1" x14ac:dyDescent="0.25">
      <c r="A319" s="13" t="str">
        <f ca="1">IFERROR(__xludf.DUMMYFUNCTION("""COMPUTED_VALUE"""),"bush_pd_level_pc_mv")</f>
        <v>bush_pd_level_pc_mv</v>
      </c>
      <c r="B319" s="13" t="str">
        <f ca="1">IFERROR(__xludf.DUMMYFUNCTION("""COMPUTED_VALUE"""),"Уровень ЧР изоляции ввода СН, фаза C")</f>
        <v>Уровень ЧР изоляции ввода СН, фаза C</v>
      </c>
      <c r="D319" s="49"/>
      <c r="F319" s="49"/>
      <c r="H319" s="49"/>
    </row>
    <row r="320" spans="1:8" ht="15.75" customHeight="1" x14ac:dyDescent="0.25">
      <c r="A320" s="13" t="str">
        <f ca="1">IFERROR(__xludf.DUMMYFUNCTION("""COMPUTED_VALUE"""),"bush_pres_diff_pa_hv")</f>
        <v>bush_pres_diff_pa_hv</v>
      </c>
      <c r="B320" s="13" t="str">
        <f ca="1">IFERROR(__xludf.DUMMYFUNCTION("""COMPUTED_VALUE"""),"Отклонение текущего давления от давления по кривой давления масла во вводе ВН, фаза A")</f>
        <v>Отклонение текущего давления от давления по кривой давления масла во вводе ВН, фаза A</v>
      </c>
      <c r="D320" s="49"/>
      <c r="F320" s="49"/>
      <c r="H320" s="49"/>
    </row>
    <row r="321" spans="1:8" ht="15.75" customHeight="1" x14ac:dyDescent="0.25">
      <c r="A321" s="13" t="str">
        <f ca="1">IFERROR(__xludf.DUMMYFUNCTION("""COMPUTED_VALUE"""),"bush_pres_diff_pa_lv")</f>
        <v>bush_pres_diff_pa_lv</v>
      </c>
      <c r="B321" s="13" t="str">
        <f ca="1">IFERROR(__xludf.DUMMYFUNCTION("""COMPUTED_VALUE"""),"Отклонение текущего давления от давления по кривой давления масла во вводе НН, фаза A")</f>
        <v>Отклонение текущего давления от давления по кривой давления масла во вводе НН, фаза A</v>
      </c>
      <c r="D321" s="49"/>
      <c r="F321" s="49"/>
      <c r="H321" s="49"/>
    </row>
    <row r="322" spans="1:8" ht="15.75" customHeight="1" x14ac:dyDescent="0.25">
      <c r="A322" s="13" t="str">
        <f ca="1">IFERROR(__xludf.DUMMYFUNCTION("""COMPUTED_VALUE"""),"bush_pres_diff_pa_mv")</f>
        <v>bush_pres_diff_pa_mv</v>
      </c>
      <c r="B322" s="13" t="str">
        <f ca="1">IFERROR(__xludf.DUMMYFUNCTION("""COMPUTED_VALUE"""),"Отклонение текущего давления от давления по кривой давления масла во вводе СН, фаза A")</f>
        <v>Отклонение текущего давления от давления по кривой давления масла во вводе СН, фаза A</v>
      </c>
      <c r="D322" s="49"/>
      <c r="F322" s="49"/>
      <c r="H322" s="49"/>
    </row>
    <row r="323" spans="1:8" ht="15.75" customHeight="1" x14ac:dyDescent="0.25">
      <c r="A323" s="13" t="str">
        <f ca="1">IFERROR(__xludf.DUMMYFUNCTION("""COMPUTED_VALUE"""),"bush_pres_diff_pb_hv")</f>
        <v>bush_pres_diff_pb_hv</v>
      </c>
      <c r="B323" s="13" t="str">
        <f ca="1">IFERROR(__xludf.DUMMYFUNCTION("""COMPUTED_VALUE"""),"Отклонение текущего давления от давления по кривой давления масла во вводе ВН, фаза B")</f>
        <v>Отклонение текущего давления от давления по кривой давления масла во вводе ВН, фаза B</v>
      </c>
      <c r="D323" s="49"/>
      <c r="F323" s="49"/>
      <c r="H323" s="49"/>
    </row>
    <row r="324" spans="1:8" ht="15.75" customHeight="1" x14ac:dyDescent="0.25">
      <c r="A324" s="13" t="str">
        <f ca="1">IFERROR(__xludf.DUMMYFUNCTION("""COMPUTED_VALUE"""),"bush_pres_diff_pb_lv")</f>
        <v>bush_pres_diff_pb_lv</v>
      </c>
      <c r="B324" s="13" t="str">
        <f ca="1">IFERROR(__xludf.DUMMYFUNCTION("""COMPUTED_VALUE"""),"Отклонение текущего давления от давления по кривой давления масла во вводе НН, фаза B")</f>
        <v>Отклонение текущего давления от давления по кривой давления масла во вводе НН, фаза B</v>
      </c>
      <c r="D324" s="49"/>
      <c r="F324" s="49"/>
      <c r="H324" s="49"/>
    </row>
    <row r="325" spans="1:8" ht="15.75" customHeight="1" x14ac:dyDescent="0.25">
      <c r="A325" s="13" t="str">
        <f ca="1">IFERROR(__xludf.DUMMYFUNCTION("""COMPUTED_VALUE"""),"bush_pres_diff_pb_mv")</f>
        <v>bush_pres_diff_pb_mv</v>
      </c>
      <c r="B325" s="13" t="str">
        <f ca="1">IFERROR(__xludf.DUMMYFUNCTION("""COMPUTED_VALUE"""),"Отклонение текущего давления от давления по кривой давления масла во вводе СН, фаза B")</f>
        <v>Отклонение текущего давления от давления по кривой давления масла во вводе СН, фаза B</v>
      </c>
      <c r="D325" s="49"/>
      <c r="F325" s="49"/>
      <c r="H325" s="49"/>
    </row>
    <row r="326" spans="1:8" ht="15.75" customHeight="1" x14ac:dyDescent="0.25">
      <c r="A326" s="13" t="str">
        <f ca="1">IFERROR(__xludf.DUMMYFUNCTION("""COMPUTED_VALUE"""),"bush_pres_diff_pc_hv")</f>
        <v>bush_pres_diff_pc_hv</v>
      </c>
      <c r="B326" s="13" t="str">
        <f ca="1">IFERROR(__xludf.DUMMYFUNCTION("""COMPUTED_VALUE"""),"Отклонение текущего давления от давления по кривой давления масла во вводе ВН, фаза C")</f>
        <v>Отклонение текущего давления от давления по кривой давления масла во вводе ВН, фаза C</v>
      </c>
      <c r="D326" s="49"/>
      <c r="F326" s="49"/>
      <c r="H326" s="49"/>
    </row>
    <row r="327" spans="1:8" ht="15.75" customHeight="1" x14ac:dyDescent="0.25">
      <c r="A327" s="13" t="str">
        <f ca="1">IFERROR(__xludf.DUMMYFUNCTION("""COMPUTED_VALUE"""),"bush_pres_diff_pc_lv")</f>
        <v>bush_pres_diff_pc_lv</v>
      </c>
      <c r="B327" s="13" t="str">
        <f ca="1">IFERROR(__xludf.DUMMYFUNCTION("""COMPUTED_VALUE"""),"Отклонение текущего давления от давления по кривой давления масла во вводе НН, фаза C")</f>
        <v>Отклонение текущего давления от давления по кривой давления масла во вводе НН, фаза C</v>
      </c>
      <c r="D327" s="49"/>
      <c r="F327" s="49"/>
      <c r="H327" s="49"/>
    </row>
    <row r="328" spans="1:8" ht="15.75" customHeight="1" x14ac:dyDescent="0.25">
      <c r="A328" s="13" t="str">
        <f ca="1">IFERROR(__xludf.DUMMYFUNCTION("""COMPUTED_VALUE"""),"bush_pres_diff_pc_mv")</f>
        <v>bush_pres_diff_pc_mv</v>
      </c>
      <c r="B328" s="13" t="str">
        <f ca="1">IFERROR(__xludf.DUMMYFUNCTION("""COMPUTED_VALUE"""),"Отклонение текущего давления от давления по кривой давления масла во вводе СН, фаза C")</f>
        <v>Отклонение текущего давления от давления по кривой давления масла во вводе СН, фаза C</v>
      </c>
      <c r="D328" s="49"/>
      <c r="F328" s="49"/>
      <c r="H328" s="49"/>
    </row>
    <row r="329" spans="1:8" ht="15.75" customHeight="1" x14ac:dyDescent="0.25">
      <c r="A329" s="13" t="str">
        <f ca="1">IFERROR(__xludf.DUMMYFUNCTION("""COMPUTED_VALUE"""),"bush_pres_lim0")</f>
        <v>bush_pres_lim0</v>
      </c>
      <c r="B329" s="13" t="str">
        <f ca="1">IFERROR(__xludf.DUMMYFUNCTION("""COMPUTED_VALUE"""),"ДЗ значения давления во вводе")</f>
        <v>ДЗ значения давления во вводе</v>
      </c>
      <c r="D329" s="49"/>
      <c r="F329" s="49"/>
      <c r="H329" s="49"/>
    </row>
    <row r="330" spans="1:8" ht="15.75" customHeight="1" x14ac:dyDescent="0.25">
      <c r="A330" s="13" t="str">
        <f ca="1">IFERROR(__xludf.DUMMYFUNCTION("""COMPUTED_VALUE"""),"bush_pres_lim1")</f>
        <v>bush_pres_lim1</v>
      </c>
      <c r="B330" s="13" t="str">
        <f ca="1">IFERROR(__xludf.DUMMYFUNCTION("""COMPUTED_VALUE"""),"ПДЗ значения давления во вводе")</f>
        <v>ПДЗ значения давления во вводе</v>
      </c>
      <c r="D330" s="49"/>
      <c r="F330" s="49"/>
      <c r="H330" s="49"/>
    </row>
    <row r="331" spans="1:8" ht="15.75" customHeight="1" x14ac:dyDescent="0.25">
      <c r="A331" s="13" t="str">
        <f ca="1">IFERROR(__xludf.DUMMYFUNCTION("""COMPUTED_VALUE"""),"bush_pres_norm_pa_hv")</f>
        <v>bush_pres_norm_pa_hv</v>
      </c>
      <c r="B331" s="13" t="str">
        <f ca="1">IFERROR(__xludf.DUMMYFUNCTION("""COMPUTED_VALUE"""),"Давление приведённое ввод ВН, фаза A")</f>
        <v>Давление приведённое ввод ВН, фаза A</v>
      </c>
      <c r="D331" s="49"/>
      <c r="F331" s="49"/>
      <c r="H331" s="49"/>
    </row>
    <row r="332" spans="1:8" ht="15.75" customHeight="1" x14ac:dyDescent="0.25">
      <c r="A332" s="13" t="str">
        <f ca="1">IFERROR(__xludf.DUMMYFUNCTION("""COMPUTED_VALUE"""),"bush_pres_norm_pa_lv")</f>
        <v>bush_pres_norm_pa_lv</v>
      </c>
      <c r="B332" s="13" t="str">
        <f ca="1">IFERROR(__xludf.DUMMYFUNCTION("""COMPUTED_VALUE"""),"Давление приведённое ввод НН, фаза A")</f>
        <v>Давление приведённое ввод НН, фаза A</v>
      </c>
      <c r="D332" s="49"/>
      <c r="F332" s="49"/>
      <c r="H332" s="49"/>
    </row>
    <row r="333" spans="1:8" ht="15.75" customHeight="1" x14ac:dyDescent="0.25">
      <c r="A333" s="13" t="str">
        <f ca="1">IFERROR(__xludf.DUMMYFUNCTION("""COMPUTED_VALUE"""),"bush_pres_norm_pa_mv")</f>
        <v>bush_pres_norm_pa_mv</v>
      </c>
      <c r="B333" s="13" t="str">
        <f ca="1">IFERROR(__xludf.DUMMYFUNCTION("""COMPUTED_VALUE"""),"Давление приведённое ввод СН, фаза A")</f>
        <v>Давление приведённое ввод СН, фаза A</v>
      </c>
      <c r="D333" s="49"/>
      <c r="F333" s="49"/>
      <c r="H333" s="49"/>
    </row>
    <row r="334" spans="1:8" ht="15.75" customHeight="1" x14ac:dyDescent="0.25">
      <c r="A334" s="13" t="str">
        <f ca="1">IFERROR(__xludf.DUMMYFUNCTION("""COMPUTED_VALUE"""),"bush_pres_norm_pb_hv")</f>
        <v>bush_pres_norm_pb_hv</v>
      </c>
      <c r="B334" s="13" t="str">
        <f ca="1">IFERROR(__xludf.DUMMYFUNCTION("""COMPUTED_VALUE"""),"Давление приведённое ввод ВН, фаза B")</f>
        <v>Давление приведённое ввод ВН, фаза B</v>
      </c>
      <c r="D334" s="49"/>
      <c r="F334" s="49"/>
      <c r="H334" s="49"/>
    </row>
    <row r="335" spans="1:8" ht="15.75" customHeight="1" x14ac:dyDescent="0.25">
      <c r="A335" s="13" t="str">
        <f ca="1">IFERROR(__xludf.DUMMYFUNCTION("""COMPUTED_VALUE"""),"bush_pres_norm_pb_lv")</f>
        <v>bush_pres_norm_pb_lv</v>
      </c>
      <c r="B335" s="13" t="str">
        <f ca="1">IFERROR(__xludf.DUMMYFUNCTION("""COMPUTED_VALUE"""),"Давление приведённое ввод НН, фаза B")</f>
        <v>Давление приведённое ввод НН, фаза B</v>
      </c>
      <c r="D335" s="49"/>
      <c r="F335" s="49"/>
      <c r="H335" s="49"/>
    </row>
    <row r="336" spans="1:8" ht="15.75" customHeight="1" x14ac:dyDescent="0.25">
      <c r="A336" s="13" t="str">
        <f ca="1">IFERROR(__xludf.DUMMYFUNCTION("""COMPUTED_VALUE"""),"bush_pres_norm_pb_mv")</f>
        <v>bush_pres_norm_pb_mv</v>
      </c>
      <c r="B336" s="13" t="str">
        <f ca="1">IFERROR(__xludf.DUMMYFUNCTION("""COMPUTED_VALUE"""),"Давление приведённое ввод СН, фаза B")</f>
        <v>Давление приведённое ввод СН, фаза B</v>
      </c>
      <c r="D336" s="49"/>
      <c r="F336" s="49"/>
      <c r="H336" s="49"/>
    </row>
    <row r="337" spans="1:8" ht="15.75" customHeight="1" x14ac:dyDescent="0.25">
      <c r="A337" s="13" t="str">
        <f ca="1">IFERROR(__xludf.DUMMYFUNCTION("""COMPUTED_VALUE"""),"bush_pres_norm_pc_hv")</f>
        <v>bush_pres_norm_pc_hv</v>
      </c>
      <c r="B337" s="13" t="str">
        <f ca="1">IFERROR(__xludf.DUMMYFUNCTION("""COMPUTED_VALUE"""),"Давление приведённое ввод ВН, фаза C")</f>
        <v>Давление приведённое ввод ВН, фаза C</v>
      </c>
      <c r="D337" s="49"/>
      <c r="F337" s="49"/>
      <c r="H337" s="49"/>
    </row>
    <row r="338" spans="1:8" ht="15.75" customHeight="1" x14ac:dyDescent="0.25">
      <c r="A338" s="13" t="str">
        <f ca="1">IFERROR(__xludf.DUMMYFUNCTION("""COMPUTED_VALUE"""),"bush_pres_norm_pc_lv")</f>
        <v>bush_pres_norm_pc_lv</v>
      </c>
      <c r="B338" s="13" t="str">
        <f ca="1">IFERROR(__xludf.DUMMYFUNCTION("""COMPUTED_VALUE"""),"Давление приведённое ввод НН, фаза C")</f>
        <v>Давление приведённое ввод НН, фаза C</v>
      </c>
      <c r="D338" s="49"/>
      <c r="F338" s="49"/>
      <c r="H338" s="49"/>
    </row>
    <row r="339" spans="1:8" ht="15.75" customHeight="1" x14ac:dyDescent="0.25">
      <c r="A339" s="13" t="str">
        <f ca="1">IFERROR(__xludf.DUMMYFUNCTION("""COMPUTED_VALUE"""),"bush_pres_norm_pc_mv")</f>
        <v>bush_pres_norm_pc_mv</v>
      </c>
      <c r="B339" s="13" t="str">
        <f ca="1">IFERROR(__xludf.DUMMYFUNCTION("""COMPUTED_VALUE"""),"Давление приведённое ввод СН, фаза C")</f>
        <v>Давление приведённое ввод СН, фаза C</v>
      </c>
      <c r="D339" s="49"/>
      <c r="F339" s="49"/>
      <c r="H339" s="49"/>
    </row>
    <row r="340" spans="1:8" ht="15.75" customHeight="1" x14ac:dyDescent="0.25">
      <c r="A340" s="13" t="str">
        <f ca="1">IFERROR(__xludf.DUMMYFUNCTION("""COMPUTED_VALUE"""),"bush_pres_pa_hv")</f>
        <v>bush_pres_pa_hv</v>
      </c>
      <c r="B340" s="13" t="str">
        <f ca="1">IFERROR(__xludf.DUMMYFUNCTION("""COMPUTED_VALUE"""),"Давление во вводе ВН, фаза A")</f>
        <v>Давление во вводе ВН, фаза A</v>
      </c>
      <c r="D340" s="49"/>
      <c r="F340" s="49"/>
      <c r="H340" s="49"/>
    </row>
    <row r="341" spans="1:8" ht="15.75" customHeight="1" x14ac:dyDescent="0.25">
      <c r="A341" s="13" t="str">
        <f ca="1">IFERROR(__xludf.DUMMYFUNCTION("""COMPUTED_VALUE"""),"bush_pres_pa_lv")</f>
        <v>bush_pres_pa_lv</v>
      </c>
      <c r="B341" s="13" t="str">
        <f ca="1">IFERROR(__xludf.DUMMYFUNCTION("""COMPUTED_VALUE"""),"Давление во вводе НН, фаза A")</f>
        <v>Давление во вводе НН, фаза A</v>
      </c>
      <c r="D341" s="49"/>
      <c r="F341" s="49"/>
      <c r="H341" s="49"/>
    </row>
    <row r="342" spans="1:8" ht="15.75" customHeight="1" x14ac:dyDescent="0.25">
      <c r="A342" s="13" t="str">
        <f ca="1">IFERROR(__xludf.DUMMYFUNCTION("""COMPUTED_VALUE"""),"bush_pres_pa_mv")</f>
        <v>bush_pres_pa_mv</v>
      </c>
      <c r="B342" s="13" t="str">
        <f ca="1">IFERROR(__xludf.DUMMYFUNCTION("""COMPUTED_VALUE"""),"Давление во вводе СН, фаза A")</f>
        <v>Давление во вводе СН, фаза A</v>
      </c>
      <c r="D342" s="49"/>
      <c r="F342" s="49"/>
      <c r="H342" s="49"/>
    </row>
    <row r="343" spans="1:8" ht="15.75" customHeight="1" x14ac:dyDescent="0.25">
      <c r="A343" s="13" t="str">
        <f ca="1">IFERROR(__xludf.DUMMYFUNCTION("""COMPUTED_VALUE"""),"bush_pres_pb_hv")</f>
        <v>bush_pres_pb_hv</v>
      </c>
      <c r="B343" s="13" t="str">
        <f ca="1">IFERROR(__xludf.DUMMYFUNCTION("""COMPUTED_VALUE"""),"Давление во вводе ВН, фаза B")</f>
        <v>Давление во вводе ВН, фаза B</v>
      </c>
      <c r="D343" s="49"/>
      <c r="F343" s="49"/>
      <c r="H343" s="49"/>
    </row>
    <row r="344" spans="1:8" ht="15.75" customHeight="1" x14ac:dyDescent="0.25">
      <c r="A344" s="13" t="str">
        <f ca="1">IFERROR(__xludf.DUMMYFUNCTION("""COMPUTED_VALUE"""),"bush_pres_pb_lv")</f>
        <v>bush_pres_pb_lv</v>
      </c>
      <c r="B344" s="13" t="str">
        <f ca="1">IFERROR(__xludf.DUMMYFUNCTION("""COMPUTED_VALUE"""),"Давление во вводе НН, фаза B")</f>
        <v>Давление во вводе НН, фаза B</v>
      </c>
      <c r="D344" s="49"/>
      <c r="F344" s="49"/>
      <c r="H344" s="49"/>
    </row>
    <row r="345" spans="1:8" ht="15.75" customHeight="1" x14ac:dyDescent="0.25">
      <c r="A345" s="13" t="str">
        <f ca="1">IFERROR(__xludf.DUMMYFUNCTION("""COMPUTED_VALUE"""),"bush_pres_pb_mv")</f>
        <v>bush_pres_pb_mv</v>
      </c>
      <c r="B345" s="13" t="str">
        <f ca="1">IFERROR(__xludf.DUMMYFUNCTION("""COMPUTED_VALUE"""),"Давление во вводе СН, фаза B")</f>
        <v>Давление во вводе СН, фаза B</v>
      </c>
      <c r="D345" s="49"/>
      <c r="F345" s="49"/>
      <c r="H345" s="49"/>
    </row>
    <row r="346" spans="1:8" ht="15.75" customHeight="1" x14ac:dyDescent="0.25">
      <c r="A346" s="13" t="str">
        <f ca="1">IFERROR(__xludf.DUMMYFUNCTION("""COMPUTED_VALUE"""),"bush_pres_pc_hv")</f>
        <v>bush_pres_pc_hv</v>
      </c>
      <c r="B346" s="13" t="str">
        <f ca="1">IFERROR(__xludf.DUMMYFUNCTION("""COMPUTED_VALUE"""),"Давление во вводе ВН, фаза C")</f>
        <v>Давление во вводе ВН, фаза C</v>
      </c>
      <c r="D346" s="49"/>
      <c r="F346" s="49"/>
      <c r="H346" s="49"/>
    </row>
    <row r="347" spans="1:8" ht="15.75" customHeight="1" x14ac:dyDescent="0.25">
      <c r="A347" s="13" t="str">
        <f ca="1">IFERROR(__xludf.DUMMYFUNCTION("""COMPUTED_VALUE"""),"bush_pres_pc_lv")</f>
        <v>bush_pres_pc_lv</v>
      </c>
      <c r="B347" s="13" t="str">
        <f ca="1">IFERROR(__xludf.DUMMYFUNCTION("""COMPUTED_VALUE"""),"Давление во вводе НН, фаза C")</f>
        <v>Давление во вводе НН, фаза C</v>
      </c>
      <c r="D347" s="49"/>
      <c r="F347" s="49"/>
      <c r="H347" s="49"/>
    </row>
    <row r="348" spans="1:8" ht="15.75" customHeight="1" x14ac:dyDescent="0.25">
      <c r="A348" s="13" t="str">
        <f ca="1">IFERROR(__xludf.DUMMYFUNCTION("""COMPUTED_VALUE"""),"bush_pres_pc_mv")</f>
        <v>bush_pres_pc_mv</v>
      </c>
      <c r="B348" s="13" t="str">
        <f ca="1">IFERROR(__xludf.DUMMYFUNCTION("""COMPUTED_VALUE"""),"Давление во вводе СН, фаза C")</f>
        <v>Давление во вводе СН, фаза C</v>
      </c>
      <c r="D348" s="49"/>
      <c r="F348" s="49"/>
      <c r="H348" s="49"/>
    </row>
    <row r="349" spans="1:8" ht="15.75" customHeight="1" x14ac:dyDescent="0.25">
      <c r="A349" s="13" t="str">
        <f ca="1">IFERROR(__xludf.DUMMYFUNCTION("""COMPUTED_VALUE"""),"bush_t_pa_hv")</f>
        <v>bush_t_pa_hv</v>
      </c>
      <c r="B349" s="13" t="str">
        <f ca="1">IFERROR(__xludf.DUMMYFUNCTION("""COMPUTED_VALUE"""),"Температура ввода ВН, фаза A")</f>
        <v>Температура ввода ВН, фаза A</v>
      </c>
      <c r="D349" s="49"/>
      <c r="F349" s="49"/>
      <c r="H349" s="49"/>
    </row>
    <row r="350" spans="1:8" ht="15.75" customHeight="1" x14ac:dyDescent="0.25">
      <c r="A350" s="13" t="str">
        <f ca="1">IFERROR(__xludf.DUMMYFUNCTION("""COMPUTED_VALUE"""),"bush_t_pa_lv")</f>
        <v>bush_t_pa_lv</v>
      </c>
      <c r="B350" s="13" t="str">
        <f ca="1">IFERROR(__xludf.DUMMYFUNCTION("""COMPUTED_VALUE"""),"Температура ввода НН, фаза A")</f>
        <v>Температура ввода НН, фаза A</v>
      </c>
      <c r="D350" s="49"/>
      <c r="F350" s="49"/>
      <c r="H350" s="49"/>
    </row>
    <row r="351" spans="1:8" ht="15.75" customHeight="1" x14ac:dyDescent="0.25">
      <c r="A351" s="13" t="str">
        <f ca="1">IFERROR(__xludf.DUMMYFUNCTION("""COMPUTED_VALUE"""),"bush_t_pa_mv")</f>
        <v>bush_t_pa_mv</v>
      </c>
      <c r="B351" s="13" t="str">
        <f ca="1">IFERROR(__xludf.DUMMYFUNCTION("""COMPUTED_VALUE"""),"Температура ввода СН, фаза A")</f>
        <v>Температура ввода СН, фаза A</v>
      </c>
      <c r="D351" s="49"/>
      <c r="F351" s="49"/>
      <c r="H351" s="49"/>
    </row>
    <row r="352" spans="1:8" ht="15.75" customHeight="1" x14ac:dyDescent="0.25">
      <c r="A352" s="13" t="str">
        <f ca="1">IFERROR(__xludf.DUMMYFUNCTION("""COMPUTED_VALUE"""),"bush_t_pb_hv")</f>
        <v>bush_t_pb_hv</v>
      </c>
      <c r="B352" s="13" t="str">
        <f ca="1">IFERROR(__xludf.DUMMYFUNCTION("""COMPUTED_VALUE"""),"Температура ввода ВН, фаза B")</f>
        <v>Температура ввода ВН, фаза B</v>
      </c>
      <c r="D352" s="49"/>
      <c r="F352" s="49"/>
      <c r="H352" s="49"/>
    </row>
    <row r="353" spans="1:8" ht="15.75" customHeight="1" x14ac:dyDescent="0.25">
      <c r="A353" s="13" t="str">
        <f ca="1">IFERROR(__xludf.DUMMYFUNCTION("""COMPUTED_VALUE"""),"bush_t_pb_lv")</f>
        <v>bush_t_pb_lv</v>
      </c>
      <c r="B353" s="13" t="str">
        <f ca="1">IFERROR(__xludf.DUMMYFUNCTION("""COMPUTED_VALUE"""),"Температура ввода НН, фаза B")</f>
        <v>Температура ввода НН, фаза B</v>
      </c>
      <c r="D353" s="49"/>
      <c r="F353" s="49"/>
      <c r="H353" s="49"/>
    </row>
    <row r="354" spans="1:8" ht="15.75" customHeight="1" x14ac:dyDescent="0.25">
      <c r="A354" s="13" t="str">
        <f ca="1">IFERROR(__xludf.DUMMYFUNCTION("""COMPUTED_VALUE"""),"bush_t_pb_mv")</f>
        <v>bush_t_pb_mv</v>
      </c>
      <c r="B354" s="13" t="str">
        <f ca="1">IFERROR(__xludf.DUMMYFUNCTION("""COMPUTED_VALUE"""),"Температура ввода СН, фаза B")</f>
        <v>Температура ввода СН, фаза B</v>
      </c>
      <c r="D354" s="49"/>
      <c r="F354" s="49"/>
      <c r="H354" s="49"/>
    </row>
    <row r="355" spans="1:8" ht="15.75" customHeight="1" x14ac:dyDescent="0.25">
      <c r="A355" s="13" t="str">
        <f ca="1">IFERROR(__xludf.DUMMYFUNCTION("""COMPUTED_VALUE"""),"bush_t_pc_hv")</f>
        <v>bush_t_pc_hv</v>
      </c>
      <c r="B355" s="13" t="str">
        <f ca="1">IFERROR(__xludf.DUMMYFUNCTION("""COMPUTED_VALUE"""),"Температура ввода ВН, фаза C")</f>
        <v>Температура ввода ВН, фаза C</v>
      </c>
      <c r="D355" s="49"/>
      <c r="F355" s="49"/>
      <c r="H355" s="49"/>
    </row>
    <row r="356" spans="1:8" ht="15.75" customHeight="1" x14ac:dyDescent="0.25">
      <c r="A356" s="13" t="str">
        <f ca="1">IFERROR(__xludf.DUMMYFUNCTION("""COMPUTED_VALUE"""),"bush_t_pc_lv")</f>
        <v>bush_t_pc_lv</v>
      </c>
      <c r="B356" s="13" t="str">
        <f ca="1">IFERROR(__xludf.DUMMYFUNCTION("""COMPUTED_VALUE"""),"Температура ввода НН, фаза C")</f>
        <v>Температура ввода НН, фаза C</v>
      </c>
      <c r="D356" s="49"/>
      <c r="F356" s="49"/>
      <c r="H356" s="49"/>
    </row>
    <row r="357" spans="1:8" ht="15.75" customHeight="1" x14ac:dyDescent="0.25">
      <c r="A357" s="13" t="str">
        <f ca="1">IFERROR(__xludf.DUMMYFUNCTION("""COMPUTED_VALUE"""),"bush_t_pc_mv")</f>
        <v>bush_t_pc_mv</v>
      </c>
      <c r="B357" s="13" t="str">
        <f ca="1">IFERROR(__xludf.DUMMYFUNCTION("""COMPUTED_VALUE"""),"Температура ввода СН, фаза C")</f>
        <v>Температура ввода СН, фаза C</v>
      </c>
      <c r="D357" s="49"/>
      <c r="F357" s="49"/>
      <c r="H357" s="49"/>
    </row>
    <row r="358" spans="1:8" ht="15.75" customHeight="1" x14ac:dyDescent="0.25">
      <c r="A358" s="13" t="str">
        <f ca="1">IFERROR(__xludf.DUMMYFUNCTION("""COMPUTED_VALUE"""),"bush_tgd_20_pa_hv")</f>
        <v>bush_tgd_20_pa_hv</v>
      </c>
      <c r="B358" s="13" t="str">
        <f ca="1">IFERROR(__xludf.DUMMYFUNCTION("""COMPUTED_VALUE"""),"Тангенс для 20 град. ввод ВН, фаза A")</f>
        <v>Тангенс для 20 град. ввод ВН, фаза A</v>
      </c>
      <c r="D358" s="49"/>
      <c r="F358" s="49"/>
      <c r="H358" s="49"/>
    </row>
    <row r="359" spans="1:8" ht="15.75" customHeight="1" x14ac:dyDescent="0.25">
      <c r="A359" s="13" t="str">
        <f ca="1">IFERROR(__xludf.DUMMYFUNCTION("""COMPUTED_VALUE"""),"bush_tgd_20_pa_lv")</f>
        <v>bush_tgd_20_pa_lv</v>
      </c>
      <c r="B359" s="13" t="str">
        <f ca="1">IFERROR(__xludf.DUMMYFUNCTION("""COMPUTED_VALUE"""),"Тангенс для 20 град. ввод НН, фаза A")</f>
        <v>Тангенс для 20 град. ввод НН, фаза A</v>
      </c>
      <c r="D359" s="49"/>
      <c r="F359" s="49"/>
      <c r="H359" s="49"/>
    </row>
    <row r="360" spans="1:8" ht="15.75" customHeight="1" x14ac:dyDescent="0.25">
      <c r="A360" s="13" t="str">
        <f ca="1">IFERROR(__xludf.DUMMYFUNCTION("""COMPUTED_VALUE"""),"bush_tgd_20_pa_mv")</f>
        <v>bush_tgd_20_pa_mv</v>
      </c>
      <c r="B360" s="13" t="str">
        <f ca="1">IFERROR(__xludf.DUMMYFUNCTION("""COMPUTED_VALUE"""),"Тангенс для 20 град. ввод СН, фаза A")</f>
        <v>Тангенс для 20 град. ввод СН, фаза A</v>
      </c>
      <c r="D360" s="49"/>
      <c r="F360" s="49"/>
      <c r="H360" s="49"/>
    </row>
    <row r="361" spans="1:8" ht="15.75" customHeight="1" x14ac:dyDescent="0.25">
      <c r="A361" s="13" t="str">
        <f ca="1">IFERROR(__xludf.DUMMYFUNCTION("""COMPUTED_VALUE"""),"bush_tgd_20_pb_hv")</f>
        <v>bush_tgd_20_pb_hv</v>
      </c>
      <c r="B361" s="13" t="str">
        <f ca="1">IFERROR(__xludf.DUMMYFUNCTION("""COMPUTED_VALUE"""),"Тангенс для 20 град. ввод ВН, фаза B")</f>
        <v>Тангенс для 20 град. ввод ВН, фаза B</v>
      </c>
      <c r="D361" s="49"/>
      <c r="F361" s="49"/>
      <c r="H361" s="49"/>
    </row>
    <row r="362" spans="1:8" ht="15.75" customHeight="1" x14ac:dyDescent="0.25">
      <c r="A362" s="13" t="str">
        <f ca="1">IFERROR(__xludf.DUMMYFUNCTION("""COMPUTED_VALUE"""),"bush_tgd_20_pb_lv")</f>
        <v>bush_tgd_20_pb_lv</v>
      </c>
      <c r="B362" s="13" t="str">
        <f ca="1">IFERROR(__xludf.DUMMYFUNCTION("""COMPUTED_VALUE"""),"Тангенс для 20 град. ввод НН, фаза B")</f>
        <v>Тангенс для 20 град. ввод НН, фаза B</v>
      </c>
      <c r="D362" s="49"/>
      <c r="F362" s="49"/>
      <c r="H362" s="49"/>
    </row>
    <row r="363" spans="1:8" ht="15.75" customHeight="1" x14ac:dyDescent="0.25">
      <c r="A363" s="13" t="str">
        <f ca="1">IFERROR(__xludf.DUMMYFUNCTION("""COMPUTED_VALUE"""),"bush_tgd_20_pb_mv")</f>
        <v>bush_tgd_20_pb_mv</v>
      </c>
      <c r="B363" s="13" t="str">
        <f ca="1">IFERROR(__xludf.DUMMYFUNCTION("""COMPUTED_VALUE"""),"Тангенс для 20 град. ввод СН, фаза B")</f>
        <v>Тангенс для 20 град. ввод СН, фаза B</v>
      </c>
      <c r="D363" s="49"/>
      <c r="F363" s="49"/>
      <c r="H363" s="49"/>
    </row>
    <row r="364" spans="1:8" ht="15.75" customHeight="1" x14ac:dyDescent="0.25">
      <c r="A364" s="13" t="str">
        <f ca="1">IFERROR(__xludf.DUMMYFUNCTION("""COMPUTED_VALUE"""),"bush_tgd_20_pc_hv")</f>
        <v>bush_tgd_20_pc_hv</v>
      </c>
      <c r="B364" s="13" t="str">
        <f ca="1">IFERROR(__xludf.DUMMYFUNCTION("""COMPUTED_VALUE"""),"Тангенс для 20 град. ввод ВН, фаза C")</f>
        <v>Тангенс для 20 град. ввод ВН, фаза C</v>
      </c>
      <c r="D364" s="49"/>
      <c r="F364" s="49"/>
      <c r="H364" s="49"/>
    </row>
    <row r="365" spans="1:8" ht="15.75" customHeight="1" x14ac:dyDescent="0.25">
      <c r="A365" s="13" t="str">
        <f ca="1">IFERROR(__xludf.DUMMYFUNCTION("""COMPUTED_VALUE"""),"bush_tgd_20_pc_lv")</f>
        <v>bush_tgd_20_pc_lv</v>
      </c>
      <c r="B365" s="13" t="str">
        <f ca="1">IFERROR(__xludf.DUMMYFUNCTION("""COMPUTED_VALUE"""),"Тангенс для 20 град. ввод НН, фаза C")</f>
        <v>Тангенс для 20 град. ввод НН, фаза C</v>
      </c>
      <c r="D365" s="49"/>
      <c r="F365" s="49"/>
      <c r="H365" s="49"/>
    </row>
    <row r="366" spans="1:8" ht="15.75" customHeight="1" x14ac:dyDescent="0.25">
      <c r="A366" s="13" t="str">
        <f ca="1">IFERROR(__xludf.DUMMYFUNCTION("""COMPUTED_VALUE"""),"bush_tgd_20_pc_mv")</f>
        <v>bush_tgd_20_pc_mv</v>
      </c>
      <c r="B366" s="13" t="str">
        <f ca="1">IFERROR(__xludf.DUMMYFUNCTION("""COMPUTED_VALUE"""),"Тангенс для 20 град. ввод СН, фаза C")</f>
        <v>Тангенс для 20 град. ввод СН, фаза C</v>
      </c>
      <c r="D366" s="49"/>
      <c r="F366" s="49"/>
      <c r="H366" s="49"/>
    </row>
    <row r="367" spans="1:8" ht="15.75" customHeight="1" x14ac:dyDescent="0.25">
      <c r="A367" s="13" t="str">
        <f ca="1">IFERROR(__xludf.DUMMYFUNCTION("""COMPUTED_VALUE"""),"bush_tgd_foretgdast_pa_hv")</f>
        <v>bush_tgd_foretgdast_pa_hv</v>
      </c>
      <c r="B367" s="13" t="str">
        <f ca="1">IFERROR(__xludf.DUMMYFUNCTION("""COMPUTED_VALUE"""),"Прогноз развития тангенса ввод ВН, фаза A")</f>
        <v>Прогноз развития тангенса ввод ВН, фаза A</v>
      </c>
      <c r="D367" s="49"/>
      <c r="F367" s="49"/>
      <c r="H367" s="49"/>
    </row>
    <row r="368" spans="1:8" ht="15.75" customHeight="1" x14ac:dyDescent="0.25">
      <c r="A368" s="13" t="str">
        <f ca="1">IFERROR(__xludf.DUMMYFUNCTION("""COMPUTED_VALUE"""),"bush_tgd_foretgdast_pa_lv")</f>
        <v>bush_tgd_foretgdast_pa_lv</v>
      </c>
      <c r="B368" s="13" t="str">
        <f ca="1">IFERROR(__xludf.DUMMYFUNCTION("""COMPUTED_VALUE"""),"Прогноз развития тангенса ввод НН, фаза A")</f>
        <v>Прогноз развития тангенса ввод НН, фаза A</v>
      </c>
      <c r="D368" s="49"/>
      <c r="F368" s="49"/>
      <c r="H368" s="49"/>
    </row>
    <row r="369" spans="1:8" ht="15.75" customHeight="1" x14ac:dyDescent="0.25">
      <c r="A369" s="13" t="str">
        <f ca="1">IFERROR(__xludf.DUMMYFUNCTION("""COMPUTED_VALUE"""),"bush_tgd_foretgdast_pa_mv")</f>
        <v>bush_tgd_foretgdast_pa_mv</v>
      </c>
      <c r="B369" s="13" t="str">
        <f ca="1">IFERROR(__xludf.DUMMYFUNCTION("""COMPUTED_VALUE"""),"Прогноз развития тангенса ввод СН, фаза A")</f>
        <v>Прогноз развития тангенса ввод СН, фаза A</v>
      </c>
      <c r="D369" s="49"/>
      <c r="F369" s="49"/>
      <c r="H369" s="49"/>
    </row>
    <row r="370" spans="1:8" ht="15.75" customHeight="1" x14ac:dyDescent="0.25">
      <c r="A370" s="13" t="str">
        <f ca="1">IFERROR(__xludf.DUMMYFUNCTION("""COMPUTED_VALUE"""),"bush_tgd_foretgdast_pb_hv")</f>
        <v>bush_tgd_foretgdast_pb_hv</v>
      </c>
      <c r="B370" s="13" t="str">
        <f ca="1">IFERROR(__xludf.DUMMYFUNCTION("""COMPUTED_VALUE"""),"Прогноз развития тангенса ввод ВН, фаза B")</f>
        <v>Прогноз развития тангенса ввод ВН, фаза B</v>
      </c>
      <c r="D370" s="49"/>
      <c r="F370" s="49"/>
      <c r="H370" s="49"/>
    </row>
    <row r="371" spans="1:8" ht="15.75" customHeight="1" x14ac:dyDescent="0.25">
      <c r="A371" s="13" t="str">
        <f ca="1">IFERROR(__xludf.DUMMYFUNCTION("""COMPUTED_VALUE"""),"bush_tgd_foretgdast_pb_lv")</f>
        <v>bush_tgd_foretgdast_pb_lv</v>
      </c>
      <c r="B371" s="13" t="str">
        <f ca="1">IFERROR(__xludf.DUMMYFUNCTION("""COMPUTED_VALUE"""),"Прогноз развития тангенса ввод НН, фаза B")</f>
        <v>Прогноз развития тангенса ввод НН, фаза B</v>
      </c>
      <c r="D371" s="49"/>
      <c r="F371" s="49"/>
      <c r="H371" s="49"/>
    </row>
    <row r="372" spans="1:8" ht="15.75" customHeight="1" x14ac:dyDescent="0.25">
      <c r="A372" s="13" t="str">
        <f ca="1">IFERROR(__xludf.DUMMYFUNCTION("""COMPUTED_VALUE"""),"bush_tgd_foretgdast_pb_mv")</f>
        <v>bush_tgd_foretgdast_pb_mv</v>
      </c>
      <c r="B372" s="13" t="str">
        <f ca="1">IFERROR(__xludf.DUMMYFUNCTION("""COMPUTED_VALUE"""),"Прогноз развития тангенса ввод СН, фаза B")</f>
        <v>Прогноз развития тангенса ввод СН, фаза B</v>
      </c>
      <c r="D372" s="49"/>
      <c r="F372" s="49"/>
      <c r="H372" s="49"/>
    </row>
    <row r="373" spans="1:8" ht="15.75" customHeight="1" x14ac:dyDescent="0.25">
      <c r="A373" s="13" t="str">
        <f ca="1">IFERROR(__xludf.DUMMYFUNCTION("""COMPUTED_VALUE"""),"bush_tgd_foretgdast_pc_hv")</f>
        <v>bush_tgd_foretgdast_pc_hv</v>
      </c>
      <c r="B373" s="13" t="str">
        <f ca="1">IFERROR(__xludf.DUMMYFUNCTION("""COMPUTED_VALUE"""),"Прогноз развития тангенса ввод ВН, фаза C")</f>
        <v>Прогноз развития тангенса ввод ВН, фаза C</v>
      </c>
      <c r="D373" s="49"/>
      <c r="F373" s="49"/>
      <c r="H373" s="49"/>
    </row>
    <row r="374" spans="1:8" ht="15.75" customHeight="1" x14ac:dyDescent="0.25">
      <c r="A374" s="13" t="str">
        <f ca="1">IFERROR(__xludf.DUMMYFUNCTION("""COMPUTED_VALUE"""),"bush_tgd_foretgdast_pc_lv")</f>
        <v>bush_tgd_foretgdast_pc_lv</v>
      </c>
      <c r="B374" s="13" t="str">
        <f ca="1">IFERROR(__xludf.DUMMYFUNCTION("""COMPUTED_VALUE"""),"Прогноз развития тангенса ввод НН, фаза C")</f>
        <v>Прогноз развития тангенса ввод НН, фаза C</v>
      </c>
      <c r="D374" s="49"/>
      <c r="F374" s="49"/>
      <c r="H374" s="49"/>
    </row>
    <row r="375" spans="1:8" ht="15.75" customHeight="1" x14ac:dyDescent="0.25">
      <c r="A375" s="13" t="str">
        <f ca="1">IFERROR(__xludf.DUMMYFUNCTION("""COMPUTED_VALUE"""),"bush_tgd_foretgdast_pc_mv")</f>
        <v>bush_tgd_foretgdast_pc_mv</v>
      </c>
      <c r="B375" s="13" t="str">
        <f ca="1">IFERROR(__xludf.DUMMYFUNCTION("""COMPUTED_VALUE"""),"Прогноз развития тангенса ввод СН, фаза C")</f>
        <v>Прогноз развития тангенса ввод СН, фаза C</v>
      </c>
      <c r="D375" s="49"/>
      <c r="F375" s="49"/>
      <c r="H375" s="49"/>
    </row>
    <row r="376" spans="1:8" ht="15.75" customHeight="1" x14ac:dyDescent="0.25">
      <c r="A376" s="13" t="str">
        <f ca="1">IFERROR(__xludf.DUMMYFUNCTION("""COMPUTED_VALUE"""),"bush_tgd_lim0")</f>
        <v>bush_tgd_lim0</v>
      </c>
      <c r="B376" s="13" t="str">
        <f ca="1">IFERROR(__xludf.DUMMYFUNCTION("""COMPUTED_VALUE"""),"ДЗ тангенса дельта")</f>
        <v>ДЗ тангенса дельта</v>
      </c>
      <c r="D376" s="49"/>
      <c r="F376" s="49"/>
      <c r="H376" s="49"/>
    </row>
    <row r="377" spans="1:8" ht="15.75" customHeight="1" x14ac:dyDescent="0.25">
      <c r="A377" s="13" t="str">
        <f ca="1">IFERROR(__xludf.DUMMYFUNCTION("""COMPUTED_VALUE"""),"bush_tgd_lim1")</f>
        <v>bush_tgd_lim1</v>
      </c>
      <c r="B377" s="13" t="str">
        <f ca="1">IFERROR(__xludf.DUMMYFUNCTION("""COMPUTED_VALUE"""),"Верхняя граница тангенса дельта")</f>
        <v>Верхняя граница тангенса дельта</v>
      </c>
      <c r="D377" s="49"/>
      <c r="F377" s="49"/>
      <c r="H377" s="49"/>
    </row>
    <row r="378" spans="1:8" ht="15.75" customHeight="1" x14ac:dyDescent="0.25">
      <c r="A378" s="13" t="str">
        <f ca="1">IFERROR(__xludf.DUMMYFUNCTION("""COMPUTED_VALUE"""),"bush_tgd_lim1_manual")</f>
        <v>bush_tgd_lim1_manual</v>
      </c>
      <c r="B378" s="13" t="str">
        <f ca="1">IFERROR(__xludf.DUMMYFUNCTION("""COMPUTED_VALUE"""),"Верхняя граница тангенса дельта, ручное")</f>
        <v>Верхняя граница тангенса дельта, ручное</v>
      </c>
      <c r="D378" s="49"/>
      <c r="F378" s="49"/>
      <c r="H378" s="49"/>
    </row>
    <row r="379" spans="1:8" ht="15.75" customHeight="1" x14ac:dyDescent="0.25">
      <c r="A379" s="13" t="str">
        <f ca="1">IFERROR(__xludf.DUMMYFUNCTION("""COMPUTED_VALUE"""),"bush_tgd_pa_hv")</f>
        <v>bush_tgd_pa_hv</v>
      </c>
      <c r="B379" s="13" t="str">
        <f ca="1">IFERROR(__xludf.DUMMYFUNCTION("""COMPUTED_VALUE"""),"Тангенс дельта основной изоляции ввода ВН, фаза A")</f>
        <v>Тангенс дельта основной изоляции ввода ВН, фаза A</v>
      </c>
      <c r="D379" s="49"/>
      <c r="F379" s="49"/>
      <c r="H379" s="49"/>
    </row>
    <row r="380" spans="1:8" ht="15.75" customHeight="1" x14ac:dyDescent="0.25">
      <c r="A380" s="13" t="str">
        <f ca="1">IFERROR(__xludf.DUMMYFUNCTION("""COMPUTED_VALUE"""),"bush_tgd_pa_hv_initial")</f>
        <v>bush_tgd_pa_hv_initial</v>
      </c>
      <c r="B380" s="13" t="str">
        <f ca="1">IFERROR(__xludf.DUMMYFUNCTION("""COMPUTED_VALUE"""),"Начальное значение тангенса дельта ввода ВН, фаза A с прибора мониторинга")</f>
        <v>Начальное значение тангенса дельта ввода ВН, фаза A с прибора мониторинга</v>
      </c>
      <c r="D380" s="49"/>
      <c r="F380" s="49"/>
      <c r="H380" s="49"/>
    </row>
    <row r="381" spans="1:8" ht="15.75" customHeight="1" x14ac:dyDescent="0.25">
      <c r="A381" s="13" t="str">
        <f ca="1">IFERROR(__xludf.DUMMYFUNCTION("""COMPUTED_VALUE"""),"bush_tgd_pa_hv_initial_manual")</f>
        <v>bush_tgd_pa_hv_initial_manual</v>
      </c>
      <c r="B381" s="13" t="str">
        <f ca="1">IFERROR(__xludf.DUMMYFUNCTION("""COMPUTED_VALUE"""),"Начальное значение тангенса дельта ввода ВН, фаза A по результатам испытаний")</f>
        <v>Начальное значение тангенса дельта ввода ВН, фаза A по результатам испытаний</v>
      </c>
      <c r="D381" s="49"/>
      <c r="F381" s="49"/>
      <c r="H381" s="49"/>
    </row>
    <row r="382" spans="1:8" ht="15.75" customHeight="1" x14ac:dyDescent="0.25">
      <c r="A382" s="13" t="str">
        <f ca="1">IFERROR(__xludf.DUMMYFUNCTION("""COMPUTED_VALUE"""),"bush_tgd_pa_hv_initial_res")</f>
        <v>bush_tgd_pa_hv_initial_res</v>
      </c>
      <c r="B382" s="13" t="str">
        <f ca="1">IFERROR(__xludf.DUMMYFUNCTION("""COMPUTED_VALUE"""),"Начальное значение тангенса дельта ввода ВН, фаза A, результирующее")</f>
        <v>Начальное значение тангенса дельта ввода ВН, фаза A, результирующее</v>
      </c>
      <c r="D382" s="49"/>
      <c r="F382" s="49"/>
      <c r="H382" s="49"/>
    </row>
    <row r="383" spans="1:8" ht="15.75" customHeight="1" x14ac:dyDescent="0.25">
      <c r="A383" s="13" t="str">
        <f ca="1">IFERROR(__xludf.DUMMYFUNCTION("""COMPUTED_VALUE"""),"bush_tgd_pa_lv")</f>
        <v>bush_tgd_pa_lv</v>
      </c>
      <c r="B383" s="13" t="str">
        <f ca="1">IFERROR(__xludf.DUMMYFUNCTION("""COMPUTED_VALUE"""),"Тангенс дельта основной изоляции ввода НН, фаза A")</f>
        <v>Тангенс дельта основной изоляции ввода НН, фаза A</v>
      </c>
      <c r="D383" s="49"/>
      <c r="F383" s="49"/>
      <c r="H383" s="49"/>
    </row>
    <row r="384" spans="1:8" ht="15.75" customHeight="1" x14ac:dyDescent="0.25">
      <c r="A384" s="13" t="str">
        <f ca="1">IFERROR(__xludf.DUMMYFUNCTION("""COMPUTED_VALUE"""),"bush_tgd_pa_lv_initial")</f>
        <v>bush_tgd_pa_lv_initial</v>
      </c>
      <c r="B384" s="13" t="str">
        <f ca="1">IFERROR(__xludf.DUMMYFUNCTION("""COMPUTED_VALUE"""),"Начальное значение тангенса дельта ввода СН, фаза A с прибора мониторинга")</f>
        <v>Начальное значение тангенса дельта ввода СН, фаза A с прибора мониторинга</v>
      </c>
      <c r="D384" s="49"/>
      <c r="F384" s="49"/>
      <c r="H384" s="49"/>
    </row>
    <row r="385" spans="1:8" ht="15.75" customHeight="1" x14ac:dyDescent="0.25">
      <c r="A385" s="13" t="str">
        <f ca="1">IFERROR(__xludf.DUMMYFUNCTION("""COMPUTED_VALUE"""),"bush_tgd_pa_lv_initial_manual")</f>
        <v>bush_tgd_pa_lv_initial_manual</v>
      </c>
      <c r="B385" s="13" t="str">
        <f ca="1">IFERROR(__xludf.DUMMYFUNCTION("""COMPUTED_VALUE"""),"Начальное значение тангенса дельта ввода НН, фаза A по результатам испытаний")</f>
        <v>Начальное значение тангенса дельта ввода НН, фаза A по результатам испытаний</v>
      </c>
      <c r="D385" s="49"/>
      <c r="F385" s="49"/>
      <c r="H385" s="49"/>
    </row>
    <row r="386" spans="1:8" ht="15.75" customHeight="1" x14ac:dyDescent="0.25">
      <c r="A386" s="13" t="str">
        <f ca="1">IFERROR(__xludf.DUMMYFUNCTION("""COMPUTED_VALUE"""),"bush_tgd_pa_lv_initial_res")</f>
        <v>bush_tgd_pa_lv_initial_res</v>
      </c>
      <c r="B386" s="13" t="str">
        <f ca="1">IFERROR(__xludf.DUMMYFUNCTION("""COMPUTED_VALUE"""),"Начальное значение тангенса дельта ввода НН, фаза A, результирующее")</f>
        <v>Начальное значение тангенса дельта ввода НН, фаза A, результирующее</v>
      </c>
      <c r="D386" s="49"/>
      <c r="F386" s="49"/>
      <c r="H386" s="49"/>
    </row>
    <row r="387" spans="1:8" ht="15.75" customHeight="1" x14ac:dyDescent="0.25">
      <c r="A387" s="13" t="str">
        <f ca="1">IFERROR(__xludf.DUMMYFUNCTION("""COMPUTED_VALUE"""),"bush_tgd_pa_mv")</f>
        <v>bush_tgd_pa_mv</v>
      </c>
      <c r="B387" s="13" t="str">
        <f ca="1">IFERROR(__xludf.DUMMYFUNCTION("""COMPUTED_VALUE"""),"Тангенс дельта основной изоляции ввода СН, фаза A")</f>
        <v>Тангенс дельта основной изоляции ввода СН, фаза A</v>
      </c>
      <c r="D387" s="49"/>
      <c r="F387" s="49"/>
      <c r="H387" s="49"/>
    </row>
    <row r="388" spans="1:8" ht="15.75" customHeight="1" x14ac:dyDescent="0.25">
      <c r="A388" s="13" t="str">
        <f ca="1">IFERROR(__xludf.DUMMYFUNCTION("""COMPUTED_VALUE"""),"bush_tgd_pa_mv_initial")</f>
        <v>bush_tgd_pa_mv_initial</v>
      </c>
      <c r="B388" s="13" t="str">
        <f ca="1">IFERROR(__xludf.DUMMYFUNCTION("""COMPUTED_VALUE"""),"Начальное значение тангенса дельта ввода НН, фаза A с прибора мониторинга")</f>
        <v>Начальное значение тангенса дельта ввода НН, фаза A с прибора мониторинга</v>
      </c>
      <c r="D388" s="49"/>
      <c r="F388" s="49"/>
      <c r="H388" s="49"/>
    </row>
    <row r="389" spans="1:8" ht="15.75" customHeight="1" x14ac:dyDescent="0.25">
      <c r="A389" s="13" t="str">
        <f ca="1">IFERROR(__xludf.DUMMYFUNCTION("""COMPUTED_VALUE"""),"bush_tgd_pa_mv_initial_manual")</f>
        <v>bush_tgd_pa_mv_initial_manual</v>
      </c>
      <c r="B389" s="13" t="str">
        <f ca="1">IFERROR(__xludf.DUMMYFUNCTION("""COMPUTED_VALUE"""),"Начальное значение тангенса дельта ввода СН, фаза A по результатам испытаний")</f>
        <v>Начальное значение тангенса дельта ввода СН, фаза A по результатам испытаний</v>
      </c>
      <c r="D389" s="49"/>
      <c r="F389" s="49"/>
      <c r="H389" s="49"/>
    </row>
    <row r="390" spans="1:8" ht="15.75" customHeight="1" x14ac:dyDescent="0.25">
      <c r="A390" s="13" t="str">
        <f ca="1">IFERROR(__xludf.DUMMYFUNCTION("""COMPUTED_VALUE"""),"bush_tgd_pa_mv_initial_res")</f>
        <v>bush_tgd_pa_mv_initial_res</v>
      </c>
      <c r="B390" s="13" t="str">
        <f ca="1">IFERROR(__xludf.DUMMYFUNCTION("""COMPUTED_VALUE"""),"Начальное значение тангенса дельта ввода СН, фаза A, результирующее")</f>
        <v>Начальное значение тангенса дельта ввода СН, фаза A, результирующее</v>
      </c>
      <c r="D390" s="49"/>
      <c r="F390" s="49"/>
      <c r="H390" s="49"/>
    </row>
    <row r="391" spans="1:8" ht="15.75" customHeight="1" x14ac:dyDescent="0.25">
      <c r="A391" s="13" t="str">
        <f ca="1">IFERROR(__xludf.DUMMYFUNCTION("""COMPUTED_VALUE"""),"bush_tgd_pb_hv")</f>
        <v>bush_tgd_pb_hv</v>
      </c>
      <c r="B391" s="13" t="str">
        <f ca="1">IFERROR(__xludf.DUMMYFUNCTION("""COMPUTED_VALUE"""),"Тангенс дельта основной изоляции ввода ВН, фаза B")</f>
        <v>Тангенс дельта основной изоляции ввода ВН, фаза B</v>
      </c>
      <c r="D391" s="49"/>
      <c r="F391" s="49"/>
      <c r="H391" s="49"/>
    </row>
    <row r="392" spans="1:8" ht="15.75" customHeight="1" x14ac:dyDescent="0.25">
      <c r="A392" s="13" t="str">
        <f ca="1">IFERROR(__xludf.DUMMYFUNCTION("""COMPUTED_VALUE"""),"bush_tgd_pb_hv_initial")</f>
        <v>bush_tgd_pb_hv_initial</v>
      </c>
      <c r="B392" s="13" t="str">
        <f ca="1">IFERROR(__xludf.DUMMYFUNCTION("""COMPUTED_VALUE"""),"Начальное значение тангенса дельта ввода ВН, фаза B с прибора мониторинга")</f>
        <v>Начальное значение тангенса дельта ввода ВН, фаза B с прибора мониторинга</v>
      </c>
      <c r="D392" s="49"/>
      <c r="F392" s="49"/>
      <c r="H392" s="49"/>
    </row>
    <row r="393" spans="1:8" ht="15.75" customHeight="1" x14ac:dyDescent="0.25">
      <c r="A393" s="13" t="str">
        <f ca="1">IFERROR(__xludf.DUMMYFUNCTION("""COMPUTED_VALUE"""),"bush_tgd_pb_hv_initial_manual")</f>
        <v>bush_tgd_pb_hv_initial_manual</v>
      </c>
      <c r="B393" s="13" t="str">
        <f ca="1">IFERROR(__xludf.DUMMYFUNCTION("""COMPUTED_VALUE"""),"Начальное значение тангенса дельта ввода ВН, фаза B по результатам испытаний")</f>
        <v>Начальное значение тангенса дельта ввода ВН, фаза B по результатам испытаний</v>
      </c>
      <c r="D393" s="49"/>
      <c r="F393" s="49"/>
      <c r="H393" s="49"/>
    </row>
    <row r="394" spans="1:8" ht="15.75" customHeight="1" x14ac:dyDescent="0.25">
      <c r="A394" s="13" t="str">
        <f ca="1">IFERROR(__xludf.DUMMYFUNCTION("""COMPUTED_VALUE"""),"bush_tgd_pb_hv_initial_res")</f>
        <v>bush_tgd_pb_hv_initial_res</v>
      </c>
      <c r="B394" s="13" t="str">
        <f ca="1">IFERROR(__xludf.DUMMYFUNCTION("""COMPUTED_VALUE"""),"Начальное значение тангенса дельта ввода ВН, фаза B, результирующее")</f>
        <v>Начальное значение тангенса дельта ввода ВН, фаза B, результирующее</v>
      </c>
      <c r="D394" s="49"/>
      <c r="F394" s="49"/>
      <c r="H394" s="49"/>
    </row>
    <row r="395" spans="1:8" ht="15.75" customHeight="1" x14ac:dyDescent="0.25">
      <c r="A395" s="13" t="str">
        <f ca="1">IFERROR(__xludf.DUMMYFUNCTION("""COMPUTED_VALUE"""),"bush_tgd_pb_lv")</f>
        <v>bush_tgd_pb_lv</v>
      </c>
      <c r="B395" s="13" t="str">
        <f ca="1">IFERROR(__xludf.DUMMYFUNCTION("""COMPUTED_VALUE"""),"Тангенс дельта основной изоляции ввода НН, фаза B")</f>
        <v>Тангенс дельта основной изоляции ввода НН, фаза B</v>
      </c>
      <c r="D395" s="49"/>
      <c r="F395" s="49"/>
      <c r="H395" s="49"/>
    </row>
    <row r="396" spans="1:8" ht="15.75" customHeight="1" x14ac:dyDescent="0.25">
      <c r="A396" s="13" t="str">
        <f ca="1">IFERROR(__xludf.DUMMYFUNCTION("""COMPUTED_VALUE"""),"bush_tgd_pb_lv_initial")</f>
        <v>bush_tgd_pb_lv_initial</v>
      </c>
      <c r="B396" s="13" t="str">
        <f ca="1">IFERROR(__xludf.DUMMYFUNCTION("""COMPUTED_VALUE"""),"Начальное значение тангенса дельта ввода СН, фаза B с прибора мониторинга")</f>
        <v>Начальное значение тангенса дельта ввода СН, фаза B с прибора мониторинга</v>
      </c>
      <c r="D396" s="49"/>
      <c r="F396" s="49"/>
      <c r="H396" s="49"/>
    </row>
    <row r="397" spans="1:8" ht="15.75" customHeight="1" x14ac:dyDescent="0.25">
      <c r="A397" s="13" t="str">
        <f ca="1">IFERROR(__xludf.DUMMYFUNCTION("""COMPUTED_VALUE"""),"bush_tgd_pb_lv_initial_manual")</f>
        <v>bush_tgd_pb_lv_initial_manual</v>
      </c>
      <c r="B397" s="13" t="str">
        <f ca="1">IFERROR(__xludf.DUMMYFUNCTION("""COMPUTED_VALUE"""),"Начальное значение тангенса дельта ввода НН, фаза B по результатам испытаний")</f>
        <v>Начальное значение тангенса дельта ввода НН, фаза B по результатам испытаний</v>
      </c>
      <c r="D397" s="49"/>
      <c r="F397" s="49"/>
      <c r="H397" s="49"/>
    </row>
    <row r="398" spans="1:8" ht="15.75" customHeight="1" x14ac:dyDescent="0.25">
      <c r="A398" s="13" t="str">
        <f ca="1">IFERROR(__xludf.DUMMYFUNCTION("""COMPUTED_VALUE"""),"bush_tgd_pb_lv_initial_res")</f>
        <v>bush_tgd_pb_lv_initial_res</v>
      </c>
      <c r="B398" s="13" t="str">
        <f ca="1">IFERROR(__xludf.DUMMYFUNCTION("""COMPUTED_VALUE"""),"Начальное значение тангенса дельта ввода НН, фаза B, результирующее")</f>
        <v>Начальное значение тангенса дельта ввода НН, фаза B, результирующее</v>
      </c>
      <c r="D398" s="49"/>
      <c r="F398" s="49"/>
      <c r="H398" s="49"/>
    </row>
    <row r="399" spans="1:8" ht="15.75" customHeight="1" x14ac:dyDescent="0.25">
      <c r="A399" s="13" t="str">
        <f ca="1">IFERROR(__xludf.DUMMYFUNCTION("""COMPUTED_VALUE"""),"bush_tgd_pb_mv")</f>
        <v>bush_tgd_pb_mv</v>
      </c>
      <c r="B399" s="13" t="str">
        <f ca="1">IFERROR(__xludf.DUMMYFUNCTION("""COMPUTED_VALUE"""),"Тангенс дельта основной изоляции ввода СН, фаза B")</f>
        <v>Тангенс дельта основной изоляции ввода СН, фаза B</v>
      </c>
      <c r="D399" s="49"/>
      <c r="F399" s="49"/>
      <c r="H399" s="49"/>
    </row>
    <row r="400" spans="1:8" ht="15.75" customHeight="1" x14ac:dyDescent="0.25">
      <c r="A400" s="13" t="str">
        <f ca="1">IFERROR(__xludf.DUMMYFUNCTION("""COMPUTED_VALUE"""),"bush_tgd_pb_mv_initial")</f>
        <v>bush_tgd_pb_mv_initial</v>
      </c>
      <c r="B400" s="13" t="str">
        <f ca="1">IFERROR(__xludf.DUMMYFUNCTION("""COMPUTED_VALUE"""),"Начальное значение тангенса дельта ввода НН, фаза B с прибора мониторинга")</f>
        <v>Начальное значение тангенса дельта ввода НН, фаза B с прибора мониторинга</v>
      </c>
      <c r="D400" s="49"/>
      <c r="F400" s="49"/>
      <c r="H400" s="49"/>
    </row>
    <row r="401" spans="1:8" ht="15.75" customHeight="1" x14ac:dyDescent="0.25">
      <c r="A401" s="13" t="str">
        <f ca="1">IFERROR(__xludf.DUMMYFUNCTION("""COMPUTED_VALUE"""),"bush_tgd_pb_mv_initial_manual")</f>
        <v>bush_tgd_pb_mv_initial_manual</v>
      </c>
      <c r="B401" s="13" t="str">
        <f ca="1">IFERROR(__xludf.DUMMYFUNCTION("""COMPUTED_VALUE"""),"Начальное значение тангенса дельта ввода СН, фаза B по результатам испытаний")</f>
        <v>Начальное значение тангенса дельта ввода СН, фаза B по результатам испытаний</v>
      </c>
      <c r="D401" s="49"/>
      <c r="F401" s="49"/>
      <c r="H401" s="49"/>
    </row>
    <row r="402" spans="1:8" ht="15.75" customHeight="1" x14ac:dyDescent="0.25">
      <c r="A402" s="13" t="str">
        <f ca="1">IFERROR(__xludf.DUMMYFUNCTION("""COMPUTED_VALUE"""),"bush_tgd_pb_mv_initial_res")</f>
        <v>bush_tgd_pb_mv_initial_res</v>
      </c>
      <c r="B402" s="13" t="str">
        <f ca="1">IFERROR(__xludf.DUMMYFUNCTION("""COMPUTED_VALUE"""),"Начальное значение тангенса дельта ввода СН, фаза B, результирующее")</f>
        <v>Начальное значение тангенса дельта ввода СН, фаза B, результирующее</v>
      </c>
      <c r="D402" s="49"/>
      <c r="F402" s="49"/>
      <c r="H402" s="49"/>
    </row>
    <row r="403" spans="1:8" ht="15.75" customHeight="1" x14ac:dyDescent="0.25">
      <c r="A403" s="13" t="str">
        <f ca="1">IFERROR(__xludf.DUMMYFUNCTION("""COMPUTED_VALUE"""),"bush_tgd_pc_hv")</f>
        <v>bush_tgd_pc_hv</v>
      </c>
      <c r="B403" s="13" t="str">
        <f ca="1">IFERROR(__xludf.DUMMYFUNCTION("""COMPUTED_VALUE"""),"Тангенс дельта основной изоляции ввода ВН, фаза C")</f>
        <v>Тангенс дельта основной изоляции ввода ВН, фаза C</v>
      </c>
      <c r="D403" s="49"/>
      <c r="F403" s="49"/>
      <c r="H403" s="49"/>
    </row>
    <row r="404" spans="1:8" ht="15.75" customHeight="1" x14ac:dyDescent="0.25">
      <c r="A404" s="13" t="str">
        <f ca="1">IFERROR(__xludf.DUMMYFUNCTION("""COMPUTED_VALUE"""),"bush_tgd_pc_hv_initial")</f>
        <v>bush_tgd_pc_hv_initial</v>
      </c>
      <c r="B404" s="13" t="str">
        <f ca="1">IFERROR(__xludf.DUMMYFUNCTION("""COMPUTED_VALUE"""),"Начальное значение тангенса дельта ввода ВН, фаза C с прибора мониторинга")</f>
        <v>Начальное значение тангенса дельта ввода ВН, фаза C с прибора мониторинга</v>
      </c>
      <c r="D404" s="49"/>
      <c r="F404" s="49"/>
      <c r="H404" s="49"/>
    </row>
    <row r="405" spans="1:8" ht="15.75" customHeight="1" x14ac:dyDescent="0.25">
      <c r="A405" s="13" t="str">
        <f ca="1">IFERROR(__xludf.DUMMYFUNCTION("""COMPUTED_VALUE"""),"bush_tgd_pc_hv_initial_manual")</f>
        <v>bush_tgd_pc_hv_initial_manual</v>
      </c>
      <c r="B405" s="13" t="str">
        <f ca="1">IFERROR(__xludf.DUMMYFUNCTION("""COMPUTED_VALUE"""),"Начальное значение тангенса дельта ввода ВН, фаза C по результатам испытаний")</f>
        <v>Начальное значение тангенса дельта ввода ВН, фаза C по результатам испытаний</v>
      </c>
      <c r="D405" s="49"/>
      <c r="F405" s="49"/>
      <c r="H405" s="49"/>
    </row>
    <row r="406" spans="1:8" ht="15.75" customHeight="1" x14ac:dyDescent="0.25">
      <c r="A406" s="13" t="str">
        <f ca="1">IFERROR(__xludf.DUMMYFUNCTION("""COMPUTED_VALUE"""),"bush_tgd_pc_hv_initial_res")</f>
        <v>bush_tgd_pc_hv_initial_res</v>
      </c>
      <c r="B406" s="13" t="str">
        <f ca="1">IFERROR(__xludf.DUMMYFUNCTION("""COMPUTED_VALUE"""),"Начальное значение тангенса дельта ввода ВН, фаза C, результирующее")</f>
        <v>Начальное значение тангенса дельта ввода ВН, фаза C, результирующее</v>
      </c>
      <c r="D406" s="49"/>
      <c r="F406" s="49"/>
      <c r="H406" s="49"/>
    </row>
    <row r="407" spans="1:8" ht="15.75" customHeight="1" x14ac:dyDescent="0.25">
      <c r="A407" s="13" t="str">
        <f ca="1">IFERROR(__xludf.DUMMYFUNCTION("""COMPUTED_VALUE"""),"bush_tgd_pc_lv")</f>
        <v>bush_tgd_pc_lv</v>
      </c>
      <c r="B407" s="13" t="str">
        <f ca="1">IFERROR(__xludf.DUMMYFUNCTION("""COMPUTED_VALUE"""),"Тангенс дельта основной изоляции ввода НН, фаза C")</f>
        <v>Тангенс дельта основной изоляции ввода НН, фаза C</v>
      </c>
      <c r="D407" s="49"/>
      <c r="F407" s="49"/>
      <c r="H407" s="49"/>
    </row>
    <row r="408" spans="1:8" ht="15.75" customHeight="1" x14ac:dyDescent="0.25">
      <c r="A408" s="13" t="str">
        <f ca="1">IFERROR(__xludf.DUMMYFUNCTION("""COMPUTED_VALUE"""),"bush_tgd_pc_lv_initial")</f>
        <v>bush_tgd_pc_lv_initial</v>
      </c>
      <c r="B408" s="13" t="str">
        <f ca="1">IFERROR(__xludf.DUMMYFUNCTION("""COMPUTED_VALUE"""),"Начальное значение тангенса дельта ввода СН, фаза C с прибора мониторинга")</f>
        <v>Начальное значение тангенса дельта ввода СН, фаза C с прибора мониторинга</v>
      </c>
      <c r="D408" s="49"/>
      <c r="F408" s="49"/>
      <c r="H408" s="49"/>
    </row>
    <row r="409" spans="1:8" ht="15.75" customHeight="1" x14ac:dyDescent="0.25">
      <c r="A409" s="13" t="str">
        <f ca="1">IFERROR(__xludf.DUMMYFUNCTION("""COMPUTED_VALUE"""),"bush_tgd_pc_lv_initial_manual")</f>
        <v>bush_tgd_pc_lv_initial_manual</v>
      </c>
      <c r="B409" s="13" t="str">
        <f ca="1">IFERROR(__xludf.DUMMYFUNCTION("""COMPUTED_VALUE"""),"Начальное значение тангенса дельта ввода НН, фаза C по результатам испытаний")</f>
        <v>Начальное значение тангенса дельта ввода НН, фаза C по результатам испытаний</v>
      </c>
      <c r="D409" s="49"/>
      <c r="F409" s="49"/>
      <c r="H409" s="49"/>
    </row>
    <row r="410" spans="1:8" ht="15.75" customHeight="1" x14ac:dyDescent="0.25">
      <c r="A410" s="13" t="str">
        <f ca="1">IFERROR(__xludf.DUMMYFUNCTION("""COMPUTED_VALUE"""),"bush_tgd_pc_lv_initial_res")</f>
        <v>bush_tgd_pc_lv_initial_res</v>
      </c>
      <c r="B410" s="13" t="str">
        <f ca="1">IFERROR(__xludf.DUMMYFUNCTION("""COMPUTED_VALUE"""),"Начальное значение тангенса дельта ввода НН, фаза C, результирующее")</f>
        <v>Начальное значение тангенса дельта ввода НН, фаза C, результирующее</v>
      </c>
      <c r="D410" s="49"/>
      <c r="F410" s="49"/>
      <c r="H410" s="49"/>
    </row>
    <row r="411" spans="1:8" ht="15.75" customHeight="1" x14ac:dyDescent="0.25">
      <c r="A411" s="13" t="str">
        <f ca="1">IFERROR(__xludf.DUMMYFUNCTION("""COMPUTED_VALUE"""),"bush_tgd_pc_mv")</f>
        <v>bush_tgd_pc_mv</v>
      </c>
      <c r="B411" s="13" t="str">
        <f ca="1">IFERROR(__xludf.DUMMYFUNCTION("""COMPUTED_VALUE"""),"Тангенс дельта основной изоляции ввода СН, фаза C")</f>
        <v>Тангенс дельта основной изоляции ввода СН, фаза C</v>
      </c>
      <c r="D411" s="49"/>
      <c r="F411" s="49"/>
      <c r="H411" s="49"/>
    </row>
    <row r="412" spans="1:8" ht="15.75" customHeight="1" x14ac:dyDescent="0.25">
      <c r="A412" s="13" t="str">
        <f ca="1">IFERROR(__xludf.DUMMYFUNCTION("""COMPUTED_VALUE"""),"bush_tgd_pc_mv_initial")</f>
        <v>bush_tgd_pc_mv_initial</v>
      </c>
      <c r="B412" s="13" t="str">
        <f ca="1">IFERROR(__xludf.DUMMYFUNCTION("""COMPUTED_VALUE"""),"Начальное значение тангенса дельта ввода НН, фаза C с прибора мониторинга")</f>
        <v>Начальное значение тангенса дельта ввода НН, фаза C с прибора мониторинга</v>
      </c>
      <c r="D412" s="49"/>
      <c r="F412" s="49"/>
      <c r="H412" s="49"/>
    </row>
    <row r="413" spans="1:8" ht="15.75" customHeight="1" x14ac:dyDescent="0.25">
      <c r="A413" s="13" t="str">
        <f ca="1">IFERROR(__xludf.DUMMYFUNCTION("""COMPUTED_VALUE"""),"bush_tgd_pc_mv_initial_manual")</f>
        <v>bush_tgd_pc_mv_initial_manual</v>
      </c>
      <c r="B413" s="13" t="str">
        <f ca="1">IFERROR(__xludf.DUMMYFUNCTION("""COMPUTED_VALUE"""),"Начальное значение тангенса дельта ввода СН, фаза C по результатам испытаний")</f>
        <v>Начальное значение тангенса дельта ввода СН, фаза C по результатам испытаний</v>
      </c>
      <c r="D413" s="49"/>
      <c r="F413" s="49"/>
      <c r="H413" s="49"/>
    </row>
    <row r="414" spans="1:8" ht="15.75" customHeight="1" x14ac:dyDescent="0.25">
      <c r="A414" s="13" t="str">
        <f ca="1">IFERROR(__xludf.DUMMYFUNCTION("""COMPUTED_VALUE"""),"bush_tgd_pc_mv_initial_res")</f>
        <v>bush_tgd_pc_mv_initial_res</v>
      </c>
      <c r="B414" s="13" t="str">
        <f ca="1">IFERROR(__xludf.DUMMYFUNCTION("""COMPUTED_VALUE"""),"Начальное значение тангенса дельта ввода СН, фаза C, результирующее")</f>
        <v>Начальное значение тангенса дельта ввода СН, фаза C, результирующее</v>
      </c>
      <c r="D414" s="49"/>
      <c r="F414" s="49"/>
      <c r="H414" s="49"/>
    </row>
    <row r="415" spans="1:8" ht="15.75" customHeight="1" x14ac:dyDescent="0.25">
      <c r="A415" s="13" t="str">
        <f ca="1">IFERROR(__xludf.DUMMYFUNCTION("""COMPUTED_VALUE"""),"c_alarm0")</f>
        <v>c_alarm0</v>
      </c>
      <c r="B415" s="13" t="str">
        <f ca="1">IFERROR(__xludf.DUMMYFUNCTION("""COMPUTED_VALUE"""),"Высокий уровень концентрации газов")</f>
        <v>Высокий уровень концентрации газов</v>
      </c>
      <c r="D415" s="49"/>
      <c r="F415" s="49"/>
      <c r="H415" s="49"/>
    </row>
    <row r="416" spans="1:8" ht="15.75" customHeight="1" x14ac:dyDescent="0.25">
      <c r="A416" s="13" t="str">
        <f ca="1">IFERROR(__xludf.DUMMYFUNCTION("""COMPUTED_VALUE"""),"c_alarm1")</f>
        <v>c_alarm1</v>
      </c>
      <c r="B416" s="13" t="str">
        <f ca="1">IFERROR(__xludf.DUMMYFUNCTION("""COMPUTED_VALUE"""),"Аварийно-высокий уровень концентрации газов")</f>
        <v>Аварийно-высокий уровень концентрации газов</v>
      </c>
      <c r="D416" s="49"/>
      <c r="F416" s="49"/>
      <c r="H416" s="49"/>
    </row>
    <row r="417" spans="1:8" ht="15.75" customHeight="1" x14ac:dyDescent="0.25">
      <c r="A417" s="13" t="str">
        <f ca="1">IFERROR(__xludf.DUMMYFUNCTION("""COMPUTED_VALUE"""),"c_c2h2")</f>
        <v>c_c2h2</v>
      </c>
      <c r="B417" s="13" t="str">
        <f ca="1">IFERROR(__xludf.DUMMYFUNCTION("""COMPUTED_VALUE"""),"Концентрация ацетилена")</f>
        <v>Концентрация ацетилена</v>
      </c>
      <c r="D417" s="49"/>
      <c r="F417" s="49"/>
      <c r="H417" s="49"/>
    </row>
    <row r="418" spans="1:8" ht="15.75" customHeight="1" x14ac:dyDescent="0.25">
      <c r="A418" s="13" t="str">
        <f ca="1">IFERROR(__xludf.DUMMYFUNCTION("""COMPUTED_VALUE"""),"c_c2h2_avg")</f>
        <v>c_c2h2_avg</v>
      </c>
      <c r="B418" s="13" t="str">
        <f ca="1">IFERROR(__xludf.DUMMYFUNCTION("""COMPUTED_VALUE"""),"Среднее часовое значение концентрации ацетилена")</f>
        <v>Среднее часовое значение концентрации ацетилена</v>
      </c>
      <c r="D418" s="49"/>
      <c r="F418" s="49"/>
      <c r="H418" s="49"/>
    </row>
    <row r="419" spans="1:8" ht="15.75" customHeight="1" x14ac:dyDescent="0.25">
      <c r="A419" s="13" t="str">
        <f ca="1">IFERROR(__xludf.DUMMYFUNCTION("""COMPUTED_VALUE"""),"c_c2h2_forecast")</f>
        <v>c_c2h2_forecast</v>
      </c>
      <c r="B419" s="13" t="str">
        <f ca="1">IFERROR(__xludf.DUMMYFUNCTION("""COMPUTED_VALUE"""),"Прогноз развития концентрации: ацетилен")</f>
        <v>Прогноз развития концентрации: ацетилен</v>
      </c>
      <c r="D419" s="49"/>
      <c r="F419" s="49"/>
      <c r="H419" s="49"/>
    </row>
    <row r="420" spans="1:8" ht="15.75" customHeight="1" x14ac:dyDescent="0.25">
      <c r="A420" s="13" t="str">
        <f ca="1">IFERROR(__xludf.DUMMYFUNCTION("""COMPUTED_VALUE"""),"c_c2h2_lim0")</f>
        <v>c_c2h2_lim0</v>
      </c>
      <c r="B420" s="13" t="str">
        <f ca="1">IFERROR(__xludf.DUMMYFUNCTION("""COMPUTED_VALUE"""),"ДЗ концентрации ацетилена")</f>
        <v>ДЗ концентрации ацетилена</v>
      </c>
      <c r="D420" s="49"/>
      <c r="F420" s="49"/>
      <c r="H420" s="49"/>
    </row>
    <row r="421" spans="1:8" ht="15.75" customHeight="1" x14ac:dyDescent="0.25">
      <c r="A421" s="13" t="str">
        <f ca="1">IFERROR(__xludf.DUMMYFUNCTION("""COMPUTED_VALUE"""),"c_c2h2_lim0_manual")</f>
        <v>c_c2h2_lim0_manual</v>
      </c>
      <c r="B421" s="13" t="str">
        <f ca="1">IFERROR(__xludf.DUMMYFUNCTION("""COMPUTED_VALUE"""),"ДЗ концентрации ацетилена ручное")</f>
        <v>ДЗ концентрации ацетилена ручное</v>
      </c>
      <c r="D421" s="49"/>
      <c r="F421" s="49"/>
      <c r="H421" s="49"/>
    </row>
    <row r="422" spans="1:8" ht="15.75" customHeight="1" x14ac:dyDescent="0.25">
      <c r="A422" s="13" t="str">
        <f ca="1">IFERROR(__xludf.DUMMYFUNCTION("""COMPUTED_VALUE"""),"c_c2h2_lim1")</f>
        <v>c_c2h2_lim1</v>
      </c>
      <c r="B422" s="13" t="str">
        <f ca="1">IFERROR(__xludf.DUMMYFUNCTION("""COMPUTED_VALUE"""),"ПДЗ концентрации ацетилена")</f>
        <v>ПДЗ концентрации ацетилена</v>
      </c>
      <c r="D422" s="49"/>
      <c r="F422" s="49"/>
      <c r="H422" s="49"/>
    </row>
    <row r="423" spans="1:8" ht="15.75" customHeight="1" x14ac:dyDescent="0.25">
      <c r="A423" s="13" t="str">
        <f ca="1">IFERROR(__xludf.DUMMYFUNCTION("""COMPUTED_VALUE"""),"c_c2h2_lim1_manual")</f>
        <v>c_c2h2_lim1_manual</v>
      </c>
      <c r="B423" s="13" t="str">
        <f ca="1">IFERROR(__xludf.DUMMYFUNCTION("""COMPUTED_VALUE"""),"ПДЗ концентрации ацетилена ручное")</f>
        <v>ПДЗ концентрации ацетилена ручное</v>
      </c>
      <c r="D423" s="49"/>
      <c r="F423" s="49"/>
      <c r="H423" s="49"/>
    </row>
    <row r="424" spans="1:8" ht="15.75" customHeight="1" x14ac:dyDescent="0.25">
      <c r="A424" s="13" t="str">
        <f ca="1">IFERROR(__xludf.DUMMYFUNCTION("""COMPUTED_VALUE"""),"c_c2h2_oe_lim0")</f>
        <v>c_c2h2_oe_lim0</v>
      </c>
      <c r="B424" s="13" t="str">
        <f ca="1">IFERROR(__xludf.DUMMYFUNCTION("""COMPUTED_VALUE"""),"Концентрация ацетилена относительно ДЗ")</f>
        <v>Концентрация ацетилена относительно ДЗ</v>
      </c>
      <c r="D424" s="49"/>
      <c r="F424" s="49"/>
      <c r="H424" s="49"/>
    </row>
    <row r="425" spans="1:8" ht="15.75" customHeight="1" x14ac:dyDescent="0.25">
      <c r="A425" s="13" t="str">
        <f ca="1">IFERROR(__xludf.DUMMYFUNCTION("""COMPUTED_VALUE"""),"c_c2h2_oe_lim1")</f>
        <v>c_c2h2_oe_lim1</v>
      </c>
      <c r="B425" s="13" t="str">
        <f ca="1">IFERROR(__xludf.DUMMYFUNCTION("""COMPUTED_VALUE"""),"Концентрация ацетилена относительно ПДЗ")</f>
        <v>Концентрация ацетилена относительно ПДЗ</v>
      </c>
      <c r="D425" s="49"/>
      <c r="F425" s="49"/>
      <c r="H425" s="49"/>
    </row>
    <row r="426" spans="1:8" ht="15.75" customHeight="1" x14ac:dyDescent="0.25">
      <c r="A426" s="13" t="str">
        <f ca="1">IFERROR(__xludf.DUMMYFUNCTION("""COMPUTED_VALUE"""),"c_c2h2_offline")</f>
        <v>c_c2h2_offline</v>
      </c>
      <c r="B426" s="13" t="str">
        <f ca="1">IFERROR(__xludf.DUMMYFUNCTION("""COMPUTED_VALUE"""),"Концентрация ацетилена (офлайн)")</f>
        <v>Концентрация ацетилена (офлайн)</v>
      </c>
      <c r="D426" s="49"/>
      <c r="F426" s="49"/>
      <c r="H426" s="49"/>
    </row>
    <row r="427" spans="1:8" ht="15.75" customHeight="1" x14ac:dyDescent="0.25">
      <c r="A427" s="13" t="str">
        <f ca="1">IFERROR(__xludf.DUMMYFUNCTION("""COMPUTED_VALUE"""),"c_c2h2_roc_abs_day")</f>
        <v>c_c2h2_roc_abs_day</v>
      </c>
      <c r="B427" s="13" t="str">
        <f ca="1">IFERROR(__xludf.DUMMYFUNCTION("""COMPUTED_VALUE"""),"Скорость роста концентрации ацетилена абсолютная, сутки")</f>
        <v>Скорость роста концентрации ацетилена абсолютная, сутки</v>
      </c>
      <c r="D427" s="49"/>
      <c r="F427" s="49"/>
      <c r="H427" s="49"/>
    </row>
    <row r="428" spans="1:8" ht="15.75" customHeight="1" x14ac:dyDescent="0.25">
      <c r="A428" s="13" t="str">
        <f ca="1">IFERROR(__xludf.DUMMYFUNCTION("""COMPUTED_VALUE"""),"c_c2h2_roc_abs_day_lim0")</f>
        <v>c_c2h2_roc_abs_day_lim0</v>
      </c>
      <c r="B428" s="13" t="str">
        <f ca="1">IFERROR(__xludf.DUMMYFUNCTION("""COMPUTED_VALUE"""),"ДЗ скорости роста концентрации ацетилена абсолютной, сутки")</f>
        <v>ДЗ скорости роста концентрации ацетилена абсолютной, сутки</v>
      </c>
      <c r="D428" s="49"/>
      <c r="F428" s="49"/>
      <c r="H428" s="49"/>
    </row>
    <row r="429" spans="1:8" ht="15.75" customHeight="1" x14ac:dyDescent="0.25">
      <c r="A429" s="13" t="str">
        <f ca="1">IFERROR(__xludf.DUMMYFUNCTION("""COMPUTED_VALUE"""),"c_c2h2_roc_abs_day_lim0_manual")</f>
        <v>c_c2h2_roc_abs_day_lim0_manual</v>
      </c>
      <c r="B429" s="13" t="str">
        <f ca="1">IFERROR(__xludf.DUMMYFUNCTION("""COMPUTED_VALUE"""),"ДЗ скорости роста концентрации ацетилена абсолютной, сутки, ручное")</f>
        <v>ДЗ скорости роста концентрации ацетилена абсолютной, сутки, ручное</v>
      </c>
      <c r="D429" s="49"/>
      <c r="F429" s="49"/>
      <c r="H429" s="49"/>
    </row>
    <row r="430" spans="1:8" ht="15.75" customHeight="1" x14ac:dyDescent="0.25">
      <c r="A430" s="13" t="str">
        <f ca="1">IFERROR(__xludf.DUMMYFUNCTION("""COMPUTED_VALUE"""),"c_c2h2_roc_abs_day_lim1")</f>
        <v>c_c2h2_roc_abs_day_lim1</v>
      </c>
      <c r="B430" s="13" t="str">
        <f ca="1">IFERROR(__xludf.DUMMYFUNCTION("""COMPUTED_VALUE"""),"ПДЗ скорости роста концентрации ацетилена абсолютной, сутки")</f>
        <v>ПДЗ скорости роста концентрации ацетилена абсолютной, сутки</v>
      </c>
      <c r="D430" s="49"/>
      <c r="F430" s="49"/>
      <c r="H430" s="49"/>
    </row>
    <row r="431" spans="1:8" ht="15.75" customHeight="1" x14ac:dyDescent="0.25">
      <c r="A431" s="13" t="str">
        <f ca="1">IFERROR(__xludf.DUMMYFUNCTION("""COMPUTED_VALUE"""),"c_c2h2_roc_abs_day_lim1_manual")</f>
        <v>c_c2h2_roc_abs_day_lim1_manual</v>
      </c>
      <c r="B431" s="13" t="str">
        <f ca="1">IFERROR(__xludf.DUMMYFUNCTION("""COMPUTED_VALUE"""),"ПДЗ скорости роста концентрации ацетилена абсолютной, сутки, ручное")</f>
        <v>ПДЗ скорости роста концентрации ацетилена абсолютной, сутки, ручное</v>
      </c>
      <c r="D431" s="49"/>
      <c r="F431" s="49"/>
      <c r="H431" s="49"/>
    </row>
    <row r="432" spans="1:8" ht="15.75" customHeight="1" x14ac:dyDescent="0.25">
      <c r="A432" s="13" t="str">
        <f ca="1">IFERROR(__xludf.DUMMYFUNCTION("""COMPUTED_VALUE"""),"c_c2h2_roc_abs_month")</f>
        <v>c_c2h2_roc_abs_month</v>
      </c>
      <c r="B432" s="13" t="str">
        <f ca="1">IFERROR(__xludf.DUMMYFUNCTION("""COMPUTED_VALUE"""),"Скорость роста концентрации ацетилена абсолютная, месяц")</f>
        <v>Скорость роста концентрации ацетилена абсолютная, месяц</v>
      </c>
      <c r="D432" s="49"/>
      <c r="F432" s="49"/>
      <c r="H432" s="49"/>
    </row>
    <row r="433" spans="1:8" ht="15.75" customHeight="1" x14ac:dyDescent="0.25">
      <c r="A433" s="13" t="str">
        <f ca="1">IFERROR(__xludf.DUMMYFUNCTION("""COMPUTED_VALUE"""),"c_c2h2_roc_abs_month_lim0")</f>
        <v>c_c2h2_roc_abs_month_lim0</v>
      </c>
      <c r="B433" s="13" t="str">
        <f ca="1">IFERROR(__xludf.DUMMYFUNCTION("""COMPUTED_VALUE"""),"ДЗ скорости роста концентрации ацетилена абсолютной, месяц")</f>
        <v>ДЗ скорости роста концентрации ацетилена абсолютной, месяц</v>
      </c>
      <c r="D433" s="49"/>
      <c r="F433" s="49"/>
      <c r="H433" s="49"/>
    </row>
    <row r="434" spans="1:8" ht="15.75" customHeight="1" x14ac:dyDescent="0.25">
      <c r="A434" s="13" t="str">
        <f ca="1">IFERROR(__xludf.DUMMYFUNCTION("""COMPUTED_VALUE"""),"c_c2h2_roc_abs_month_lim0_manual")</f>
        <v>c_c2h2_roc_abs_month_lim0_manual</v>
      </c>
      <c r="B434" s="13" t="str">
        <f ca="1">IFERROR(__xludf.DUMMYFUNCTION("""COMPUTED_VALUE"""),"ДЗ скорости роста концентрации ацетилена абсолютной, месяц, ручное")</f>
        <v>ДЗ скорости роста концентрации ацетилена абсолютной, месяц, ручное</v>
      </c>
      <c r="D434" s="49"/>
      <c r="F434" s="49"/>
      <c r="H434" s="49"/>
    </row>
    <row r="435" spans="1:8" ht="15.75" customHeight="1" x14ac:dyDescent="0.25">
      <c r="A435" s="13" t="str">
        <f ca="1">IFERROR(__xludf.DUMMYFUNCTION("""COMPUTED_VALUE"""),"c_c2h2_roc_abs_month_lim1")</f>
        <v>c_c2h2_roc_abs_month_lim1</v>
      </c>
      <c r="B435" s="13" t="str">
        <f ca="1">IFERROR(__xludf.DUMMYFUNCTION("""COMPUTED_VALUE"""),"ПДЗ скорости роста концентрации ацетилена абсолютной, месяц")</f>
        <v>ПДЗ скорости роста концентрации ацетилена абсолютной, месяц</v>
      </c>
      <c r="D435" s="49"/>
      <c r="F435" s="49"/>
      <c r="H435" s="49"/>
    </row>
    <row r="436" spans="1:8" ht="15.75" customHeight="1" x14ac:dyDescent="0.25">
      <c r="A436" s="13" t="str">
        <f ca="1">IFERROR(__xludf.DUMMYFUNCTION("""COMPUTED_VALUE"""),"c_c2h2_roc_abs_month_lim1_manual")</f>
        <v>c_c2h2_roc_abs_month_lim1_manual</v>
      </c>
      <c r="B436" s="13" t="str">
        <f ca="1">IFERROR(__xludf.DUMMYFUNCTION("""COMPUTED_VALUE"""),"ПДЗ скорости роста концентрации ацетилена абсолютной, месяц, ручное")</f>
        <v>ПДЗ скорости роста концентрации ацетилена абсолютной, месяц, ручное</v>
      </c>
      <c r="D436" s="49"/>
      <c r="F436" s="49"/>
      <c r="H436" s="49"/>
    </row>
    <row r="437" spans="1:8" ht="15.75" customHeight="1" x14ac:dyDescent="0.25">
      <c r="A437" s="13" t="str">
        <f ca="1">IFERROR(__xludf.DUMMYFUNCTION("""COMPUTED_VALUE"""),"c_c2h2_roc_abs_week")</f>
        <v>c_c2h2_roc_abs_week</v>
      </c>
      <c r="B437" s="13" t="str">
        <f ca="1">IFERROR(__xludf.DUMMYFUNCTION("""COMPUTED_VALUE"""),"Скорость роста концентрации ацетилена абсолютная, неделя")</f>
        <v>Скорость роста концентрации ацетилена абсолютная, неделя</v>
      </c>
      <c r="D437" s="49"/>
      <c r="F437" s="49"/>
      <c r="H437" s="49"/>
    </row>
    <row r="438" spans="1:8" ht="15.75" customHeight="1" x14ac:dyDescent="0.25">
      <c r="A438" s="13" t="str">
        <f ca="1">IFERROR(__xludf.DUMMYFUNCTION("""COMPUTED_VALUE"""),"c_c2h2_roc_abs_week_lim0")</f>
        <v>c_c2h2_roc_abs_week_lim0</v>
      </c>
      <c r="B438" s="13" t="str">
        <f ca="1">IFERROR(__xludf.DUMMYFUNCTION("""COMPUTED_VALUE"""),"ДЗ скорости роста концентрации ацетилена абсолютной, неделя")</f>
        <v>ДЗ скорости роста концентрации ацетилена абсолютной, неделя</v>
      </c>
      <c r="D438" s="49"/>
      <c r="F438" s="49"/>
      <c r="H438" s="49"/>
    </row>
    <row r="439" spans="1:8" ht="15.75" customHeight="1" x14ac:dyDescent="0.25">
      <c r="A439" s="13" t="str">
        <f ca="1">IFERROR(__xludf.DUMMYFUNCTION("""COMPUTED_VALUE"""),"c_c2h2_roc_abs_week_lim0_manual")</f>
        <v>c_c2h2_roc_abs_week_lim0_manual</v>
      </c>
      <c r="B439" s="13" t="str">
        <f ca="1">IFERROR(__xludf.DUMMYFUNCTION("""COMPUTED_VALUE"""),"ДЗ скорости роста концентрации ацетилена абсолютной, неделя, ручное")</f>
        <v>ДЗ скорости роста концентрации ацетилена абсолютной, неделя, ручное</v>
      </c>
      <c r="D439" s="49"/>
      <c r="F439" s="49"/>
      <c r="H439" s="49"/>
    </row>
    <row r="440" spans="1:8" ht="15.75" customHeight="1" x14ac:dyDescent="0.25">
      <c r="A440" s="13" t="str">
        <f ca="1">IFERROR(__xludf.DUMMYFUNCTION("""COMPUTED_VALUE"""),"c_c2h2_roc_abs_week_lim1")</f>
        <v>c_c2h2_roc_abs_week_lim1</v>
      </c>
      <c r="B440" s="13" t="str">
        <f ca="1">IFERROR(__xludf.DUMMYFUNCTION("""COMPUTED_VALUE"""),"ПДЗ скорости роста концентрации ацетилена абсолютной, неделя")</f>
        <v>ПДЗ скорости роста концентрации ацетилена абсолютной, неделя</v>
      </c>
      <c r="D440" s="49"/>
      <c r="F440" s="49"/>
      <c r="H440" s="49"/>
    </row>
    <row r="441" spans="1:8" ht="15.75" customHeight="1" x14ac:dyDescent="0.25">
      <c r="A441" s="13" t="str">
        <f ca="1">IFERROR(__xludf.DUMMYFUNCTION("""COMPUTED_VALUE"""),"c_c2h2_roc_abs_week_lim1_manual")</f>
        <v>c_c2h2_roc_abs_week_lim1_manual</v>
      </c>
      <c r="B441" s="13" t="str">
        <f ca="1">IFERROR(__xludf.DUMMYFUNCTION("""COMPUTED_VALUE"""),"ПДЗ скорости роста концентрации ацетилена абсолютной, неделя, ручное")</f>
        <v>ПДЗ скорости роста концентрации ацетилена абсолютной, неделя, ручное</v>
      </c>
      <c r="D441" s="49"/>
      <c r="F441" s="49"/>
      <c r="H441" s="49"/>
    </row>
    <row r="442" spans="1:8" ht="15.75" customHeight="1" x14ac:dyDescent="0.25">
      <c r="A442" s="13" t="str">
        <f ca="1">IFERROR(__xludf.DUMMYFUNCTION("""COMPUTED_VALUE"""),"c_c2h2_roc_abs_year")</f>
        <v>c_c2h2_roc_abs_year</v>
      </c>
      <c r="B442" s="13" t="str">
        <f ca="1">IFERROR(__xludf.DUMMYFUNCTION("""COMPUTED_VALUE"""),"Скорость роста концентрации ацетилена абсолютная, год")</f>
        <v>Скорость роста концентрации ацетилена абсолютная, год</v>
      </c>
      <c r="D442" s="49"/>
      <c r="F442" s="49"/>
      <c r="H442" s="49"/>
    </row>
    <row r="443" spans="1:8" ht="15.75" customHeight="1" x14ac:dyDescent="0.25">
      <c r="A443" s="13" t="str">
        <f ca="1">IFERROR(__xludf.DUMMYFUNCTION("""COMPUTED_VALUE"""),"c_c2h2_roc_abs_year_lim0")</f>
        <v>c_c2h2_roc_abs_year_lim0</v>
      </c>
      <c r="B443" s="13" t="str">
        <f ca="1">IFERROR(__xludf.DUMMYFUNCTION("""COMPUTED_VALUE"""),"ДЗ скорости роста концентрации ацетилена абсолютной, год")</f>
        <v>ДЗ скорости роста концентрации ацетилена абсолютной, год</v>
      </c>
      <c r="D443" s="49"/>
      <c r="F443" s="49"/>
      <c r="H443" s="49"/>
    </row>
    <row r="444" spans="1:8" ht="15.75" customHeight="1" x14ac:dyDescent="0.25">
      <c r="A444" s="13" t="str">
        <f ca="1">IFERROR(__xludf.DUMMYFUNCTION("""COMPUTED_VALUE"""),"c_c2h2_roc_abs_year_lim0_manual")</f>
        <v>c_c2h2_roc_abs_year_lim0_manual</v>
      </c>
      <c r="B444" s="13" t="str">
        <f ca="1">IFERROR(__xludf.DUMMYFUNCTION("""COMPUTED_VALUE"""),"ДЗ скорости роста концентрации ацетилена абсолютной, год, ручное")</f>
        <v>ДЗ скорости роста концентрации ацетилена абсолютной, год, ручное</v>
      </c>
      <c r="D444" s="49"/>
      <c r="F444" s="49"/>
      <c r="H444" s="49"/>
    </row>
    <row r="445" spans="1:8" ht="15.75" customHeight="1" x14ac:dyDescent="0.25">
      <c r="A445" s="13" t="str">
        <f ca="1">IFERROR(__xludf.DUMMYFUNCTION("""COMPUTED_VALUE"""),"c_c2h2_roc_abs_year_lim1")</f>
        <v>c_c2h2_roc_abs_year_lim1</v>
      </c>
      <c r="B445" s="13" t="str">
        <f ca="1">IFERROR(__xludf.DUMMYFUNCTION("""COMPUTED_VALUE"""),"ПДЗ скорости роста концентрации ацетилена абсолютной, год")</f>
        <v>ПДЗ скорости роста концентрации ацетилена абсолютной, год</v>
      </c>
      <c r="D445" s="49"/>
      <c r="F445" s="49"/>
      <c r="H445" s="49"/>
    </row>
    <row r="446" spans="1:8" ht="15.75" customHeight="1" x14ac:dyDescent="0.25">
      <c r="A446" s="13" t="str">
        <f ca="1">IFERROR(__xludf.DUMMYFUNCTION("""COMPUTED_VALUE"""),"c_c2h2_roc_abs_year_lim1_manual")</f>
        <v>c_c2h2_roc_abs_year_lim1_manual</v>
      </c>
      <c r="B446" s="13" t="str">
        <f ca="1">IFERROR(__xludf.DUMMYFUNCTION("""COMPUTED_VALUE"""),"ПДЗ скорости роста концентрации ацетилена абсолютной, год, ручное")</f>
        <v>ПДЗ скорости роста концентрации ацетилена абсолютной, год, ручное</v>
      </c>
      <c r="D446" s="49"/>
      <c r="F446" s="49"/>
      <c r="H446" s="49"/>
    </row>
    <row r="447" spans="1:8" ht="15.75" customHeight="1" x14ac:dyDescent="0.25">
      <c r="A447" s="13" t="str">
        <f ca="1">IFERROR(__xludf.DUMMYFUNCTION("""COMPUTED_VALUE"""),"c_c2h2_roc_rel_day")</f>
        <v>c_c2h2_roc_rel_day</v>
      </c>
      <c r="B447" s="13" t="str">
        <f ca="1">IFERROR(__xludf.DUMMYFUNCTION("""COMPUTED_VALUE"""),"Скорость роста концентрации ацетилена относительная, сутки")</f>
        <v>Скорость роста концентрации ацетилена относительная, сутки</v>
      </c>
      <c r="D447" s="49"/>
      <c r="F447" s="49"/>
      <c r="H447" s="49"/>
    </row>
    <row r="448" spans="1:8" ht="15.75" customHeight="1" x14ac:dyDescent="0.25">
      <c r="A448" s="13" t="str">
        <f ca="1">IFERROR(__xludf.DUMMYFUNCTION("""COMPUTED_VALUE"""),"c_c2h2_roc_rel_day_lim0")</f>
        <v>c_c2h2_roc_rel_day_lim0</v>
      </c>
      <c r="B448" s="13" t="str">
        <f ca="1">IFERROR(__xludf.DUMMYFUNCTION("""COMPUTED_VALUE"""),"ДЗ скорости роста концентрации ацетилена относительной, сутки")</f>
        <v>ДЗ скорости роста концентрации ацетилена относительной, сутки</v>
      </c>
      <c r="D448" s="49"/>
      <c r="F448" s="49"/>
      <c r="H448" s="49"/>
    </row>
    <row r="449" spans="1:8" ht="15.75" customHeight="1" x14ac:dyDescent="0.25">
      <c r="A449" s="13" t="str">
        <f ca="1">IFERROR(__xludf.DUMMYFUNCTION("""COMPUTED_VALUE"""),"c_c2h2_roc_rel_day_lim0_manual")</f>
        <v>c_c2h2_roc_rel_day_lim0_manual</v>
      </c>
      <c r="B449" s="13" t="str">
        <f ca="1">IFERROR(__xludf.DUMMYFUNCTION("""COMPUTED_VALUE"""),"ДЗ скорости роста концентрации ацетилена относительной, сутки, ручное")</f>
        <v>ДЗ скорости роста концентрации ацетилена относительной, сутки, ручное</v>
      </c>
      <c r="D449" s="49"/>
      <c r="F449" s="49"/>
      <c r="H449" s="49"/>
    </row>
    <row r="450" spans="1:8" ht="15.75" customHeight="1" x14ac:dyDescent="0.25">
      <c r="A450" s="13" t="str">
        <f ca="1">IFERROR(__xludf.DUMMYFUNCTION("""COMPUTED_VALUE"""),"c_c2h2_roc_rel_day_lim1")</f>
        <v>c_c2h2_roc_rel_day_lim1</v>
      </c>
      <c r="B450" s="13" t="str">
        <f ca="1">IFERROR(__xludf.DUMMYFUNCTION("""COMPUTED_VALUE"""),"ПДЗ скорости роста концентрации ацетилена относительной, сутки")</f>
        <v>ПДЗ скорости роста концентрации ацетилена относительной, сутки</v>
      </c>
      <c r="D450" s="49"/>
      <c r="F450" s="49"/>
      <c r="H450" s="49"/>
    </row>
    <row r="451" spans="1:8" ht="15.75" customHeight="1" x14ac:dyDescent="0.25">
      <c r="A451" s="13" t="str">
        <f ca="1">IFERROR(__xludf.DUMMYFUNCTION("""COMPUTED_VALUE"""),"c_c2h2_roc_rel_day_lim1_manual")</f>
        <v>c_c2h2_roc_rel_day_lim1_manual</v>
      </c>
      <c r="B451" s="13" t="str">
        <f ca="1">IFERROR(__xludf.DUMMYFUNCTION("""COMPUTED_VALUE"""),"ПДЗ скорости роста концентрации ацетилена относительной, сутки, ручное")</f>
        <v>ПДЗ скорости роста концентрации ацетилена относительной, сутки, ручное</v>
      </c>
      <c r="D451" s="49"/>
      <c r="F451" s="49"/>
      <c r="H451" s="49"/>
    </row>
    <row r="452" spans="1:8" ht="15.75" customHeight="1" x14ac:dyDescent="0.25">
      <c r="A452" s="13" t="str">
        <f ca="1">IFERROR(__xludf.DUMMYFUNCTION("""COMPUTED_VALUE"""),"c_c2h2_roc_rel_month")</f>
        <v>c_c2h2_roc_rel_month</v>
      </c>
      <c r="B452" s="13" t="str">
        <f ca="1">IFERROR(__xludf.DUMMYFUNCTION("""COMPUTED_VALUE"""),"Скорость роста концентрации ацетилена относительная, месяц")</f>
        <v>Скорость роста концентрации ацетилена относительная, месяц</v>
      </c>
      <c r="D452" s="49"/>
      <c r="F452" s="49"/>
      <c r="H452" s="49"/>
    </row>
    <row r="453" spans="1:8" ht="15.75" customHeight="1" x14ac:dyDescent="0.25">
      <c r="A453" s="13" t="str">
        <f ca="1">IFERROR(__xludf.DUMMYFUNCTION("""COMPUTED_VALUE"""),"c_c2h2_roc_rel_month_lim0")</f>
        <v>c_c2h2_roc_rel_month_lim0</v>
      </c>
      <c r="B453" s="13" t="str">
        <f ca="1">IFERROR(__xludf.DUMMYFUNCTION("""COMPUTED_VALUE"""),"ДЗ скорости роста концентрации ацетилена относительной, месяц")</f>
        <v>ДЗ скорости роста концентрации ацетилена относительной, месяц</v>
      </c>
      <c r="D453" s="49"/>
      <c r="F453" s="49"/>
      <c r="H453" s="49"/>
    </row>
    <row r="454" spans="1:8" ht="15.75" customHeight="1" x14ac:dyDescent="0.25">
      <c r="A454" s="13" t="str">
        <f ca="1">IFERROR(__xludf.DUMMYFUNCTION("""COMPUTED_VALUE"""),"c_c2h2_roc_rel_month_lim0_manual")</f>
        <v>c_c2h2_roc_rel_month_lim0_manual</v>
      </c>
      <c r="B454" s="13" t="str">
        <f ca="1">IFERROR(__xludf.DUMMYFUNCTION("""COMPUTED_VALUE"""),"ДЗ скорости роста концентрации ацетилена относительной, месяц, ручное")</f>
        <v>ДЗ скорости роста концентрации ацетилена относительной, месяц, ручное</v>
      </c>
      <c r="D454" s="49"/>
      <c r="F454" s="49"/>
      <c r="H454" s="49"/>
    </row>
    <row r="455" spans="1:8" ht="15.75" customHeight="1" x14ac:dyDescent="0.25">
      <c r="A455" s="13" t="str">
        <f ca="1">IFERROR(__xludf.DUMMYFUNCTION("""COMPUTED_VALUE"""),"c_c2h2_roc_rel_month_lim1")</f>
        <v>c_c2h2_roc_rel_month_lim1</v>
      </c>
      <c r="B455" s="13" t="str">
        <f ca="1">IFERROR(__xludf.DUMMYFUNCTION("""COMPUTED_VALUE"""),"ПДЗ скорости роста концентрации ацетилена относительной, месяц")</f>
        <v>ПДЗ скорости роста концентрации ацетилена относительной, месяц</v>
      </c>
      <c r="D455" s="49"/>
      <c r="F455" s="49"/>
      <c r="H455" s="49"/>
    </row>
    <row r="456" spans="1:8" ht="15.75" customHeight="1" x14ac:dyDescent="0.25">
      <c r="A456" s="13" t="str">
        <f ca="1">IFERROR(__xludf.DUMMYFUNCTION("""COMPUTED_VALUE"""),"c_c2h2_roc_rel_month_lim1_manual")</f>
        <v>c_c2h2_roc_rel_month_lim1_manual</v>
      </c>
      <c r="B456" s="13" t="str">
        <f ca="1">IFERROR(__xludf.DUMMYFUNCTION("""COMPUTED_VALUE"""),"ПДЗ скорости роста концентрации ацетилена относительной, месяц, ручное")</f>
        <v>ПДЗ скорости роста концентрации ацетилена относительной, месяц, ручное</v>
      </c>
      <c r="D456" s="49"/>
      <c r="F456" s="49"/>
      <c r="H456" s="49"/>
    </row>
    <row r="457" spans="1:8" ht="15.75" customHeight="1" x14ac:dyDescent="0.25">
      <c r="A457" s="13" t="str">
        <f ca="1">IFERROR(__xludf.DUMMYFUNCTION("""COMPUTED_VALUE"""),"c_c2h2_roc_rel_week")</f>
        <v>c_c2h2_roc_rel_week</v>
      </c>
      <c r="B457" s="13" t="str">
        <f ca="1">IFERROR(__xludf.DUMMYFUNCTION("""COMPUTED_VALUE"""),"Скорость роста концентрации ацетилена относительная, неделя")</f>
        <v>Скорость роста концентрации ацетилена относительная, неделя</v>
      </c>
      <c r="D457" s="49"/>
      <c r="F457" s="49"/>
      <c r="H457" s="49"/>
    </row>
    <row r="458" spans="1:8" ht="15.75" customHeight="1" x14ac:dyDescent="0.25">
      <c r="A458" s="13" t="str">
        <f ca="1">IFERROR(__xludf.DUMMYFUNCTION("""COMPUTED_VALUE"""),"c_c2h2_roc_rel_week_lim0")</f>
        <v>c_c2h2_roc_rel_week_lim0</v>
      </c>
      <c r="B458" s="13" t="str">
        <f ca="1">IFERROR(__xludf.DUMMYFUNCTION("""COMPUTED_VALUE"""),"ДЗ скорости роста концентрации ацетилена относительной, неделя")</f>
        <v>ДЗ скорости роста концентрации ацетилена относительной, неделя</v>
      </c>
      <c r="D458" s="49"/>
      <c r="F458" s="49"/>
      <c r="H458" s="49"/>
    </row>
    <row r="459" spans="1:8" ht="15.75" customHeight="1" x14ac:dyDescent="0.25">
      <c r="A459" s="13" t="str">
        <f ca="1">IFERROR(__xludf.DUMMYFUNCTION("""COMPUTED_VALUE"""),"c_c2h2_roc_rel_week_lim0_manual")</f>
        <v>c_c2h2_roc_rel_week_lim0_manual</v>
      </c>
      <c r="B459" s="13" t="str">
        <f ca="1">IFERROR(__xludf.DUMMYFUNCTION("""COMPUTED_VALUE"""),"ДЗ скорости роста концентрации ацетилена относительной, неделя, ручное")</f>
        <v>ДЗ скорости роста концентрации ацетилена относительной, неделя, ручное</v>
      </c>
      <c r="D459" s="49"/>
      <c r="F459" s="49"/>
      <c r="H459" s="49"/>
    </row>
    <row r="460" spans="1:8" ht="15.75" customHeight="1" x14ac:dyDescent="0.25">
      <c r="A460" s="13" t="str">
        <f ca="1">IFERROR(__xludf.DUMMYFUNCTION("""COMPUTED_VALUE"""),"c_c2h2_roc_rel_week_lim1")</f>
        <v>c_c2h2_roc_rel_week_lim1</v>
      </c>
      <c r="B460" s="13" t="str">
        <f ca="1">IFERROR(__xludf.DUMMYFUNCTION("""COMPUTED_VALUE"""),"ПДЗ скорости роста концентрации ацетилена относительной, неделя")</f>
        <v>ПДЗ скорости роста концентрации ацетилена относительной, неделя</v>
      </c>
      <c r="D460" s="49"/>
      <c r="F460" s="49"/>
      <c r="H460" s="49"/>
    </row>
    <row r="461" spans="1:8" ht="15.75" customHeight="1" x14ac:dyDescent="0.25">
      <c r="A461" s="13" t="str">
        <f ca="1">IFERROR(__xludf.DUMMYFUNCTION("""COMPUTED_VALUE"""),"c_c2h2_roc_rel_week_lim1_manual")</f>
        <v>c_c2h2_roc_rel_week_lim1_manual</v>
      </c>
      <c r="B461" s="13" t="str">
        <f ca="1">IFERROR(__xludf.DUMMYFUNCTION("""COMPUTED_VALUE"""),"ПДЗ скорости роста концентрации ацетилена относительной, неделя, ручное")</f>
        <v>ПДЗ скорости роста концентрации ацетилена относительной, неделя, ручное</v>
      </c>
      <c r="D461" s="49"/>
      <c r="F461" s="49"/>
      <c r="H461" s="49"/>
    </row>
    <row r="462" spans="1:8" ht="15.75" customHeight="1" x14ac:dyDescent="0.25">
      <c r="A462" s="13" t="str">
        <f ca="1">IFERROR(__xludf.DUMMYFUNCTION("""COMPUTED_VALUE"""),"c_c2h2_roc_rel_year")</f>
        <v>c_c2h2_roc_rel_year</v>
      </c>
      <c r="B462" s="13" t="str">
        <f ca="1">IFERROR(__xludf.DUMMYFUNCTION("""COMPUTED_VALUE"""),"Скорость роста концентрации ацетилена относительная, год")</f>
        <v>Скорость роста концентрации ацетилена относительная, год</v>
      </c>
      <c r="D462" s="49"/>
      <c r="F462" s="49"/>
      <c r="H462" s="49"/>
    </row>
    <row r="463" spans="1:8" ht="15.75" customHeight="1" x14ac:dyDescent="0.25">
      <c r="A463" s="13" t="str">
        <f ca="1">IFERROR(__xludf.DUMMYFUNCTION("""COMPUTED_VALUE"""),"c_c2h2_roc_rel_year_lim0")</f>
        <v>c_c2h2_roc_rel_year_lim0</v>
      </c>
      <c r="B463" s="13" t="str">
        <f ca="1">IFERROR(__xludf.DUMMYFUNCTION("""COMPUTED_VALUE"""),"ДЗ скорости роста концентрации ацетилена относительной, год")</f>
        <v>ДЗ скорости роста концентрации ацетилена относительной, год</v>
      </c>
      <c r="D463" s="49"/>
      <c r="F463" s="49"/>
      <c r="H463" s="49"/>
    </row>
    <row r="464" spans="1:8" ht="15.75" customHeight="1" x14ac:dyDescent="0.25">
      <c r="A464" s="13" t="str">
        <f ca="1">IFERROR(__xludf.DUMMYFUNCTION("""COMPUTED_VALUE"""),"c_c2h2_roc_rel_year_lim0_manual")</f>
        <v>c_c2h2_roc_rel_year_lim0_manual</v>
      </c>
      <c r="B464" s="13" t="str">
        <f ca="1">IFERROR(__xludf.DUMMYFUNCTION("""COMPUTED_VALUE"""),"ДЗ скорости роста концентрации ацетилена относительной, год, ручное")</f>
        <v>ДЗ скорости роста концентрации ацетилена относительной, год, ручное</v>
      </c>
      <c r="D464" s="49"/>
      <c r="F464" s="49"/>
      <c r="H464" s="49"/>
    </row>
    <row r="465" spans="1:8" ht="15.75" customHeight="1" x14ac:dyDescent="0.25">
      <c r="A465" s="13" t="str">
        <f ca="1">IFERROR(__xludf.DUMMYFUNCTION("""COMPUTED_VALUE"""),"c_c2h2_roc_rel_year_lim1")</f>
        <v>c_c2h2_roc_rel_year_lim1</v>
      </c>
      <c r="B465" s="13" t="str">
        <f ca="1">IFERROR(__xludf.DUMMYFUNCTION("""COMPUTED_VALUE"""),"ПДЗ скорости роста концентрации ацетилена относительной, год")</f>
        <v>ПДЗ скорости роста концентрации ацетилена относительной, год</v>
      </c>
      <c r="D465" s="49"/>
      <c r="F465" s="49"/>
      <c r="H465" s="49"/>
    </row>
    <row r="466" spans="1:8" ht="15.75" customHeight="1" x14ac:dyDescent="0.25">
      <c r="A466" s="13" t="str">
        <f ca="1">IFERROR(__xludf.DUMMYFUNCTION("""COMPUTED_VALUE"""),"c_c2h2_roc_rel_year_lim1_manual")</f>
        <v>c_c2h2_roc_rel_year_lim1_manual</v>
      </c>
      <c r="B466" s="13" t="str">
        <f ca="1">IFERROR(__xludf.DUMMYFUNCTION("""COMPUTED_VALUE"""),"ПДЗ скорости роста концентрации ацетилена относительной, год, ручное")</f>
        <v>ПДЗ скорости роста концентрации ацетилена относительной, год, ручное</v>
      </c>
      <c r="D466" s="49"/>
      <c r="F466" s="49"/>
      <c r="H466" s="49"/>
    </row>
    <row r="467" spans="1:8" ht="15.75" customHeight="1" x14ac:dyDescent="0.25">
      <c r="A467" s="13" t="str">
        <f ca="1">IFERROR(__xludf.DUMMYFUNCTION("""COMPUTED_VALUE"""),"c_c2h4")</f>
        <v>c_c2h4</v>
      </c>
      <c r="B467" s="13" t="str">
        <f ca="1">IFERROR(__xludf.DUMMYFUNCTION("""COMPUTED_VALUE"""),"Концентрация этилена")</f>
        <v>Концентрация этилена</v>
      </c>
      <c r="D467" s="49"/>
      <c r="F467" s="49"/>
      <c r="H467" s="49"/>
    </row>
    <row r="468" spans="1:8" ht="15.75" customHeight="1" x14ac:dyDescent="0.25">
      <c r="A468" s="13" t="str">
        <f ca="1">IFERROR(__xludf.DUMMYFUNCTION("""COMPUTED_VALUE"""),"c_c2h4_avg")</f>
        <v>c_c2h4_avg</v>
      </c>
      <c r="B468" s="13" t="str">
        <f ca="1">IFERROR(__xludf.DUMMYFUNCTION("""COMPUTED_VALUE"""),"Среднее часовое значение концентрации этилена")</f>
        <v>Среднее часовое значение концентрации этилена</v>
      </c>
      <c r="D468" s="49"/>
      <c r="F468" s="49"/>
      <c r="H468" s="49"/>
    </row>
    <row r="469" spans="1:8" ht="15.75" customHeight="1" x14ac:dyDescent="0.25">
      <c r="A469" s="13" t="str">
        <f ca="1">IFERROR(__xludf.DUMMYFUNCTION("""COMPUTED_VALUE"""),"c_c2h4_forecast")</f>
        <v>c_c2h4_forecast</v>
      </c>
      <c r="B469" s="13" t="str">
        <f ca="1">IFERROR(__xludf.DUMMYFUNCTION("""COMPUTED_VALUE"""),"Прогноз развития концентрации: этилен")</f>
        <v>Прогноз развития концентрации: этилен</v>
      </c>
      <c r="D469" s="49"/>
      <c r="F469" s="49"/>
      <c r="H469" s="49"/>
    </row>
    <row r="470" spans="1:8" ht="15.75" customHeight="1" x14ac:dyDescent="0.25">
      <c r="A470" s="13" t="str">
        <f ca="1">IFERROR(__xludf.DUMMYFUNCTION("""COMPUTED_VALUE"""),"c_c2h4_lim0")</f>
        <v>c_c2h4_lim0</v>
      </c>
      <c r="B470" s="13" t="str">
        <f ca="1">IFERROR(__xludf.DUMMYFUNCTION("""COMPUTED_VALUE"""),"ДЗ концентрации этилена")</f>
        <v>ДЗ концентрации этилена</v>
      </c>
      <c r="D470" s="49"/>
      <c r="F470" s="49"/>
      <c r="H470" s="49"/>
    </row>
    <row r="471" spans="1:8" ht="15.75" customHeight="1" x14ac:dyDescent="0.25">
      <c r="A471" s="13" t="str">
        <f ca="1">IFERROR(__xludf.DUMMYFUNCTION("""COMPUTED_VALUE"""),"c_c2h4_lim0_manual")</f>
        <v>c_c2h4_lim0_manual</v>
      </c>
      <c r="B471" s="13" t="str">
        <f ca="1">IFERROR(__xludf.DUMMYFUNCTION("""COMPUTED_VALUE"""),"ДЗ концентрации этилена ручное")</f>
        <v>ДЗ концентрации этилена ручное</v>
      </c>
      <c r="D471" s="49"/>
      <c r="F471" s="49"/>
      <c r="H471" s="49"/>
    </row>
    <row r="472" spans="1:8" ht="15.75" customHeight="1" x14ac:dyDescent="0.25">
      <c r="A472" s="13" t="str">
        <f ca="1">IFERROR(__xludf.DUMMYFUNCTION("""COMPUTED_VALUE"""),"c_c2h4_lim1")</f>
        <v>c_c2h4_lim1</v>
      </c>
      <c r="B472" s="13" t="str">
        <f ca="1">IFERROR(__xludf.DUMMYFUNCTION("""COMPUTED_VALUE"""),"ПДЗ концентрации этилена")</f>
        <v>ПДЗ концентрации этилена</v>
      </c>
      <c r="D472" s="49"/>
      <c r="F472" s="49"/>
      <c r="H472" s="49"/>
    </row>
    <row r="473" spans="1:8" ht="15.75" customHeight="1" x14ac:dyDescent="0.25">
      <c r="A473" s="13" t="str">
        <f ca="1">IFERROR(__xludf.DUMMYFUNCTION("""COMPUTED_VALUE"""),"c_c2h4_lim1_manual")</f>
        <v>c_c2h4_lim1_manual</v>
      </c>
      <c r="B473" s="13" t="str">
        <f ca="1">IFERROR(__xludf.DUMMYFUNCTION("""COMPUTED_VALUE"""),"ПДЗ концентрации этилена ручное")</f>
        <v>ПДЗ концентрации этилена ручное</v>
      </c>
      <c r="D473" s="49"/>
      <c r="F473" s="49"/>
      <c r="H473" s="49"/>
    </row>
    <row r="474" spans="1:8" ht="15.75" customHeight="1" x14ac:dyDescent="0.25">
      <c r="A474" s="13" t="str">
        <f ca="1">IFERROR(__xludf.DUMMYFUNCTION("""COMPUTED_VALUE"""),"c_c2h4_oe_lim0")</f>
        <v>c_c2h4_oe_lim0</v>
      </c>
      <c r="B474" s="13" t="str">
        <f ca="1">IFERROR(__xludf.DUMMYFUNCTION("""COMPUTED_VALUE"""),"Концентрация этилена относительно ДЗ")</f>
        <v>Концентрация этилена относительно ДЗ</v>
      </c>
      <c r="D474" s="49"/>
      <c r="F474" s="49"/>
      <c r="H474" s="49"/>
    </row>
    <row r="475" spans="1:8" ht="15.75" customHeight="1" x14ac:dyDescent="0.25">
      <c r="A475" s="13" t="str">
        <f ca="1">IFERROR(__xludf.DUMMYFUNCTION("""COMPUTED_VALUE"""),"c_c2h4_oe_lim1")</f>
        <v>c_c2h4_oe_lim1</v>
      </c>
      <c r="B475" s="13" t="str">
        <f ca="1">IFERROR(__xludf.DUMMYFUNCTION("""COMPUTED_VALUE"""),"Концентрация этилена относительно ПДЗ")</f>
        <v>Концентрация этилена относительно ПДЗ</v>
      </c>
      <c r="D475" s="49"/>
      <c r="F475" s="49"/>
      <c r="H475" s="49"/>
    </row>
    <row r="476" spans="1:8" ht="15.75" customHeight="1" x14ac:dyDescent="0.25">
      <c r="A476" s="13" t="str">
        <f ca="1">IFERROR(__xludf.DUMMYFUNCTION("""COMPUTED_VALUE"""),"c_c2h4_offline")</f>
        <v>c_c2h4_offline</v>
      </c>
      <c r="B476" s="13" t="str">
        <f ca="1">IFERROR(__xludf.DUMMYFUNCTION("""COMPUTED_VALUE"""),"Концентрация этилена (офлайн)")</f>
        <v>Концентрация этилена (офлайн)</v>
      </c>
      <c r="D476" s="49"/>
      <c r="F476" s="49"/>
      <c r="H476" s="49"/>
    </row>
    <row r="477" spans="1:8" ht="15.75" customHeight="1" x14ac:dyDescent="0.25">
      <c r="A477" s="13" t="str">
        <f ca="1">IFERROR(__xludf.DUMMYFUNCTION("""COMPUTED_VALUE"""),"c_c2h4_roc_abs_day")</f>
        <v>c_c2h4_roc_abs_day</v>
      </c>
      <c r="B477" s="13" t="str">
        <f ca="1">IFERROR(__xludf.DUMMYFUNCTION("""COMPUTED_VALUE"""),"Скорость роста концентрации этилена абсолютная, сутки")</f>
        <v>Скорость роста концентрации этилена абсолютная, сутки</v>
      </c>
      <c r="D477" s="49"/>
      <c r="F477" s="49"/>
      <c r="H477" s="49"/>
    </row>
    <row r="478" spans="1:8" ht="15.75" customHeight="1" x14ac:dyDescent="0.25">
      <c r="A478" s="13" t="str">
        <f ca="1">IFERROR(__xludf.DUMMYFUNCTION("""COMPUTED_VALUE"""),"c_c2h4_roc_abs_day_lim0")</f>
        <v>c_c2h4_roc_abs_day_lim0</v>
      </c>
      <c r="B478" s="13" t="str">
        <f ca="1">IFERROR(__xludf.DUMMYFUNCTION("""COMPUTED_VALUE"""),"ДЗ скорости роста концентрации этилена абсолютной, сутки")</f>
        <v>ДЗ скорости роста концентрации этилена абсолютной, сутки</v>
      </c>
      <c r="D478" s="49"/>
      <c r="F478" s="49"/>
      <c r="H478" s="49"/>
    </row>
    <row r="479" spans="1:8" ht="15.75" customHeight="1" x14ac:dyDescent="0.25">
      <c r="A479" s="13" t="str">
        <f ca="1">IFERROR(__xludf.DUMMYFUNCTION("""COMPUTED_VALUE"""),"c_c2h4_roc_abs_day_lim0_manual")</f>
        <v>c_c2h4_roc_abs_day_lim0_manual</v>
      </c>
      <c r="B479" s="13" t="str">
        <f ca="1">IFERROR(__xludf.DUMMYFUNCTION("""COMPUTED_VALUE"""),"ДЗ скорости роста концентрации этилена абсолютной, сутки, ручное")</f>
        <v>ДЗ скорости роста концентрации этилена абсолютной, сутки, ручное</v>
      </c>
      <c r="D479" s="49"/>
      <c r="F479" s="49"/>
      <c r="H479" s="49"/>
    </row>
    <row r="480" spans="1:8" ht="15.75" customHeight="1" x14ac:dyDescent="0.25">
      <c r="A480" s="13" t="str">
        <f ca="1">IFERROR(__xludf.DUMMYFUNCTION("""COMPUTED_VALUE"""),"c_c2h4_roc_abs_day_lim1")</f>
        <v>c_c2h4_roc_abs_day_lim1</v>
      </c>
      <c r="B480" s="13" t="str">
        <f ca="1">IFERROR(__xludf.DUMMYFUNCTION("""COMPUTED_VALUE"""),"ПДЗ скорости роста концентрации этилена абсолютной, сутки")</f>
        <v>ПДЗ скорости роста концентрации этилена абсолютной, сутки</v>
      </c>
      <c r="D480" s="49"/>
      <c r="F480" s="49"/>
      <c r="H480" s="49"/>
    </row>
    <row r="481" spans="1:8" ht="15.75" customHeight="1" x14ac:dyDescent="0.25">
      <c r="A481" s="13" t="str">
        <f ca="1">IFERROR(__xludf.DUMMYFUNCTION("""COMPUTED_VALUE"""),"c_c2h4_roc_abs_day_lim1_manual")</f>
        <v>c_c2h4_roc_abs_day_lim1_manual</v>
      </c>
      <c r="B481" s="13" t="str">
        <f ca="1">IFERROR(__xludf.DUMMYFUNCTION("""COMPUTED_VALUE"""),"ПДЗ скорости роста концентрации этилена абсолютной, сутки, ручное")</f>
        <v>ПДЗ скорости роста концентрации этилена абсолютной, сутки, ручное</v>
      </c>
      <c r="D481" s="49"/>
      <c r="F481" s="49"/>
      <c r="H481" s="49"/>
    </row>
    <row r="482" spans="1:8" ht="15.75" customHeight="1" x14ac:dyDescent="0.25">
      <c r="A482" s="13" t="str">
        <f ca="1">IFERROR(__xludf.DUMMYFUNCTION("""COMPUTED_VALUE"""),"c_c2h4_roc_abs_month")</f>
        <v>c_c2h4_roc_abs_month</v>
      </c>
      <c r="B482" s="13" t="str">
        <f ca="1">IFERROR(__xludf.DUMMYFUNCTION("""COMPUTED_VALUE"""),"Скорость роста концентрации этилена абсолютная, месяц")</f>
        <v>Скорость роста концентрации этилена абсолютная, месяц</v>
      </c>
      <c r="D482" s="49"/>
      <c r="F482" s="49"/>
      <c r="H482" s="49"/>
    </row>
    <row r="483" spans="1:8" ht="15.75" customHeight="1" x14ac:dyDescent="0.25">
      <c r="A483" s="13" t="str">
        <f ca="1">IFERROR(__xludf.DUMMYFUNCTION("""COMPUTED_VALUE"""),"c_c2h4_roc_abs_month_lim0")</f>
        <v>c_c2h4_roc_abs_month_lim0</v>
      </c>
      <c r="B483" s="13" t="str">
        <f ca="1">IFERROR(__xludf.DUMMYFUNCTION("""COMPUTED_VALUE"""),"ДЗ скорости роста концентрации этилена абсолютной, месяц")</f>
        <v>ДЗ скорости роста концентрации этилена абсолютной, месяц</v>
      </c>
      <c r="D483" s="49"/>
      <c r="F483" s="49"/>
      <c r="H483" s="49"/>
    </row>
    <row r="484" spans="1:8" ht="15.75" customHeight="1" x14ac:dyDescent="0.25">
      <c r="A484" s="13" t="str">
        <f ca="1">IFERROR(__xludf.DUMMYFUNCTION("""COMPUTED_VALUE"""),"c_c2h4_roc_abs_month_lim0_manual")</f>
        <v>c_c2h4_roc_abs_month_lim0_manual</v>
      </c>
      <c r="B484" s="13" t="str">
        <f ca="1">IFERROR(__xludf.DUMMYFUNCTION("""COMPUTED_VALUE"""),"ДЗ скорости роста концентрации этилена абсолютной, месяц, ручное")</f>
        <v>ДЗ скорости роста концентрации этилена абсолютной, месяц, ручное</v>
      </c>
      <c r="D484" s="49"/>
      <c r="F484" s="49"/>
      <c r="H484" s="49"/>
    </row>
    <row r="485" spans="1:8" ht="15.75" customHeight="1" x14ac:dyDescent="0.25">
      <c r="A485" s="13" t="str">
        <f ca="1">IFERROR(__xludf.DUMMYFUNCTION("""COMPUTED_VALUE"""),"c_c2h4_roc_abs_month_lim1")</f>
        <v>c_c2h4_roc_abs_month_lim1</v>
      </c>
      <c r="B485" s="13" t="str">
        <f ca="1">IFERROR(__xludf.DUMMYFUNCTION("""COMPUTED_VALUE"""),"ПДЗ скорости роста концентрации этилена абсолютной, месяц")</f>
        <v>ПДЗ скорости роста концентрации этилена абсолютной, месяц</v>
      </c>
      <c r="D485" s="49"/>
      <c r="F485" s="49"/>
      <c r="H485" s="49"/>
    </row>
    <row r="486" spans="1:8" ht="15.75" customHeight="1" x14ac:dyDescent="0.25">
      <c r="A486" s="13" t="str">
        <f ca="1">IFERROR(__xludf.DUMMYFUNCTION("""COMPUTED_VALUE"""),"c_c2h4_roc_abs_month_lim1_manual")</f>
        <v>c_c2h4_roc_abs_month_lim1_manual</v>
      </c>
      <c r="B486" s="13" t="str">
        <f ca="1">IFERROR(__xludf.DUMMYFUNCTION("""COMPUTED_VALUE"""),"ПДЗ скорости роста концентрации этилена абсолютной, месяц, ручное")</f>
        <v>ПДЗ скорости роста концентрации этилена абсолютной, месяц, ручное</v>
      </c>
      <c r="D486" s="49"/>
      <c r="F486" s="49"/>
      <c r="H486" s="49"/>
    </row>
    <row r="487" spans="1:8" ht="15.75" customHeight="1" x14ac:dyDescent="0.25">
      <c r="A487" s="13" t="str">
        <f ca="1">IFERROR(__xludf.DUMMYFUNCTION("""COMPUTED_VALUE"""),"c_c2h4_roc_abs_week")</f>
        <v>c_c2h4_roc_abs_week</v>
      </c>
      <c r="B487" s="13" t="str">
        <f ca="1">IFERROR(__xludf.DUMMYFUNCTION("""COMPUTED_VALUE"""),"Скорость роста концентрации этилена абсолютная, неделя")</f>
        <v>Скорость роста концентрации этилена абсолютная, неделя</v>
      </c>
      <c r="D487" s="49"/>
      <c r="F487" s="49"/>
      <c r="H487" s="49"/>
    </row>
    <row r="488" spans="1:8" ht="15.75" customHeight="1" x14ac:dyDescent="0.25">
      <c r="A488" s="13" t="str">
        <f ca="1">IFERROR(__xludf.DUMMYFUNCTION("""COMPUTED_VALUE"""),"c_c2h4_roc_abs_week_lim0")</f>
        <v>c_c2h4_roc_abs_week_lim0</v>
      </c>
      <c r="B488" s="13" t="str">
        <f ca="1">IFERROR(__xludf.DUMMYFUNCTION("""COMPUTED_VALUE"""),"ДЗ скорости роста концентрации этилена абсолютной, неделя")</f>
        <v>ДЗ скорости роста концентрации этилена абсолютной, неделя</v>
      </c>
      <c r="D488" s="49"/>
      <c r="F488" s="49"/>
      <c r="H488" s="49"/>
    </row>
    <row r="489" spans="1:8" ht="15.75" customHeight="1" x14ac:dyDescent="0.25">
      <c r="A489" s="13" t="str">
        <f ca="1">IFERROR(__xludf.DUMMYFUNCTION("""COMPUTED_VALUE"""),"c_c2h4_roc_abs_week_lim0_manual")</f>
        <v>c_c2h4_roc_abs_week_lim0_manual</v>
      </c>
      <c r="B489" s="13" t="str">
        <f ca="1">IFERROR(__xludf.DUMMYFUNCTION("""COMPUTED_VALUE"""),"ДЗ скорости роста концентрации этилена абсолютной, неделя, ручное")</f>
        <v>ДЗ скорости роста концентрации этилена абсолютной, неделя, ручное</v>
      </c>
      <c r="D489" s="49"/>
      <c r="F489" s="49"/>
      <c r="H489" s="49"/>
    </row>
    <row r="490" spans="1:8" ht="15.75" customHeight="1" x14ac:dyDescent="0.25">
      <c r="A490" s="13" t="str">
        <f ca="1">IFERROR(__xludf.DUMMYFUNCTION("""COMPUTED_VALUE"""),"c_c2h4_roc_abs_week_lim1")</f>
        <v>c_c2h4_roc_abs_week_lim1</v>
      </c>
      <c r="B490" s="13" t="str">
        <f ca="1">IFERROR(__xludf.DUMMYFUNCTION("""COMPUTED_VALUE"""),"ПДЗ скорости роста концентрации этилена абсолютной, неделя")</f>
        <v>ПДЗ скорости роста концентрации этилена абсолютной, неделя</v>
      </c>
      <c r="D490" s="49"/>
      <c r="F490" s="49"/>
      <c r="H490" s="49"/>
    </row>
    <row r="491" spans="1:8" ht="15.75" customHeight="1" x14ac:dyDescent="0.25">
      <c r="A491" s="13" t="str">
        <f ca="1">IFERROR(__xludf.DUMMYFUNCTION("""COMPUTED_VALUE"""),"c_c2h4_roc_abs_week_lim1_manual")</f>
        <v>c_c2h4_roc_abs_week_lim1_manual</v>
      </c>
      <c r="B491" s="13" t="str">
        <f ca="1">IFERROR(__xludf.DUMMYFUNCTION("""COMPUTED_VALUE"""),"ПДЗ скорости роста концентрации этилена абсолютной, неделя, ручное")</f>
        <v>ПДЗ скорости роста концентрации этилена абсолютной, неделя, ручное</v>
      </c>
      <c r="D491" s="49"/>
      <c r="F491" s="49"/>
      <c r="H491" s="49"/>
    </row>
    <row r="492" spans="1:8" ht="15.75" customHeight="1" x14ac:dyDescent="0.25">
      <c r="A492" s="13" t="str">
        <f ca="1">IFERROR(__xludf.DUMMYFUNCTION("""COMPUTED_VALUE"""),"c_c2h4_roc_abs_year")</f>
        <v>c_c2h4_roc_abs_year</v>
      </c>
      <c r="B492" s="13" t="str">
        <f ca="1">IFERROR(__xludf.DUMMYFUNCTION("""COMPUTED_VALUE"""),"Скорость роста концентрации этилена абсолютная, год")</f>
        <v>Скорость роста концентрации этилена абсолютная, год</v>
      </c>
      <c r="D492" s="49"/>
      <c r="F492" s="49"/>
      <c r="H492" s="49"/>
    </row>
    <row r="493" spans="1:8" ht="15.75" customHeight="1" x14ac:dyDescent="0.25">
      <c r="A493" s="13" t="str">
        <f ca="1">IFERROR(__xludf.DUMMYFUNCTION("""COMPUTED_VALUE"""),"c_c2h4_roc_abs_year_lim0")</f>
        <v>c_c2h4_roc_abs_year_lim0</v>
      </c>
      <c r="B493" s="13" t="str">
        <f ca="1">IFERROR(__xludf.DUMMYFUNCTION("""COMPUTED_VALUE"""),"ДЗ скорости роста концентрации этилена абсолютной, год")</f>
        <v>ДЗ скорости роста концентрации этилена абсолютной, год</v>
      </c>
      <c r="D493" s="49"/>
      <c r="F493" s="49"/>
      <c r="H493" s="49"/>
    </row>
    <row r="494" spans="1:8" ht="15.75" customHeight="1" x14ac:dyDescent="0.25">
      <c r="A494" s="13" t="str">
        <f ca="1">IFERROR(__xludf.DUMMYFUNCTION("""COMPUTED_VALUE"""),"c_c2h4_roc_abs_year_lim0_manual")</f>
        <v>c_c2h4_roc_abs_year_lim0_manual</v>
      </c>
      <c r="B494" s="13" t="str">
        <f ca="1">IFERROR(__xludf.DUMMYFUNCTION("""COMPUTED_VALUE"""),"ДЗ скорости роста концентрации этилена абсолютной, год, ручное")</f>
        <v>ДЗ скорости роста концентрации этилена абсолютной, год, ручное</v>
      </c>
      <c r="D494" s="49"/>
      <c r="F494" s="49"/>
      <c r="H494" s="49"/>
    </row>
    <row r="495" spans="1:8" ht="15.75" customHeight="1" x14ac:dyDescent="0.25">
      <c r="A495" s="13" t="str">
        <f ca="1">IFERROR(__xludf.DUMMYFUNCTION("""COMPUTED_VALUE"""),"c_c2h4_roc_abs_year_lim1")</f>
        <v>c_c2h4_roc_abs_year_lim1</v>
      </c>
      <c r="B495" s="13" t="str">
        <f ca="1">IFERROR(__xludf.DUMMYFUNCTION("""COMPUTED_VALUE"""),"ПДЗ скорости роста концентрации этилена абсолютной, год")</f>
        <v>ПДЗ скорости роста концентрации этилена абсолютной, год</v>
      </c>
      <c r="D495" s="49"/>
      <c r="F495" s="49"/>
      <c r="H495" s="49"/>
    </row>
    <row r="496" spans="1:8" ht="15.75" customHeight="1" x14ac:dyDescent="0.25">
      <c r="A496" s="13" t="str">
        <f ca="1">IFERROR(__xludf.DUMMYFUNCTION("""COMPUTED_VALUE"""),"c_c2h4_roc_abs_year_lim1_manual")</f>
        <v>c_c2h4_roc_abs_year_lim1_manual</v>
      </c>
      <c r="B496" s="13" t="str">
        <f ca="1">IFERROR(__xludf.DUMMYFUNCTION("""COMPUTED_VALUE"""),"ПДЗ скорости роста концентрации этилена абсолютной, год, ручное")</f>
        <v>ПДЗ скорости роста концентрации этилена абсолютной, год, ручное</v>
      </c>
      <c r="D496" s="49"/>
      <c r="F496" s="49"/>
      <c r="H496" s="49"/>
    </row>
    <row r="497" spans="1:8" ht="15.75" customHeight="1" x14ac:dyDescent="0.25">
      <c r="A497" s="13" t="str">
        <f ca="1">IFERROR(__xludf.DUMMYFUNCTION("""COMPUTED_VALUE"""),"c_c2h4_roc_rel_day")</f>
        <v>c_c2h4_roc_rel_day</v>
      </c>
      <c r="B497" s="13" t="str">
        <f ca="1">IFERROR(__xludf.DUMMYFUNCTION("""COMPUTED_VALUE"""),"Скорость роста концентрации этилена относительная, сутки")</f>
        <v>Скорость роста концентрации этилена относительная, сутки</v>
      </c>
      <c r="D497" s="49"/>
      <c r="F497" s="49"/>
      <c r="H497" s="49"/>
    </row>
    <row r="498" spans="1:8" ht="15.75" customHeight="1" x14ac:dyDescent="0.25">
      <c r="A498" s="13" t="str">
        <f ca="1">IFERROR(__xludf.DUMMYFUNCTION("""COMPUTED_VALUE"""),"c_c2h4_roc_rel_day_lim0")</f>
        <v>c_c2h4_roc_rel_day_lim0</v>
      </c>
      <c r="B498" s="13" t="str">
        <f ca="1">IFERROR(__xludf.DUMMYFUNCTION("""COMPUTED_VALUE"""),"ДЗ скорости роста концентрации этилена относительной, сутки")</f>
        <v>ДЗ скорости роста концентрации этилена относительной, сутки</v>
      </c>
      <c r="D498" s="49"/>
      <c r="F498" s="49"/>
      <c r="H498" s="49"/>
    </row>
    <row r="499" spans="1:8" ht="15.75" customHeight="1" x14ac:dyDescent="0.25">
      <c r="A499" s="13" t="str">
        <f ca="1">IFERROR(__xludf.DUMMYFUNCTION("""COMPUTED_VALUE"""),"c_c2h4_roc_rel_day_lim0_manual")</f>
        <v>c_c2h4_roc_rel_day_lim0_manual</v>
      </c>
      <c r="B499" s="13" t="str">
        <f ca="1">IFERROR(__xludf.DUMMYFUNCTION("""COMPUTED_VALUE"""),"ДЗ скорости роста концентрации этилена относительной, сутки, ручное")</f>
        <v>ДЗ скорости роста концентрации этилена относительной, сутки, ручное</v>
      </c>
      <c r="D499" s="49"/>
      <c r="F499" s="49"/>
      <c r="H499" s="49"/>
    </row>
    <row r="500" spans="1:8" ht="15.75" customHeight="1" x14ac:dyDescent="0.25">
      <c r="A500" s="13" t="str">
        <f ca="1">IFERROR(__xludf.DUMMYFUNCTION("""COMPUTED_VALUE"""),"c_c2h4_roc_rel_day_lim1")</f>
        <v>c_c2h4_roc_rel_day_lim1</v>
      </c>
      <c r="B500" s="13" t="str">
        <f ca="1">IFERROR(__xludf.DUMMYFUNCTION("""COMPUTED_VALUE"""),"ПДЗ скорости роста концентрации этилена относительной, сутки")</f>
        <v>ПДЗ скорости роста концентрации этилена относительной, сутки</v>
      </c>
      <c r="D500" s="49"/>
      <c r="F500" s="49"/>
      <c r="H500" s="49"/>
    </row>
    <row r="501" spans="1:8" ht="15.75" customHeight="1" x14ac:dyDescent="0.25">
      <c r="A501" s="13" t="str">
        <f ca="1">IFERROR(__xludf.DUMMYFUNCTION("""COMPUTED_VALUE"""),"c_c2h4_roc_rel_day_lim1_manual")</f>
        <v>c_c2h4_roc_rel_day_lim1_manual</v>
      </c>
      <c r="B501" s="13" t="str">
        <f ca="1">IFERROR(__xludf.DUMMYFUNCTION("""COMPUTED_VALUE"""),"ПДЗ скорости роста концентрации этилена относительной, сутки, ручное")</f>
        <v>ПДЗ скорости роста концентрации этилена относительной, сутки, ручное</v>
      </c>
      <c r="D501" s="49"/>
      <c r="F501" s="49"/>
      <c r="H501" s="49"/>
    </row>
    <row r="502" spans="1:8" ht="15.75" customHeight="1" x14ac:dyDescent="0.25">
      <c r="A502" s="13" t="str">
        <f ca="1">IFERROR(__xludf.DUMMYFUNCTION("""COMPUTED_VALUE"""),"c_c2h4_roc_rel_month")</f>
        <v>c_c2h4_roc_rel_month</v>
      </c>
      <c r="B502" s="13" t="str">
        <f ca="1">IFERROR(__xludf.DUMMYFUNCTION("""COMPUTED_VALUE"""),"Скорость роста концентрации этилена относительная, месяц")</f>
        <v>Скорость роста концентрации этилена относительная, месяц</v>
      </c>
      <c r="D502" s="49"/>
      <c r="F502" s="49"/>
      <c r="H502" s="49"/>
    </row>
    <row r="503" spans="1:8" ht="15.75" customHeight="1" x14ac:dyDescent="0.25">
      <c r="A503" s="13" t="str">
        <f ca="1">IFERROR(__xludf.DUMMYFUNCTION("""COMPUTED_VALUE"""),"c_c2h4_roc_rel_month_lim0")</f>
        <v>c_c2h4_roc_rel_month_lim0</v>
      </c>
      <c r="B503" s="13" t="str">
        <f ca="1">IFERROR(__xludf.DUMMYFUNCTION("""COMPUTED_VALUE"""),"ДЗ скорости роста концентрации этилена относительной, месяц")</f>
        <v>ДЗ скорости роста концентрации этилена относительной, месяц</v>
      </c>
      <c r="D503" s="49"/>
      <c r="F503" s="49"/>
      <c r="H503" s="49"/>
    </row>
    <row r="504" spans="1:8" ht="15.75" customHeight="1" x14ac:dyDescent="0.25">
      <c r="A504" s="13" t="str">
        <f ca="1">IFERROR(__xludf.DUMMYFUNCTION("""COMPUTED_VALUE"""),"c_c2h4_roc_rel_month_lim0_manual")</f>
        <v>c_c2h4_roc_rel_month_lim0_manual</v>
      </c>
      <c r="B504" s="13" t="str">
        <f ca="1">IFERROR(__xludf.DUMMYFUNCTION("""COMPUTED_VALUE"""),"ДЗ скорости роста концентрации этилена относительной, месяц, ручное")</f>
        <v>ДЗ скорости роста концентрации этилена относительной, месяц, ручное</v>
      </c>
      <c r="D504" s="49"/>
      <c r="F504" s="49"/>
      <c r="H504" s="49"/>
    </row>
    <row r="505" spans="1:8" ht="15.75" customHeight="1" x14ac:dyDescent="0.25">
      <c r="A505" s="13" t="str">
        <f ca="1">IFERROR(__xludf.DUMMYFUNCTION("""COMPUTED_VALUE"""),"c_c2h4_roc_rel_month_lim1")</f>
        <v>c_c2h4_roc_rel_month_lim1</v>
      </c>
      <c r="B505" s="13" t="str">
        <f ca="1">IFERROR(__xludf.DUMMYFUNCTION("""COMPUTED_VALUE"""),"ПДЗ скорости роста концентрации этилена относительной, месяц")</f>
        <v>ПДЗ скорости роста концентрации этилена относительной, месяц</v>
      </c>
      <c r="D505" s="49"/>
      <c r="F505" s="49"/>
      <c r="H505" s="49"/>
    </row>
    <row r="506" spans="1:8" ht="15.75" customHeight="1" x14ac:dyDescent="0.25">
      <c r="A506" s="13" t="str">
        <f ca="1">IFERROR(__xludf.DUMMYFUNCTION("""COMPUTED_VALUE"""),"c_c2h4_roc_rel_month_lim1_manual")</f>
        <v>c_c2h4_roc_rel_month_lim1_manual</v>
      </c>
      <c r="B506" s="13" t="str">
        <f ca="1">IFERROR(__xludf.DUMMYFUNCTION("""COMPUTED_VALUE"""),"ПДЗ скорости роста концентрации этилена относительной, месяц, ручное")</f>
        <v>ПДЗ скорости роста концентрации этилена относительной, месяц, ручное</v>
      </c>
      <c r="D506" s="49"/>
      <c r="F506" s="49"/>
      <c r="H506" s="49"/>
    </row>
    <row r="507" spans="1:8" ht="15.75" customHeight="1" x14ac:dyDescent="0.25">
      <c r="A507" s="13" t="str">
        <f ca="1">IFERROR(__xludf.DUMMYFUNCTION("""COMPUTED_VALUE"""),"c_c2h4_roc_rel_week")</f>
        <v>c_c2h4_roc_rel_week</v>
      </c>
      <c r="B507" s="13" t="str">
        <f ca="1">IFERROR(__xludf.DUMMYFUNCTION("""COMPUTED_VALUE"""),"Скорость роста концентрации этилена относительная, неделя")</f>
        <v>Скорость роста концентрации этилена относительная, неделя</v>
      </c>
      <c r="D507" s="49"/>
      <c r="F507" s="49"/>
      <c r="H507" s="49"/>
    </row>
    <row r="508" spans="1:8" ht="15.75" customHeight="1" x14ac:dyDescent="0.25">
      <c r="A508" s="13" t="str">
        <f ca="1">IFERROR(__xludf.DUMMYFUNCTION("""COMPUTED_VALUE"""),"c_c2h4_roc_rel_week_lim0")</f>
        <v>c_c2h4_roc_rel_week_lim0</v>
      </c>
      <c r="B508" s="13" t="str">
        <f ca="1">IFERROR(__xludf.DUMMYFUNCTION("""COMPUTED_VALUE"""),"ДЗ скорости роста концентрации этилена относительной, неделя")</f>
        <v>ДЗ скорости роста концентрации этилена относительной, неделя</v>
      </c>
      <c r="D508" s="49"/>
      <c r="F508" s="49"/>
      <c r="H508" s="49"/>
    </row>
    <row r="509" spans="1:8" ht="15.75" customHeight="1" x14ac:dyDescent="0.25">
      <c r="A509" s="13" t="str">
        <f ca="1">IFERROR(__xludf.DUMMYFUNCTION("""COMPUTED_VALUE"""),"c_c2h4_roc_rel_week_lim0_manual")</f>
        <v>c_c2h4_roc_rel_week_lim0_manual</v>
      </c>
      <c r="B509" s="13" t="str">
        <f ca="1">IFERROR(__xludf.DUMMYFUNCTION("""COMPUTED_VALUE"""),"ДЗ скорости роста концентрации этилена относительной, неделя, ручное")</f>
        <v>ДЗ скорости роста концентрации этилена относительной, неделя, ручное</v>
      </c>
      <c r="D509" s="49"/>
      <c r="F509" s="49"/>
      <c r="H509" s="49"/>
    </row>
    <row r="510" spans="1:8" ht="15.75" customHeight="1" x14ac:dyDescent="0.25">
      <c r="A510" s="13" t="str">
        <f ca="1">IFERROR(__xludf.DUMMYFUNCTION("""COMPUTED_VALUE"""),"c_c2h4_roc_rel_week_lim1")</f>
        <v>c_c2h4_roc_rel_week_lim1</v>
      </c>
      <c r="B510" s="13" t="str">
        <f ca="1">IFERROR(__xludf.DUMMYFUNCTION("""COMPUTED_VALUE"""),"ПДЗ скорости роста концентрации этилена относительной, неделя")</f>
        <v>ПДЗ скорости роста концентрации этилена относительной, неделя</v>
      </c>
      <c r="D510" s="49"/>
      <c r="F510" s="49"/>
      <c r="H510" s="49"/>
    </row>
    <row r="511" spans="1:8" ht="15.75" customHeight="1" x14ac:dyDescent="0.25">
      <c r="A511" s="13" t="str">
        <f ca="1">IFERROR(__xludf.DUMMYFUNCTION("""COMPUTED_VALUE"""),"c_c2h4_roc_rel_week_lim1_manual")</f>
        <v>c_c2h4_roc_rel_week_lim1_manual</v>
      </c>
      <c r="B511" s="13" t="str">
        <f ca="1">IFERROR(__xludf.DUMMYFUNCTION("""COMPUTED_VALUE"""),"ПДЗ скорости роста концентрации этилена относительной, неделя, ручное")</f>
        <v>ПДЗ скорости роста концентрации этилена относительной, неделя, ручное</v>
      </c>
      <c r="D511" s="49"/>
      <c r="F511" s="49"/>
      <c r="H511" s="49"/>
    </row>
    <row r="512" spans="1:8" ht="15.75" customHeight="1" x14ac:dyDescent="0.25">
      <c r="A512" s="13" t="str">
        <f ca="1">IFERROR(__xludf.DUMMYFUNCTION("""COMPUTED_VALUE"""),"c_c2h4_roc_rel_year")</f>
        <v>c_c2h4_roc_rel_year</v>
      </c>
      <c r="B512" s="13" t="str">
        <f ca="1">IFERROR(__xludf.DUMMYFUNCTION("""COMPUTED_VALUE"""),"Скорость роста концентрации этилена относительная, год")</f>
        <v>Скорость роста концентрации этилена относительная, год</v>
      </c>
      <c r="D512" s="49"/>
      <c r="F512" s="49"/>
      <c r="H512" s="49"/>
    </row>
    <row r="513" spans="1:8" ht="15.75" customHeight="1" x14ac:dyDescent="0.25">
      <c r="A513" s="13" t="str">
        <f ca="1">IFERROR(__xludf.DUMMYFUNCTION("""COMPUTED_VALUE"""),"c_c2h4_roc_rel_year_lim0")</f>
        <v>c_c2h4_roc_rel_year_lim0</v>
      </c>
      <c r="B513" s="13" t="str">
        <f ca="1">IFERROR(__xludf.DUMMYFUNCTION("""COMPUTED_VALUE"""),"ДЗ скорости роста концентрации этилена относительной, год")</f>
        <v>ДЗ скорости роста концентрации этилена относительной, год</v>
      </c>
      <c r="D513" s="49"/>
      <c r="F513" s="49"/>
      <c r="H513" s="49"/>
    </row>
    <row r="514" spans="1:8" ht="15.75" customHeight="1" x14ac:dyDescent="0.25">
      <c r="A514" s="13" t="str">
        <f ca="1">IFERROR(__xludf.DUMMYFUNCTION("""COMPUTED_VALUE"""),"c_c2h4_roc_rel_year_lim0_manual")</f>
        <v>c_c2h4_roc_rel_year_lim0_manual</v>
      </c>
      <c r="B514" s="13" t="str">
        <f ca="1">IFERROR(__xludf.DUMMYFUNCTION("""COMPUTED_VALUE"""),"ДЗ скорости роста концентрации этилена относительной, год, ручное")</f>
        <v>ДЗ скорости роста концентрации этилена относительной, год, ручное</v>
      </c>
      <c r="D514" s="49"/>
      <c r="F514" s="49"/>
      <c r="H514" s="49"/>
    </row>
    <row r="515" spans="1:8" ht="15.75" customHeight="1" x14ac:dyDescent="0.25">
      <c r="A515" s="13" t="str">
        <f ca="1">IFERROR(__xludf.DUMMYFUNCTION("""COMPUTED_VALUE"""),"c_c2h4_roc_rel_year_lim1")</f>
        <v>c_c2h4_roc_rel_year_lim1</v>
      </c>
      <c r="B515" s="13" t="str">
        <f ca="1">IFERROR(__xludf.DUMMYFUNCTION("""COMPUTED_VALUE"""),"ПДЗ скорости роста концентрации этилена относительной, год")</f>
        <v>ПДЗ скорости роста концентрации этилена относительной, год</v>
      </c>
      <c r="D515" s="49"/>
      <c r="F515" s="49"/>
      <c r="H515" s="49"/>
    </row>
    <row r="516" spans="1:8" ht="15.75" customHeight="1" x14ac:dyDescent="0.25">
      <c r="A516" s="13" t="str">
        <f ca="1">IFERROR(__xludf.DUMMYFUNCTION("""COMPUTED_VALUE"""),"c_c2h4_roc_rel_year_lim1_manual")</f>
        <v>c_c2h4_roc_rel_year_lim1_manual</v>
      </c>
      <c r="B516" s="13" t="str">
        <f ca="1">IFERROR(__xludf.DUMMYFUNCTION("""COMPUTED_VALUE"""),"ПДЗ скорости роста концентрации этилена относительной, год, ручное")</f>
        <v>ПДЗ скорости роста концентрации этилена относительной, год, ручное</v>
      </c>
      <c r="D516" s="49"/>
      <c r="F516" s="49"/>
      <c r="H516" s="49"/>
    </row>
    <row r="517" spans="1:8" ht="15.75" customHeight="1" x14ac:dyDescent="0.25">
      <c r="A517" s="13" t="str">
        <f ca="1">IFERROR(__xludf.DUMMYFUNCTION("""COMPUTED_VALUE"""),"c_c2h6")</f>
        <v>c_c2h6</v>
      </c>
      <c r="B517" s="13" t="str">
        <f ca="1">IFERROR(__xludf.DUMMYFUNCTION("""COMPUTED_VALUE"""),"Концентрация этана")</f>
        <v>Концентрация этана</v>
      </c>
      <c r="D517" s="49"/>
      <c r="F517" s="49"/>
      <c r="H517" s="49"/>
    </row>
    <row r="518" spans="1:8" ht="15.75" customHeight="1" x14ac:dyDescent="0.25">
      <c r="A518" s="13" t="str">
        <f ca="1">IFERROR(__xludf.DUMMYFUNCTION("""COMPUTED_VALUE"""),"c_c2h6_avg")</f>
        <v>c_c2h6_avg</v>
      </c>
      <c r="B518" s="13" t="str">
        <f ca="1">IFERROR(__xludf.DUMMYFUNCTION("""COMPUTED_VALUE"""),"Среднее часовое значение концентрации этана")</f>
        <v>Среднее часовое значение концентрации этана</v>
      </c>
      <c r="D518" s="49"/>
      <c r="F518" s="49"/>
      <c r="H518" s="49"/>
    </row>
    <row r="519" spans="1:8" ht="15.75" customHeight="1" x14ac:dyDescent="0.25">
      <c r="A519" s="13" t="str">
        <f ca="1">IFERROR(__xludf.DUMMYFUNCTION("""COMPUTED_VALUE"""),"c_c2h6_forecast")</f>
        <v>c_c2h6_forecast</v>
      </c>
      <c r="B519" s="13" t="str">
        <f ca="1">IFERROR(__xludf.DUMMYFUNCTION("""COMPUTED_VALUE"""),"Прогноз развития концентрации: этан")</f>
        <v>Прогноз развития концентрации: этан</v>
      </c>
      <c r="D519" s="49"/>
      <c r="F519" s="49"/>
      <c r="H519" s="49"/>
    </row>
    <row r="520" spans="1:8" ht="15.75" customHeight="1" x14ac:dyDescent="0.25">
      <c r="A520" s="13" t="str">
        <f ca="1">IFERROR(__xludf.DUMMYFUNCTION("""COMPUTED_VALUE"""),"c_c2h6_lim0")</f>
        <v>c_c2h6_lim0</v>
      </c>
      <c r="B520" s="13" t="str">
        <f ca="1">IFERROR(__xludf.DUMMYFUNCTION("""COMPUTED_VALUE"""),"ДЗ концентрации этана")</f>
        <v>ДЗ концентрации этана</v>
      </c>
      <c r="D520" s="49"/>
      <c r="F520" s="49"/>
      <c r="H520" s="49"/>
    </row>
    <row r="521" spans="1:8" ht="15.75" customHeight="1" x14ac:dyDescent="0.25">
      <c r="A521" s="13" t="str">
        <f ca="1">IFERROR(__xludf.DUMMYFUNCTION("""COMPUTED_VALUE"""),"c_c2h6_lim0_manual")</f>
        <v>c_c2h6_lim0_manual</v>
      </c>
      <c r="B521" s="13" t="str">
        <f ca="1">IFERROR(__xludf.DUMMYFUNCTION("""COMPUTED_VALUE"""),"ДЗ концентрации этана ручное")</f>
        <v>ДЗ концентрации этана ручное</v>
      </c>
      <c r="D521" s="49"/>
      <c r="F521" s="49"/>
      <c r="H521" s="49"/>
    </row>
    <row r="522" spans="1:8" ht="15.75" customHeight="1" x14ac:dyDescent="0.25">
      <c r="A522" s="13" t="str">
        <f ca="1">IFERROR(__xludf.DUMMYFUNCTION("""COMPUTED_VALUE"""),"c_c2h6_lim1")</f>
        <v>c_c2h6_lim1</v>
      </c>
      <c r="B522" s="13" t="str">
        <f ca="1">IFERROR(__xludf.DUMMYFUNCTION("""COMPUTED_VALUE"""),"ПДЗ концентрации этана")</f>
        <v>ПДЗ концентрации этана</v>
      </c>
      <c r="D522" s="49"/>
      <c r="F522" s="49"/>
      <c r="H522" s="49"/>
    </row>
    <row r="523" spans="1:8" ht="15.75" customHeight="1" x14ac:dyDescent="0.25">
      <c r="A523" s="13" t="str">
        <f ca="1">IFERROR(__xludf.DUMMYFUNCTION("""COMPUTED_VALUE"""),"c_c2h6_lim1_manual")</f>
        <v>c_c2h6_lim1_manual</v>
      </c>
      <c r="B523" s="13" t="str">
        <f ca="1">IFERROR(__xludf.DUMMYFUNCTION("""COMPUTED_VALUE"""),"ПДЗ концентрации этана ручное")</f>
        <v>ПДЗ концентрации этана ручное</v>
      </c>
      <c r="D523" s="49"/>
      <c r="F523" s="49"/>
      <c r="H523" s="49"/>
    </row>
    <row r="524" spans="1:8" ht="15.75" customHeight="1" x14ac:dyDescent="0.25">
      <c r="A524" s="13" t="str">
        <f ca="1">IFERROR(__xludf.DUMMYFUNCTION("""COMPUTED_VALUE"""),"c_c2h6_oe_lim0")</f>
        <v>c_c2h6_oe_lim0</v>
      </c>
      <c r="B524" s="13" t="str">
        <f ca="1">IFERROR(__xludf.DUMMYFUNCTION("""COMPUTED_VALUE"""),"Концентрация этана относительно ДЗ")</f>
        <v>Концентрация этана относительно ДЗ</v>
      </c>
      <c r="D524" s="49"/>
      <c r="F524" s="49"/>
      <c r="H524" s="49"/>
    </row>
    <row r="525" spans="1:8" ht="15.75" customHeight="1" x14ac:dyDescent="0.25">
      <c r="A525" s="13" t="str">
        <f ca="1">IFERROR(__xludf.DUMMYFUNCTION("""COMPUTED_VALUE"""),"c_c2h6_oe_lim1")</f>
        <v>c_c2h6_oe_lim1</v>
      </c>
      <c r="B525" s="13" t="str">
        <f ca="1">IFERROR(__xludf.DUMMYFUNCTION("""COMPUTED_VALUE"""),"Концентрация этана относительно ПДЗ")</f>
        <v>Концентрация этана относительно ПДЗ</v>
      </c>
      <c r="D525" s="49"/>
      <c r="F525" s="49"/>
      <c r="H525" s="49"/>
    </row>
    <row r="526" spans="1:8" ht="15.75" customHeight="1" x14ac:dyDescent="0.25">
      <c r="A526" s="13" t="str">
        <f ca="1">IFERROR(__xludf.DUMMYFUNCTION("""COMPUTED_VALUE"""),"c_c2h6_offline")</f>
        <v>c_c2h6_offline</v>
      </c>
      <c r="B526" s="13" t="str">
        <f ca="1">IFERROR(__xludf.DUMMYFUNCTION("""COMPUTED_VALUE"""),"Концентрация этана (офлайн)")</f>
        <v>Концентрация этана (офлайн)</v>
      </c>
      <c r="D526" s="49"/>
      <c r="F526" s="49"/>
      <c r="H526" s="49"/>
    </row>
    <row r="527" spans="1:8" ht="15.75" customHeight="1" x14ac:dyDescent="0.25">
      <c r="A527" s="13" t="str">
        <f ca="1">IFERROR(__xludf.DUMMYFUNCTION("""COMPUTED_VALUE"""),"c_c2h6_roc_abs_day")</f>
        <v>c_c2h6_roc_abs_day</v>
      </c>
      <c r="B527" s="13" t="str">
        <f ca="1">IFERROR(__xludf.DUMMYFUNCTION("""COMPUTED_VALUE"""),"Скорость роста концентрации этана абсолютная, сутки")</f>
        <v>Скорость роста концентрации этана абсолютная, сутки</v>
      </c>
      <c r="D527" s="49"/>
      <c r="F527" s="49"/>
      <c r="H527" s="49"/>
    </row>
    <row r="528" spans="1:8" ht="15.75" customHeight="1" x14ac:dyDescent="0.25">
      <c r="A528" s="13" t="str">
        <f ca="1">IFERROR(__xludf.DUMMYFUNCTION("""COMPUTED_VALUE"""),"c_c2h6_roc_abs_day_lim0")</f>
        <v>c_c2h6_roc_abs_day_lim0</v>
      </c>
      <c r="B528" s="13" t="str">
        <f ca="1">IFERROR(__xludf.DUMMYFUNCTION("""COMPUTED_VALUE"""),"ДЗ скорости роста концентрации этана абсолютной, сутки")</f>
        <v>ДЗ скорости роста концентрации этана абсолютной, сутки</v>
      </c>
      <c r="D528" s="49"/>
      <c r="F528" s="49"/>
      <c r="H528" s="49"/>
    </row>
    <row r="529" spans="1:8" ht="15.75" customHeight="1" x14ac:dyDescent="0.25">
      <c r="A529" s="13" t="str">
        <f ca="1">IFERROR(__xludf.DUMMYFUNCTION("""COMPUTED_VALUE"""),"c_c2h6_roc_abs_day_lim0_manual")</f>
        <v>c_c2h6_roc_abs_day_lim0_manual</v>
      </c>
      <c r="B529" s="13" t="str">
        <f ca="1">IFERROR(__xludf.DUMMYFUNCTION("""COMPUTED_VALUE"""),"ДЗ скорости роста концентрации этана абсолютной, сутки, ручное")</f>
        <v>ДЗ скорости роста концентрации этана абсолютной, сутки, ручное</v>
      </c>
      <c r="D529" s="49"/>
      <c r="F529" s="49"/>
      <c r="H529" s="49"/>
    </row>
    <row r="530" spans="1:8" ht="15.75" customHeight="1" x14ac:dyDescent="0.25">
      <c r="A530" s="13" t="str">
        <f ca="1">IFERROR(__xludf.DUMMYFUNCTION("""COMPUTED_VALUE"""),"c_c2h6_roc_abs_day_lim1")</f>
        <v>c_c2h6_roc_abs_day_lim1</v>
      </c>
      <c r="B530" s="13" t="str">
        <f ca="1">IFERROR(__xludf.DUMMYFUNCTION("""COMPUTED_VALUE"""),"ПДЗ скорости роста концентрации этана абсолютной, сутки")</f>
        <v>ПДЗ скорости роста концентрации этана абсолютной, сутки</v>
      </c>
      <c r="D530" s="49"/>
      <c r="F530" s="49"/>
      <c r="H530" s="49"/>
    </row>
    <row r="531" spans="1:8" ht="15.75" customHeight="1" x14ac:dyDescent="0.25">
      <c r="A531" s="13" t="str">
        <f ca="1">IFERROR(__xludf.DUMMYFUNCTION("""COMPUTED_VALUE"""),"c_c2h6_roc_abs_day_lim1_manual")</f>
        <v>c_c2h6_roc_abs_day_lim1_manual</v>
      </c>
      <c r="B531" s="13" t="str">
        <f ca="1">IFERROR(__xludf.DUMMYFUNCTION("""COMPUTED_VALUE"""),"ПДЗ скорости роста концентрации этана абсолютной, сутки, ручное")</f>
        <v>ПДЗ скорости роста концентрации этана абсолютной, сутки, ручное</v>
      </c>
      <c r="D531" s="49"/>
      <c r="F531" s="49"/>
      <c r="H531" s="49"/>
    </row>
    <row r="532" spans="1:8" ht="15.75" customHeight="1" x14ac:dyDescent="0.25">
      <c r="A532" s="13" t="str">
        <f ca="1">IFERROR(__xludf.DUMMYFUNCTION("""COMPUTED_VALUE"""),"c_c2h6_roc_abs_month")</f>
        <v>c_c2h6_roc_abs_month</v>
      </c>
      <c r="B532" s="13" t="str">
        <f ca="1">IFERROR(__xludf.DUMMYFUNCTION("""COMPUTED_VALUE"""),"Скорость роста концентрации этана абсолютная, месяц")</f>
        <v>Скорость роста концентрации этана абсолютная, месяц</v>
      </c>
      <c r="D532" s="49"/>
      <c r="F532" s="49"/>
      <c r="H532" s="49"/>
    </row>
    <row r="533" spans="1:8" ht="15.75" customHeight="1" x14ac:dyDescent="0.25">
      <c r="A533" s="13" t="str">
        <f ca="1">IFERROR(__xludf.DUMMYFUNCTION("""COMPUTED_VALUE"""),"c_c2h6_roc_abs_month_lim0")</f>
        <v>c_c2h6_roc_abs_month_lim0</v>
      </c>
      <c r="B533" s="13" t="str">
        <f ca="1">IFERROR(__xludf.DUMMYFUNCTION("""COMPUTED_VALUE"""),"ДЗ скорости роста концентрации этана абсолютной, месяц")</f>
        <v>ДЗ скорости роста концентрации этана абсолютной, месяц</v>
      </c>
      <c r="D533" s="49"/>
      <c r="F533" s="49"/>
      <c r="H533" s="49"/>
    </row>
    <row r="534" spans="1:8" ht="15.75" customHeight="1" x14ac:dyDescent="0.25">
      <c r="A534" s="13" t="str">
        <f ca="1">IFERROR(__xludf.DUMMYFUNCTION("""COMPUTED_VALUE"""),"c_c2h6_roc_abs_month_lim0_manual")</f>
        <v>c_c2h6_roc_abs_month_lim0_manual</v>
      </c>
      <c r="B534" s="13" t="str">
        <f ca="1">IFERROR(__xludf.DUMMYFUNCTION("""COMPUTED_VALUE"""),"ДЗ скорости роста концентрации этана абсолютной, месяц, ручное")</f>
        <v>ДЗ скорости роста концентрации этана абсолютной, месяц, ручное</v>
      </c>
      <c r="D534" s="49"/>
      <c r="F534" s="49"/>
      <c r="H534" s="49"/>
    </row>
    <row r="535" spans="1:8" ht="15.75" customHeight="1" x14ac:dyDescent="0.25">
      <c r="A535" s="13" t="str">
        <f ca="1">IFERROR(__xludf.DUMMYFUNCTION("""COMPUTED_VALUE"""),"c_c2h6_roc_abs_month_lim1")</f>
        <v>c_c2h6_roc_abs_month_lim1</v>
      </c>
      <c r="B535" s="13" t="str">
        <f ca="1">IFERROR(__xludf.DUMMYFUNCTION("""COMPUTED_VALUE"""),"ПДЗ скорости роста концентрации этана абсолютной, месяц")</f>
        <v>ПДЗ скорости роста концентрации этана абсолютной, месяц</v>
      </c>
      <c r="D535" s="49"/>
      <c r="F535" s="49"/>
      <c r="H535" s="49"/>
    </row>
    <row r="536" spans="1:8" ht="15.75" customHeight="1" x14ac:dyDescent="0.25">
      <c r="A536" s="13" t="str">
        <f ca="1">IFERROR(__xludf.DUMMYFUNCTION("""COMPUTED_VALUE"""),"c_c2h6_roc_abs_month_lim1_manual")</f>
        <v>c_c2h6_roc_abs_month_lim1_manual</v>
      </c>
      <c r="B536" s="13" t="str">
        <f ca="1">IFERROR(__xludf.DUMMYFUNCTION("""COMPUTED_VALUE"""),"ПДЗ скорости роста концентрации этана абсолютной, месяц, ручное")</f>
        <v>ПДЗ скорости роста концентрации этана абсолютной, месяц, ручное</v>
      </c>
      <c r="D536" s="49"/>
      <c r="F536" s="49"/>
      <c r="H536" s="49"/>
    </row>
    <row r="537" spans="1:8" ht="15.75" customHeight="1" x14ac:dyDescent="0.25">
      <c r="A537" s="13" t="str">
        <f ca="1">IFERROR(__xludf.DUMMYFUNCTION("""COMPUTED_VALUE"""),"c_c2h6_roc_abs_week")</f>
        <v>c_c2h6_roc_abs_week</v>
      </c>
      <c r="B537" s="13" t="str">
        <f ca="1">IFERROR(__xludf.DUMMYFUNCTION("""COMPUTED_VALUE"""),"Скорость роста концентрации этана абсолютная, неделя")</f>
        <v>Скорость роста концентрации этана абсолютная, неделя</v>
      </c>
      <c r="D537" s="49"/>
      <c r="F537" s="49"/>
      <c r="H537" s="49"/>
    </row>
    <row r="538" spans="1:8" ht="15.75" customHeight="1" x14ac:dyDescent="0.25">
      <c r="A538" s="13" t="str">
        <f ca="1">IFERROR(__xludf.DUMMYFUNCTION("""COMPUTED_VALUE"""),"c_c2h6_roc_abs_week_lim0")</f>
        <v>c_c2h6_roc_abs_week_lim0</v>
      </c>
      <c r="B538" s="13" t="str">
        <f ca="1">IFERROR(__xludf.DUMMYFUNCTION("""COMPUTED_VALUE"""),"ДЗ скорости роста концентрации этана абсолютной, неделя")</f>
        <v>ДЗ скорости роста концентрации этана абсолютной, неделя</v>
      </c>
      <c r="D538" s="49"/>
      <c r="F538" s="49"/>
      <c r="H538" s="49"/>
    </row>
    <row r="539" spans="1:8" ht="15.75" customHeight="1" x14ac:dyDescent="0.25">
      <c r="A539" s="13" t="str">
        <f ca="1">IFERROR(__xludf.DUMMYFUNCTION("""COMPUTED_VALUE"""),"c_c2h6_roc_abs_week_lim0_manual")</f>
        <v>c_c2h6_roc_abs_week_lim0_manual</v>
      </c>
      <c r="B539" s="13" t="str">
        <f ca="1">IFERROR(__xludf.DUMMYFUNCTION("""COMPUTED_VALUE"""),"ДЗ скорости роста концентрации этана абсолютной, неделя, ручное")</f>
        <v>ДЗ скорости роста концентрации этана абсолютной, неделя, ручное</v>
      </c>
      <c r="D539" s="49"/>
      <c r="F539" s="49"/>
      <c r="H539" s="49"/>
    </row>
    <row r="540" spans="1:8" ht="15.75" customHeight="1" x14ac:dyDescent="0.25">
      <c r="A540" s="13" t="str">
        <f ca="1">IFERROR(__xludf.DUMMYFUNCTION("""COMPUTED_VALUE"""),"c_c2h6_roc_abs_week_lim1")</f>
        <v>c_c2h6_roc_abs_week_lim1</v>
      </c>
      <c r="B540" s="13" t="str">
        <f ca="1">IFERROR(__xludf.DUMMYFUNCTION("""COMPUTED_VALUE"""),"ПДЗ скорости роста концентрации этана абсолютной, неделя")</f>
        <v>ПДЗ скорости роста концентрации этана абсолютной, неделя</v>
      </c>
      <c r="D540" s="49"/>
      <c r="F540" s="49"/>
      <c r="H540" s="49"/>
    </row>
    <row r="541" spans="1:8" ht="15.75" customHeight="1" x14ac:dyDescent="0.25">
      <c r="A541" s="13" t="str">
        <f ca="1">IFERROR(__xludf.DUMMYFUNCTION("""COMPUTED_VALUE"""),"c_c2h6_roc_abs_week_lim1_manual")</f>
        <v>c_c2h6_roc_abs_week_lim1_manual</v>
      </c>
      <c r="B541" s="13" t="str">
        <f ca="1">IFERROR(__xludf.DUMMYFUNCTION("""COMPUTED_VALUE"""),"ПДЗ скорости роста концентрации этана абсолютной, неделя, ручное")</f>
        <v>ПДЗ скорости роста концентрации этана абсолютной, неделя, ручное</v>
      </c>
      <c r="D541" s="49"/>
      <c r="F541" s="49"/>
      <c r="H541" s="49"/>
    </row>
    <row r="542" spans="1:8" ht="15.75" customHeight="1" x14ac:dyDescent="0.25">
      <c r="A542" s="13" t="str">
        <f ca="1">IFERROR(__xludf.DUMMYFUNCTION("""COMPUTED_VALUE"""),"c_c2h6_roc_abs_year")</f>
        <v>c_c2h6_roc_abs_year</v>
      </c>
      <c r="B542" s="13" t="str">
        <f ca="1">IFERROR(__xludf.DUMMYFUNCTION("""COMPUTED_VALUE"""),"Скорость роста концентрации этана абсолютная, год")</f>
        <v>Скорость роста концентрации этана абсолютная, год</v>
      </c>
      <c r="D542" s="49"/>
      <c r="F542" s="49"/>
      <c r="H542" s="49"/>
    </row>
    <row r="543" spans="1:8" ht="15.75" customHeight="1" x14ac:dyDescent="0.25">
      <c r="A543" s="13" t="str">
        <f ca="1">IFERROR(__xludf.DUMMYFUNCTION("""COMPUTED_VALUE"""),"c_c2h6_roc_abs_year_lim0")</f>
        <v>c_c2h6_roc_abs_year_lim0</v>
      </c>
      <c r="B543" s="13" t="str">
        <f ca="1">IFERROR(__xludf.DUMMYFUNCTION("""COMPUTED_VALUE"""),"ДЗ скорости роста концентрации этана абсолютной, год")</f>
        <v>ДЗ скорости роста концентрации этана абсолютной, год</v>
      </c>
      <c r="D543" s="49"/>
      <c r="F543" s="49"/>
      <c r="H543" s="49"/>
    </row>
    <row r="544" spans="1:8" ht="15.75" customHeight="1" x14ac:dyDescent="0.25">
      <c r="A544" s="13" t="str">
        <f ca="1">IFERROR(__xludf.DUMMYFUNCTION("""COMPUTED_VALUE"""),"c_c2h6_roc_abs_year_lim0_manual")</f>
        <v>c_c2h6_roc_abs_year_lim0_manual</v>
      </c>
      <c r="B544" s="13" t="str">
        <f ca="1">IFERROR(__xludf.DUMMYFUNCTION("""COMPUTED_VALUE"""),"ДЗ скорости роста концентрации этана абсолютной, год, ручное")</f>
        <v>ДЗ скорости роста концентрации этана абсолютной, год, ручное</v>
      </c>
      <c r="D544" s="49"/>
      <c r="F544" s="49"/>
      <c r="H544" s="49"/>
    </row>
    <row r="545" spans="1:8" ht="15.75" customHeight="1" x14ac:dyDescent="0.25">
      <c r="A545" s="13" t="str">
        <f ca="1">IFERROR(__xludf.DUMMYFUNCTION("""COMPUTED_VALUE"""),"c_c2h6_roc_abs_year_lim1")</f>
        <v>c_c2h6_roc_abs_year_lim1</v>
      </c>
      <c r="B545" s="13" t="str">
        <f ca="1">IFERROR(__xludf.DUMMYFUNCTION("""COMPUTED_VALUE"""),"ПДЗ скорости роста концентрации этана абсолютной, год")</f>
        <v>ПДЗ скорости роста концентрации этана абсолютной, год</v>
      </c>
      <c r="D545" s="49"/>
      <c r="F545" s="49"/>
      <c r="H545" s="49"/>
    </row>
    <row r="546" spans="1:8" ht="15.75" customHeight="1" x14ac:dyDescent="0.25">
      <c r="A546" s="13" t="str">
        <f ca="1">IFERROR(__xludf.DUMMYFUNCTION("""COMPUTED_VALUE"""),"c_c2h6_roc_abs_year_lim1_manual")</f>
        <v>c_c2h6_roc_abs_year_lim1_manual</v>
      </c>
      <c r="B546" s="13" t="str">
        <f ca="1">IFERROR(__xludf.DUMMYFUNCTION("""COMPUTED_VALUE"""),"ПДЗ скорости роста концентрации этана абсолютной, год, ручное")</f>
        <v>ПДЗ скорости роста концентрации этана абсолютной, год, ручное</v>
      </c>
      <c r="D546" s="49"/>
      <c r="F546" s="49"/>
      <c r="H546" s="49"/>
    </row>
    <row r="547" spans="1:8" ht="15.75" customHeight="1" x14ac:dyDescent="0.25">
      <c r="A547" s="13" t="str">
        <f ca="1">IFERROR(__xludf.DUMMYFUNCTION("""COMPUTED_VALUE"""),"c_c2h6_roc_rel_day")</f>
        <v>c_c2h6_roc_rel_day</v>
      </c>
      <c r="B547" s="13" t="str">
        <f ca="1">IFERROR(__xludf.DUMMYFUNCTION("""COMPUTED_VALUE"""),"Скорость роста концентрации этана относительная, сутки")</f>
        <v>Скорость роста концентрации этана относительная, сутки</v>
      </c>
      <c r="D547" s="49"/>
      <c r="F547" s="49"/>
      <c r="H547" s="49"/>
    </row>
    <row r="548" spans="1:8" ht="15.75" customHeight="1" x14ac:dyDescent="0.25">
      <c r="A548" s="13" t="str">
        <f ca="1">IFERROR(__xludf.DUMMYFUNCTION("""COMPUTED_VALUE"""),"c_c2h6_roc_rel_day_lim0")</f>
        <v>c_c2h6_roc_rel_day_lim0</v>
      </c>
      <c r="B548" s="13" t="str">
        <f ca="1">IFERROR(__xludf.DUMMYFUNCTION("""COMPUTED_VALUE"""),"ДЗ скорости роста концентрации этана относительной, сутки")</f>
        <v>ДЗ скорости роста концентрации этана относительной, сутки</v>
      </c>
      <c r="D548" s="49"/>
      <c r="F548" s="49"/>
      <c r="H548" s="49"/>
    </row>
    <row r="549" spans="1:8" ht="15.75" customHeight="1" x14ac:dyDescent="0.25">
      <c r="A549" s="13" t="str">
        <f ca="1">IFERROR(__xludf.DUMMYFUNCTION("""COMPUTED_VALUE"""),"c_c2h6_roc_rel_day_lim0_manual")</f>
        <v>c_c2h6_roc_rel_day_lim0_manual</v>
      </c>
      <c r="B549" s="13" t="str">
        <f ca="1">IFERROR(__xludf.DUMMYFUNCTION("""COMPUTED_VALUE"""),"ДЗ скорости роста концентрации этана относительной, сутки, ручное")</f>
        <v>ДЗ скорости роста концентрации этана относительной, сутки, ручное</v>
      </c>
      <c r="D549" s="49"/>
      <c r="F549" s="49"/>
      <c r="H549" s="49"/>
    </row>
    <row r="550" spans="1:8" ht="15.75" customHeight="1" x14ac:dyDescent="0.25">
      <c r="A550" s="13" t="str">
        <f ca="1">IFERROR(__xludf.DUMMYFUNCTION("""COMPUTED_VALUE"""),"c_c2h6_roc_rel_day_lim1")</f>
        <v>c_c2h6_roc_rel_day_lim1</v>
      </c>
      <c r="B550" s="13" t="str">
        <f ca="1">IFERROR(__xludf.DUMMYFUNCTION("""COMPUTED_VALUE"""),"ПДЗ скорости роста концентрации этана относительной, сутки")</f>
        <v>ПДЗ скорости роста концентрации этана относительной, сутки</v>
      </c>
      <c r="D550" s="49"/>
      <c r="F550" s="49"/>
      <c r="H550" s="49"/>
    </row>
    <row r="551" spans="1:8" ht="15.75" customHeight="1" x14ac:dyDescent="0.25">
      <c r="A551" s="13" t="str">
        <f ca="1">IFERROR(__xludf.DUMMYFUNCTION("""COMPUTED_VALUE"""),"c_c2h6_roc_rel_day_lim1_manual")</f>
        <v>c_c2h6_roc_rel_day_lim1_manual</v>
      </c>
      <c r="B551" s="13" t="str">
        <f ca="1">IFERROR(__xludf.DUMMYFUNCTION("""COMPUTED_VALUE"""),"ПДЗ скорости роста концентрации этана относительной, сутки, ручное")</f>
        <v>ПДЗ скорости роста концентрации этана относительной, сутки, ручное</v>
      </c>
      <c r="D551" s="49"/>
      <c r="F551" s="49"/>
      <c r="H551" s="49"/>
    </row>
    <row r="552" spans="1:8" ht="15.75" customHeight="1" x14ac:dyDescent="0.25">
      <c r="A552" s="13" t="str">
        <f ca="1">IFERROR(__xludf.DUMMYFUNCTION("""COMPUTED_VALUE"""),"c_c2h6_roc_rel_month")</f>
        <v>c_c2h6_roc_rel_month</v>
      </c>
      <c r="B552" s="13" t="str">
        <f ca="1">IFERROR(__xludf.DUMMYFUNCTION("""COMPUTED_VALUE"""),"Скорость роста концентрации этана относительная, месяц")</f>
        <v>Скорость роста концентрации этана относительная, месяц</v>
      </c>
      <c r="D552" s="49"/>
      <c r="F552" s="49"/>
      <c r="H552" s="49"/>
    </row>
    <row r="553" spans="1:8" ht="15.75" customHeight="1" x14ac:dyDescent="0.25">
      <c r="A553" s="13" t="str">
        <f ca="1">IFERROR(__xludf.DUMMYFUNCTION("""COMPUTED_VALUE"""),"c_c2h6_roc_rel_month_lim0")</f>
        <v>c_c2h6_roc_rel_month_lim0</v>
      </c>
      <c r="B553" s="13" t="str">
        <f ca="1">IFERROR(__xludf.DUMMYFUNCTION("""COMPUTED_VALUE"""),"ДЗ скорости роста концентрации этана относительной, месяц")</f>
        <v>ДЗ скорости роста концентрации этана относительной, месяц</v>
      </c>
      <c r="D553" s="49"/>
      <c r="F553" s="49"/>
      <c r="H553" s="49"/>
    </row>
    <row r="554" spans="1:8" ht="15.75" customHeight="1" x14ac:dyDescent="0.25">
      <c r="A554" s="13" t="str">
        <f ca="1">IFERROR(__xludf.DUMMYFUNCTION("""COMPUTED_VALUE"""),"c_c2h6_roc_rel_month_lim0_manual")</f>
        <v>c_c2h6_roc_rel_month_lim0_manual</v>
      </c>
      <c r="B554" s="13" t="str">
        <f ca="1">IFERROR(__xludf.DUMMYFUNCTION("""COMPUTED_VALUE"""),"ДЗ скорости роста концентрации этана относительной, месяц, ручное")</f>
        <v>ДЗ скорости роста концентрации этана относительной, месяц, ручное</v>
      </c>
      <c r="D554" s="49"/>
      <c r="F554" s="49"/>
      <c r="H554" s="49"/>
    </row>
    <row r="555" spans="1:8" ht="15.75" customHeight="1" x14ac:dyDescent="0.25">
      <c r="A555" s="13" t="str">
        <f ca="1">IFERROR(__xludf.DUMMYFUNCTION("""COMPUTED_VALUE"""),"c_c2h6_roc_rel_month_lim1")</f>
        <v>c_c2h6_roc_rel_month_lim1</v>
      </c>
      <c r="B555" s="13" t="str">
        <f ca="1">IFERROR(__xludf.DUMMYFUNCTION("""COMPUTED_VALUE"""),"ПДЗ скорости роста концентрации этана относительной, месяц")</f>
        <v>ПДЗ скорости роста концентрации этана относительной, месяц</v>
      </c>
      <c r="D555" s="49"/>
      <c r="F555" s="49"/>
      <c r="H555" s="49"/>
    </row>
    <row r="556" spans="1:8" ht="15.75" customHeight="1" x14ac:dyDescent="0.25">
      <c r="A556" s="13" t="str">
        <f ca="1">IFERROR(__xludf.DUMMYFUNCTION("""COMPUTED_VALUE"""),"c_c2h6_roc_rel_month_lim1_manual")</f>
        <v>c_c2h6_roc_rel_month_lim1_manual</v>
      </c>
      <c r="B556" s="13" t="str">
        <f ca="1">IFERROR(__xludf.DUMMYFUNCTION("""COMPUTED_VALUE"""),"ПДЗ скорости роста концентрации этана относительной, месяц, ручное")</f>
        <v>ПДЗ скорости роста концентрации этана относительной, месяц, ручное</v>
      </c>
      <c r="D556" s="49"/>
      <c r="F556" s="49"/>
      <c r="H556" s="49"/>
    </row>
    <row r="557" spans="1:8" ht="15.75" customHeight="1" x14ac:dyDescent="0.25">
      <c r="A557" s="13" t="str">
        <f ca="1">IFERROR(__xludf.DUMMYFUNCTION("""COMPUTED_VALUE"""),"c_c2h6_roc_rel_week")</f>
        <v>c_c2h6_roc_rel_week</v>
      </c>
      <c r="B557" s="13" t="str">
        <f ca="1">IFERROR(__xludf.DUMMYFUNCTION("""COMPUTED_VALUE"""),"Скорость роста концентрации этана относительная, неделя")</f>
        <v>Скорость роста концентрации этана относительная, неделя</v>
      </c>
      <c r="D557" s="49"/>
      <c r="F557" s="49"/>
      <c r="H557" s="49"/>
    </row>
    <row r="558" spans="1:8" ht="15.75" customHeight="1" x14ac:dyDescent="0.25">
      <c r="A558" s="13" t="str">
        <f ca="1">IFERROR(__xludf.DUMMYFUNCTION("""COMPUTED_VALUE"""),"c_c2h6_roc_rel_week_lim0")</f>
        <v>c_c2h6_roc_rel_week_lim0</v>
      </c>
      <c r="B558" s="13" t="str">
        <f ca="1">IFERROR(__xludf.DUMMYFUNCTION("""COMPUTED_VALUE"""),"ДЗ скорости роста концентрации этана относительной, неделя")</f>
        <v>ДЗ скорости роста концентрации этана относительной, неделя</v>
      </c>
      <c r="D558" s="49"/>
      <c r="F558" s="49"/>
      <c r="H558" s="49"/>
    </row>
    <row r="559" spans="1:8" ht="15.75" customHeight="1" x14ac:dyDescent="0.25">
      <c r="A559" s="13" t="str">
        <f ca="1">IFERROR(__xludf.DUMMYFUNCTION("""COMPUTED_VALUE"""),"c_c2h6_roc_rel_week_lim0_manual")</f>
        <v>c_c2h6_roc_rel_week_lim0_manual</v>
      </c>
      <c r="B559" s="13" t="str">
        <f ca="1">IFERROR(__xludf.DUMMYFUNCTION("""COMPUTED_VALUE"""),"ДЗ скорости роста концентрации этана относительной, неделя, ручное")</f>
        <v>ДЗ скорости роста концентрации этана относительной, неделя, ручное</v>
      </c>
      <c r="D559" s="49"/>
      <c r="F559" s="49"/>
      <c r="H559" s="49"/>
    </row>
    <row r="560" spans="1:8" ht="15.75" customHeight="1" x14ac:dyDescent="0.25">
      <c r="A560" s="13" t="str">
        <f ca="1">IFERROR(__xludf.DUMMYFUNCTION("""COMPUTED_VALUE"""),"c_c2h6_roc_rel_week_lim1")</f>
        <v>c_c2h6_roc_rel_week_lim1</v>
      </c>
      <c r="B560" s="13" t="str">
        <f ca="1">IFERROR(__xludf.DUMMYFUNCTION("""COMPUTED_VALUE"""),"ПДЗ скорости роста концентрации этана относительной, неделя")</f>
        <v>ПДЗ скорости роста концентрации этана относительной, неделя</v>
      </c>
      <c r="D560" s="49"/>
      <c r="F560" s="49"/>
      <c r="H560" s="49"/>
    </row>
    <row r="561" spans="1:8" ht="15.75" customHeight="1" x14ac:dyDescent="0.25">
      <c r="A561" s="13" t="str">
        <f ca="1">IFERROR(__xludf.DUMMYFUNCTION("""COMPUTED_VALUE"""),"c_c2h6_roc_rel_week_lim1_manual")</f>
        <v>c_c2h6_roc_rel_week_lim1_manual</v>
      </c>
      <c r="B561" s="13" t="str">
        <f ca="1">IFERROR(__xludf.DUMMYFUNCTION("""COMPUTED_VALUE"""),"ПДЗ скорости роста концентрации этана относительной, неделя, ручное")</f>
        <v>ПДЗ скорости роста концентрации этана относительной, неделя, ручное</v>
      </c>
      <c r="D561" s="49"/>
      <c r="F561" s="49"/>
      <c r="H561" s="49"/>
    </row>
    <row r="562" spans="1:8" ht="15.75" customHeight="1" x14ac:dyDescent="0.25">
      <c r="A562" s="13" t="str">
        <f ca="1">IFERROR(__xludf.DUMMYFUNCTION("""COMPUTED_VALUE"""),"c_c2h6_roc_rel_year")</f>
        <v>c_c2h6_roc_rel_year</v>
      </c>
      <c r="B562" s="13" t="str">
        <f ca="1">IFERROR(__xludf.DUMMYFUNCTION("""COMPUTED_VALUE"""),"Скорость роста концентрации этана относительная, год")</f>
        <v>Скорость роста концентрации этана относительная, год</v>
      </c>
      <c r="D562" s="49"/>
      <c r="F562" s="49"/>
      <c r="H562" s="49"/>
    </row>
    <row r="563" spans="1:8" ht="15.75" customHeight="1" x14ac:dyDescent="0.25">
      <c r="A563" s="13" t="str">
        <f ca="1">IFERROR(__xludf.DUMMYFUNCTION("""COMPUTED_VALUE"""),"c_c2h6_roc_rel_year_lim0")</f>
        <v>c_c2h6_roc_rel_year_lim0</v>
      </c>
      <c r="B563" s="13" t="str">
        <f ca="1">IFERROR(__xludf.DUMMYFUNCTION("""COMPUTED_VALUE"""),"ДЗ скорости роста концентрации этана относительной, год")</f>
        <v>ДЗ скорости роста концентрации этана относительной, год</v>
      </c>
      <c r="D563" s="49"/>
      <c r="F563" s="49"/>
      <c r="H563" s="49"/>
    </row>
    <row r="564" spans="1:8" ht="15.75" customHeight="1" x14ac:dyDescent="0.25">
      <c r="A564" s="13" t="str">
        <f ca="1">IFERROR(__xludf.DUMMYFUNCTION("""COMPUTED_VALUE"""),"c_c2h6_roc_rel_year_lim0_manual")</f>
        <v>c_c2h6_roc_rel_year_lim0_manual</v>
      </c>
      <c r="B564" s="13" t="str">
        <f ca="1">IFERROR(__xludf.DUMMYFUNCTION("""COMPUTED_VALUE"""),"ДЗ скорости роста концентрации этана относительной, год, ручное")</f>
        <v>ДЗ скорости роста концентрации этана относительной, год, ручное</v>
      </c>
      <c r="D564" s="49"/>
      <c r="F564" s="49"/>
      <c r="H564" s="49"/>
    </row>
    <row r="565" spans="1:8" ht="15.75" customHeight="1" x14ac:dyDescent="0.25">
      <c r="A565" s="13" t="str">
        <f ca="1">IFERROR(__xludf.DUMMYFUNCTION("""COMPUTED_VALUE"""),"c_c2h6_roc_rel_year_lim1")</f>
        <v>c_c2h6_roc_rel_year_lim1</v>
      </c>
      <c r="B565" s="13" t="str">
        <f ca="1">IFERROR(__xludf.DUMMYFUNCTION("""COMPUTED_VALUE"""),"ПДЗ скорости роста концентрации этана относительной, год")</f>
        <v>ПДЗ скорости роста концентрации этана относительной, год</v>
      </c>
      <c r="D565" s="49"/>
      <c r="F565" s="49"/>
      <c r="H565" s="49"/>
    </row>
    <row r="566" spans="1:8" ht="15.75" customHeight="1" x14ac:dyDescent="0.25">
      <c r="A566" s="13" t="str">
        <f ca="1">IFERROR(__xludf.DUMMYFUNCTION("""COMPUTED_VALUE"""),"c_c2h6_roc_rel_year_lim1_manual")</f>
        <v>c_c2h6_roc_rel_year_lim1_manual</v>
      </c>
      <c r="B566" s="13" t="str">
        <f ca="1">IFERROR(__xludf.DUMMYFUNCTION("""COMPUTED_VALUE"""),"ПДЗ скорости роста концентрации этана относительной, год, ручное")</f>
        <v>ПДЗ скорости роста концентрации этана относительной, год, ручное</v>
      </c>
      <c r="D566" s="49"/>
      <c r="F566" s="49"/>
      <c r="H566" s="49"/>
    </row>
    <row r="567" spans="1:8" ht="15.75" customHeight="1" x14ac:dyDescent="0.25">
      <c r="A567" s="13" t="str">
        <f ca="1">IFERROR(__xludf.DUMMYFUNCTION("""COMPUTED_VALUE"""),"c_ch4")</f>
        <v>c_ch4</v>
      </c>
      <c r="B567" s="13" t="str">
        <f ca="1">IFERROR(__xludf.DUMMYFUNCTION("""COMPUTED_VALUE"""),"Концентрация метана")</f>
        <v>Концентрация метана</v>
      </c>
      <c r="D567" s="49"/>
      <c r="F567" s="49"/>
      <c r="H567" s="49"/>
    </row>
    <row r="568" spans="1:8" ht="15.75" customHeight="1" x14ac:dyDescent="0.25">
      <c r="A568" s="13" t="str">
        <f ca="1">IFERROR(__xludf.DUMMYFUNCTION("""COMPUTED_VALUE"""),"c_ch4_avg")</f>
        <v>c_ch4_avg</v>
      </c>
      <c r="B568" s="13" t="str">
        <f ca="1">IFERROR(__xludf.DUMMYFUNCTION("""COMPUTED_VALUE"""),"Среднее часовое значение концентрации метана")</f>
        <v>Среднее часовое значение концентрации метана</v>
      </c>
      <c r="D568" s="49"/>
      <c r="F568" s="49"/>
      <c r="H568" s="49"/>
    </row>
    <row r="569" spans="1:8" ht="15.75" customHeight="1" x14ac:dyDescent="0.25">
      <c r="A569" s="13" t="str">
        <f ca="1">IFERROR(__xludf.DUMMYFUNCTION("""COMPUTED_VALUE"""),"c_ch4_forecast")</f>
        <v>c_ch4_forecast</v>
      </c>
      <c r="B569" s="13" t="str">
        <f ca="1">IFERROR(__xludf.DUMMYFUNCTION("""COMPUTED_VALUE"""),"Прогноз развития концентрации: метан")</f>
        <v>Прогноз развития концентрации: метан</v>
      </c>
      <c r="D569" s="49"/>
      <c r="F569" s="49"/>
      <c r="H569" s="49"/>
    </row>
    <row r="570" spans="1:8" ht="15.75" customHeight="1" x14ac:dyDescent="0.25">
      <c r="A570" s="13" t="str">
        <f ca="1">IFERROR(__xludf.DUMMYFUNCTION("""COMPUTED_VALUE"""),"c_ch4_lim0")</f>
        <v>c_ch4_lim0</v>
      </c>
      <c r="B570" s="13" t="str">
        <f ca="1">IFERROR(__xludf.DUMMYFUNCTION("""COMPUTED_VALUE"""),"ДЗ концентрации метана")</f>
        <v>ДЗ концентрации метана</v>
      </c>
      <c r="D570" s="49"/>
      <c r="F570" s="49"/>
      <c r="H570" s="49"/>
    </row>
    <row r="571" spans="1:8" ht="15.75" customHeight="1" x14ac:dyDescent="0.25">
      <c r="A571" s="13" t="str">
        <f ca="1">IFERROR(__xludf.DUMMYFUNCTION("""COMPUTED_VALUE"""),"c_ch4_lim0_manual")</f>
        <v>c_ch4_lim0_manual</v>
      </c>
      <c r="B571" s="13" t="str">
        <f ca="1">IFERROR(__xludf.DUMMYFUNCTION("""COMPUTED_VALUE"""),"ДЗ концентрации метана ручное")</f>
        <v>ДЗ концентрации метана ручное</v>
      </c>
      <c r="D571" s="49"/>
      <c r="F571" s="49"/>
      <c r="H571" s="49"/>
    </row>
    <row r="572" spans="1:8" ht="15.75" customHeight="1" x14ac:dyDescent="0.25">
      <c r="A572" s="13" t="str">
        <f ca="1">IFERROR(__xludf.DUMMYFUNCTION("""COMPUTED_VALUE"""),"c_ch4_lim1")</f>
        <v>c_ch4_lim1</v>
      </c>
      <c r="B572" s="13" t="str">
        <f ca="1">IFERROR(__xludf.DUMMYFUNCTION("""COMPUTED_VALUE"""),"ПДЗ концентрации метана")</f>
        <v>ПДЗ концентрации метана</v>
      </c>
      <c r="D572" s="49"/>
      <c r="F572" s="49"/>
      <c r="H572" s="49"/>
    </row>
    <row r="573" spans="1:8" ht="15.75" customHeight="1" x14ac:dyDescent="0.25">
      <c r="A573" s="13" t="str">
        <f ca="1">IFERROR(__xludf.DUMMYFUNCTION("""COMPUTED_VALUE"""),"c_ch4_lim1_manual")</f>
        <v>c_ch4_lim1_manual</v>
      </c>
      <c r="B573" s="13" t="str">
        <f ca="1">IFERROR(__xludf.DUMMYFUNCTION("""COMPUTED_VALUE"""),"ПДЗ концентрации метана ручное")</f>
        <v>ПДЗ концентрации метана ручное</v>
      </c>
      <c r="D573" s="49"/>
      <c r="F573" s="49"/>
      <c r="H573" s="49"/>
    </row>
    <row r="574" spans="1:8" ht="15.75" customHeight="1" x14ac:dyDescent="0.25">
      <c r="A574" s="13" t="str">
        <f ca="1">IFERROR(__xludf.DUMMYFUNCTION("""COMPUTED_VALUE"""),"c_ch4_oe_lim0")</f>
        <v>c_ch4_oe_lim0</v>
      </c>
      <c r="B574" s="13" t="str">
        <f ca="1">IFERROR(__xludf.DUMMYFUNCTION("""COMPUTED_VALUE"""),"Концентрация метана относительно ДЗ")</f>
        <v>Концентрация метана относительно ДЗ</v>
      </c>
      <c r="D574" s="49"/>
      <c r="F574" s="49"/>
      <c r="H574" s="49"/>
    </row>
    <row r="575" spans="1:8" ht="15.75" customHeight="1" x14ac:dyDescent="0.25">
      <c r="A575" s="13" t="str">
        <f ca="1">IFERROR(__xludf.DUMMYFUNCTION("""COMPUTED_VALUE"""),"c_ch4_oe_lim1")</f>
        <v>c_ch4_oe_lim1</v>
      </c>
      <c r="B575" s="13" t="str">
        <f ca="1">IFERROR(__xludf.DUMMYFUNCTION("""COMPUTED_VALUE"""),"Концентрация метана относительно ПДЗ")</f>
        <v>Концентрация метана относительно ПДЗ</v>
      </c>
      <c r="D575" s="49"/>
      <c r="F575" s="49"/>
      <c r="H575" s="49"/>
    </row>
    <row r="576" spans="1:8" ht="15.75" customHeight="1" x14ac:dyDescent="0.25">
      <c r="A576" s="13" t="str">
        <f ca="1">IFERROR(__xludf.DUMMYFUNCTION("""COMPUTED_VALUE"""),"c_ch4_offline")</f>
        <v>c_ch4_offline</v>
      </c>
      <c r="B576" s="13" t="str">
        <f ca="1">IFERROR(__xludf.DUMMYFUNCTION("""COMPUTED_VALUE"""),"Концентрация метана (офлайн)")</f>
        <v>Концентрация метана (офлайн)</v>
      </c>
      <c r="D576" s="49"/>
      <c r="F576" s="49"/>
      <c r="H576" s="49"/>
    </row>
    <row r="577" spans="1:8" ht="15.75" customHeight="1" x14ac:dyDescent="0.25">
      <c r="A577" s="13" t="str">
        <f ca="1">IFERROR(__xludf.DUMMYFUNCTION("""COMPUTED_VALUE"""),"c_ch4_roc_abs_day")</f>
        <v>c_ch4_roc_abs_day</v>
      </c>
      <c r="B577" s="13" t="str">
        <f ca="1">IFERROR(__xludf.DUMMYFUNCTION("""COMPUTED_VALUE"""),"Скорость роста концентрации метана абсолютная, сутки")</f>
        <v>Скорость роста концентрации метана абсолютная, сутки</v>
      </c>
      <c r="D577" s="49"/>
      <c r="F577" s="49"/>
      <c r="H577" s="49"/>
    </row>
    <row r="578" spans="1:8" ht="15.75" customHeight="1" x14ac:dyDescent="0.25">
      <c r="A578" s="13" t="str">
        <f ca="1">IFERROR(__xludf.DUMMYFUNCTION("""COMPUTED_VALUE"""),"c_ch4_roc_abs_day_lim0")</f>
        <v>c_ch4_roc_abs_day_lim0</v>
      </c>
      <c r="B578" s="13" t="str">
        <f ca="1">IFERROR(__xludf.DUMMYFUNCTION("""COMPUTED_VALUE"""),"ДЗ скорости роста концентрации метана абсолютной, сутки")</f>
        <v>ДЗ скорости роста концентрации метана абсолютной, сутки</v>
      </c>
      <c r="D578" s="49"/>
      <c r="F578" s="49"/>
      <c r="H578" s="49"/>
    </row>
    <row r="579" spans="1:8" ht="15.75" customHeight="1" x14ac:dyDescent="0.25">
      <c r="A579" s="13" t="str">
        <f ca="1">IFERROR(__xludf.DUMMYFUNCTION("""COMPUTED_VALUE"""),"c_ch4_roc_abs_day_lim0_manual")</f>
        <v>c_ch4_roc_abs_day_lim0_manual</v>
      </c>
      <c r="B579" s="13" t="str">
        <f ca="1">IFERROR(__xludf.DUMMYFUNCTION("""COMPUTED_VALUE"""),"ДЗ скорости роста концентрации метана абсолютной, сутки, ручное")</f>
        <v>ДЗ скорости роста концентрации метана абсолютной, сутки, ручное</v>
      </c>
      <c r="D579" s="49"/>
      <c r="F579" s="49"/>
      <c r="H579" s="49"/>
    </row>
    <row r="580" spans="1:8" ht="15.75" customHeight="1" x14ac:dyDescent="0.25">
      <c r="A580" s="13" t="str">
        <f ca="1">IFERROR(__xludf.DUMMYFUNCTION("""COMPUTED_VALUE"""),"c_ch4_roc_abs_day_lim1")</f>
        <v>c_ch4_roc_abs_day_lim1</v>
      </c>
      <c r="B580" s="13" t="str">
        <f ca="1">IFERROR(__xludf.DUMMYFUNCTION("""COMPUTED_VALUE"""),"ПДЗ скорости роста концентрации метана абсолютной, сутки")</f>
        <v>ПДЗ скорости роста концентрации метана абсолютной, сутки</v>
      </c>
      <c r="D580" s="49"/>
      <c r="F580" s="49"/>
      <c r="H580" s="49"/>
    </row>
    <row r="581" spans="1:8" ht="15.75" customHeight="1" x14ac:dyDescent="0.25">
      <c r="A581" s="13" t="str">
        <f ca="1">IFERROR(__xludf.DUMMYFUNCTION("""COMPUTED_VALUE"""),"c_ch4_roc_abs_day_lim1_manual")</f>
        <v>c_ch4_roc_abs_day_lim1_manual</v>
      </c>
      <c r="B581" s="13" t="str">
        <f ca="1">IFERROR(__xludf.DUMMYFUNCTION("""COMPUTED_VALUE"""),"ПДЗ скорости роста концентрации метана абсолютной, сутки, ручное")</f>
        <v>ПДЗ скорости роста концентрации метана абсолютной, сутки, ручное</v>
      </c>
      <c r="D581" s="49"/>
      <c r="F581" s="49"/>
      <c r="H581" s="49"/>
    </row>
    <row r="582" spans="1:8" ht="15.75" customHeight="1" x14ac:dyDescent="0.25">
      <c r="A582" s="13" t="str">
        <f ca="1">IFERROR(__xludf.DUMMYFUNCTION("""COMPUTED_VALUE"""),"c_ch4_roc_abs_month")</f>
        <v>c_ch4_roc_abs_month</v>
      </c>
      <c r="B582" s="13" t="str">
        <f ca="1">IFERROR(__xludf.DUMMYFUNCTION("""COMPUTED_VALUE"""),"Скорость роста концентрации метана абсолютная, месяц")</f>
        <v>Скорость роста концентрации метана абсолютная, месяц</v>
      </c>
      <c r="D582" s="49"/>
      <c r="F582" s="49"/>
      <c r="H582" s="49"/>
    </row>
    <row r="583" spans="1:8" ht="15.75" customHeight="1" x14ac:dyDescent="0.25">
      <c r="A583" s="13" t="str">
        <f ca="1">IFERROR(__xludf.DUMMYFUNCTION("""COMPUTED_VALUE"""),"c_ch4_roc_abs_month_lim0")</f>
        <v>c_ch4_roc_abs_month_lim0</v>
      </c>
      <c r="B583" s="13" t="str">
        <f ca="1">IFERROR(__xludf.DUMMYFUNCTION("""COMPUTED_VALUE"""),"ДЗ скорости роста концентрации метана абсолютной, месяц")</f>
        <v>ДЗ скорости роста концентрации метана абсолютной, месяц</v>
      </c>
      <c r="D583" s="49"/>
      <c r="F583" s="49"/>
      <c r="H583" s="49"/>
    </row>
    <row r="584" spans="1:8" ht="15.75" customHeight="1" x14ac:dyDescent="0.25">
      <c r="A584" s="13" t="str">
        <f ca="1">IFERROR(__xludf.DUMMYFUNCTION("""COMPUTED_VALUE"""),"c_ch4_roc_abs_month_lim0_manual")</f>
        <v>c_ch4_roc_abs_month_lim0_manual</v>
      </c>
      <c r="B584" s="13" t="str">
        <f ca="1">IFERROR(__xludf.DUMMYFUNCTION("""COMPUTED_VALUE"""),"ДЗ скорости роста концентрации метана абсолютной, месяц, ручное")</f>
        <v>ДЗ скорости роста концентрации метана абсолютной, месяц, ручное</v>
      </c>
      <c r="D584" s="49"/>
      <c r="F584" s="49"/>
      <c r="H584" s="49"/>
    </row>
    <row r="585" spans="1:8" ht="15.75" customHeight="1" x14ac:dyDescent="0.25">
      <c r="A585" s="13" t="str">
        <f ca="1">IFERROR(__xludf.DUMMYFUNCTION("""COMPUTED_VALUE"""),"c_ch4_roc_abs_month_lim1")</f>
        <v>c_ch4_roc_abs_month_lim1</v>
      </c>
      <c r="B585" s="13" t="str">
        <f ca="1">IFERROR(__xludf.DUMMYFUNCTION("""COMPUTED_VALUE"""),"ПДЗ скорости роста концентрации метана абсолютной, месяц")</f>
        <v>ПДЗ скорости роста концентрации метана абсолютной, месяц</v>
      </c>
      <c r="D585" s="49"/>
      <c r="F585" s="49"/>
      <c r="H585" s="49"/>
    </row>
    <row r="586" spans="1:8" ht="15.75" customHeight="1" x14ac:dyDescent="0.25">
      <c r="A586" s="13" t="str">
        <f ca="1">IFERROR(__xludf.DUMMYFUNCTION("""COMPUTED_VALUE"""),"c_ch4_roc_abs_month_lim1_manual")</f>
        <v>c_ch4_roc_abs_month_lim1_manual</v>
      </c>
      <c r="B586" s="13" t="str">
        <f ca="1">IFERROR(__xludf.DUMMYFUNCTION("""COMPUTED_VALUE"""),"ПДЗ скорости роста концентрации метана абсолютной, месяц, ручное")</f>
        <v>ПДЗ скорости роста концентрации метана абсолютной, месяц, ручное</v>
      </c>
      <c r="D586" s="49"/>
      <c r="F586" s="49"/>
      <c r="H586" s="49"/>
    </row>
    <row r="587" spans="1:8" ht="15.75" customHeight="1" x14ac:dyDescent="0.25">
      <c r="A587" s="13" t="str">
        <f ca="1">IFERROR(__xludf.DUMMYFUNCTION("""COMPUTED_VALUE"""),"c_ch4_roc_abs_week")</f>
        <v>c_ch4_roc_abs_week</v>
      </c>
      <c r="B587" s="13" t="str">
        <f ca="1">IFERROR(__xludf.DUMMYFUNCTION("""COMPUTED_VALUE"""),"Скорость роста концентрации метана абсолютная, неделя")</f>
        <v>Скорость роста концентрации метана абсолютная, неделя</v>
      </c>
      <c r="D587" s="49"/>
      <c r="F587" s="49"/>
      <c r="H587" s="49"/>
    </row>
    <row r="588" spans="1:8" ht="15.75" customHeight="1" x14ac:dyDescent="0.25">
      <c r="A588" s="13" t="str">
        <f ca="1">IFERROR(__xludf.DUMMYFUNCTION("""COMPUTED_VALUE"""),"c_ch4_roc_abs_week_lim0")</f>
        <v>c_ch4_roc_abs_week_lim0</v>
      </c>
      <c r="B588" s="13" t="str">
        <f ca="1">IFERROR(__xludf.DUMMYFUNCTION("""COMPUTED_VALUE"""),"ДЗ скорости роста концентрации метана абсолютной, неделя")</f>
        <v>ДЗ скорости роста концентрации метана абсолютной, неделя</v>
      </c>
      <c r="D588" s="49"/>
      <c r="F588" s="49"/>
      <c r="H588" s="49"/>
    </row>
    <row r="589" spans="1:8" ht="15.75" customHeight="1" x14ac:dyDescent="0.25">
      <c r="A589" s="13" t="str">
        <f ca="1">IFERROR(__xludf.DUMMYFUNCTION("""COMPUTED_VALUE"""),"c_ch4_roc_abs_week_lim0_manual")</f>
        <v>c_ch4_roc_abs_week_lim0_manual</v>
      </c>
      <c r="B589" s="13" t="str">
        <f ca="1">IFERROR(__xludf.DUMMYFUNCTION("""COMPUTED_VALUE"""),"ДЗ скорости роста концентрации метана абсолютной, неделя, ручное")</f>
        <v>ДЗ скорости роста концентрации метана абсолютной, неделя, ручное</v>
      </c>
      <c r="D589" s="49"/>
      <c r="F589" s="49"/>
      <c r="H589" s="49"/>
    </row>
    <row r="590" spans="1:8" ht="15.75" customHeight="1" x14ac:dyDescent="0.25">
      <c r="A590" s="13" t="str">
        <f ca="1">IFERROR(__xludf.DUMMYFUNCTION("""COMPUTED_VALUE"""),"c_ch4_roc_abs_week_lim1")</f>
        <v>c_ch4_roc_abs_week_lim1</v>
      </c>
      <c r="B590" s="13" t="str">
        <f ca="1">IFERROR(__xludf.DUMMYFUNCTION("""COMPUTED_VALUE"""),"ПДЗ скорости роста концентрации метана абсолютной, неделя")</f>
        <v>ПДЗ скорости роста концентрации метана абсолютной, неделя</v>
      </c>
      <c r="D590" s="49"/>
      <c r="F590" s="49"/>
      <c r="H590" s="49"/>
    </row>
    <row r="591" spans="1:8" ht="15.75" customHeight="1" x14ac:dyDescent="0.25">
      <c r="A591" s="13" t="str">
        <f ca="1">IFERROR(__xludf.DUMMYFUNCTION("""COMPUTED_VALUE"""),"c_ch4_roc_abs_week_lim1_manual")</f>
        <v>c_ch4_roc_abs_week_lim1_manual</v>
      </c>
      <c r="B591" s="13" t="str">
        <f ca="1">IFERROR(__xludf.DUMMYFUNCTION("""COMPUTED_VALUE"""),"ПДЗ скорости роста концентрации метана абсолютной, неделя, ручное")</f>
        <v>ПДЗ скорости роста концентрации метана абсолютной, неделя, ручное</v>
      </c>
      <c r="D591" s="49"/>
      <c r="F591" s="49"/>
      <c r="H591" s="49"/>
    </row>
    <row r="592" spans="1:8" ht="15.75" customHeight="1" x14ac:dyDescent="0.25">
      <c r="A592" s="13" t="str">
        <f ca="1">IFERROR(__xludf.DUMMYFUNCTION("""COMPUTED_VALUE"""),"c_ch4_roc_abs_year")</f>
        <v>c_ch4_roc_abs_year</v>
      </c>
      <c r="B592" s="13" t="str">
        <f ca="1">IFERROR(__xludf.DUMMYFUNCTION("""COMPUTED_VALUE"""),"Скорость роста концентрации метана абсолютная, год")</f>
        <v>Скорость роста концентрации метана абсолютная, год</v>
      </c>
      <c r="D592" s="49"/>
      <c r="F592" s="49"/>
      <c r="H592" s="49"/>
    </row>
    <row r="593" spans="1:8" ht="15.75" customHeight="1" x14ac:dyDescent="0.25">
      <c r="A593" s="13" t="str">
        <f ca="1">IFERROR(__xludf.DUMMYFUNCTION("""COMPUTED_VALUE"""),"c_ch4_roc_abs_year_lim0")</f>
        <v>c_ch4_roc_abs_year_lim0</v>
      </c>
      <c r="B593" s="13" t="str">
        <f ca="1">IFERROR(__xludf.DUMMYFUNCTION("""COMPUTED_VALUE"""),"ДЗ скорости роста концентрации метана абсолютной, год")</f>
        <v>ДЗ скорости роста концентрации метана абсолютной, год</v>
      </c>
      <c r="D593" s="49"/>
      <c r="F593" s="49"/>
      <c r="H593" s="49"/>
    </row>
    <row r="594" spans="1:8" ht="15.75" customHeight="1" x14ac:dyDescent="0.25">
      <c r="A594" s="13" t="str">
        <f ca="1">IFERROR(__xludf.DUMMYFUNCTION("""COMPUTED_VALUE"""),"c_ch4_roc_abs_year_lim0_manual")</f>
        <v>c_ch4_roc_abs_year_lim0_manual</v>
      </c>
      <c r="B594" s="13" t="str">
        <f ca="1">IFERROR(__xludf.DUMMYFUNCTION("""COMPUTED_VALUE"""),"ДЗ скорости роста концентрации метана абсолютной, год, ручное")</f>
        <v>ДЗ скорости роста концентрации метана абсолютной, год, ручное</v>
      </c>
      <c r="D594" s="49"/>
      <c r="F594" s="49"/>
      <c r="H594" s="49"/>
    </row>
    <row r="595" spans="1:8" ht="15.75" customHeight="1" x14ac:dyDescent="0.25">
      <c r="A595" s="13" t="str">
        <f ca="1">IFERROR(__xludf.DUMMYFUNCTION("""COMPUTED_VALUE"""),"c_ch4_roc_abs_year_lim1")</f>
        <v>c_ch4_roc_abs_year_lim1</v>
      </c>
      <c r="B595" s="13" t="str">
        <f ca="1">IFERROR(__xludf.DUMMYFUNCTION("""COMPUTED_VALUE"""),"ПДЗ скорости роста концентрации метана абсолютной, год")</f>
        <v>ПДЗ скорости роста концентрации метана абсолютной, год</v>
      </c>
      <c r="D595" s="49"/>
      <c r="F595" s="49"/>
      <c r="H595" s="49"/>
    </row>
    <row r="596" spans="1:8" ht="15.75" customHeight="1" x14ac:dyDescent="0.25">
      <c r="A596" s="13" t="str">
        <f ca="1">IFERROR(__xludf.DUMMYFUNCTION("""COMPUTED_VALUE"""),"c_ch4_roc_abs_year_lim1_manual")</f>
        <v>c_ch4_roc_abs_year_lim1_manual</v>
      </c>
      <c r="B596" s="13" t="str">
        <f ca="1">IFERROR(__xludf.DUMMYFUNCTION("""COMPUTED_VALUE"""),"ПДЗ скорости роста концентрации метана абсолютной, год, ручное")</f>
        <v>ПДЗ скорости роста концентрации метана абсолютной, год, ручное</v>
      </c>
      <c r="D596" s="49"/>
      <c r="F596" s="49"/>
      <c r="H596" s="49"/>
    </row>
    <row r="597" spans="1:8" ht="15.75" customHeight="1" x14ac:dyDescent="0.25">
      <c r="A597" s="13" t="str">
        <f ca="1">IFERROR(__xludf.DUMMYFUNCTION("""COMPUTED_VALUE"""),"c_ch4_roc_rel_day")</f>
        <v>c_ch4_roc_rel_day</v>
      </c>
      <c r="B597" s="13" t="str">
        <f ca="1">IFERROR(__xludf.DUMMYFUNCTION("""COMPUTED_VALUE"""),"Скорость роста концентрации метана относительная, сутки")</f>
        <v>Скорость роста концентрации метана относительная, сутки</v>
      </c>
      <c r="D597" s="49"/>
      <c r="F597" s="49"/>
      <c r="H597" s="49"/>
    </row>
    <row r="598" spans="1:8" ht="15.75" customHeight="1" x14ac:dyDescent="0.25">
      <c r="A598" s="13" t="str">
        <f ca="1">IFERROR(__xludf.DUMMYFUNCTION("""COMPUTED_VALUE"""),"c_ch4_roc_rel_day_lim0")</f>
        <v>c_ch4_roc_rel_day_lim0</v>
      </c>
      <c r="B598" s="13" t="str">
        <f ca="1">IFERROR(__xludf.DUMMYFUNCTION("""COMPUTED_VALUE"""),"ДЗ скорости роста концентрации метана относительной, сутки")</f>
        <v>ДЗ скорости роста концентрации метана относительной, сутки</v>
      </c>
      <c r="D598" s="49"/>
      <c r="F598" s="49"/>
      <c r="H598" s="49"/>
    </row>
    <row r="599" spans="1:8" ht="15.75" customHeight="1" x14ac:dyDescent="0.25">
      <c r="A599" s="13" t="str">
        <f ca="1">IFERROR(__xludf.DUMMYFUNCTION("""COMPUTED_VALUE"""),"c_ch4_roc_rel_day_lim0_manual")</f>
        <v>c_ch4_roc_rel_day_lim0_manual</v>
      </c>
      <c r="B599" s="13" t="str">
        <f ca="1">IFERROR(__xludf.DUMMYFUNCTION("""COMPUTED_VALUE"""),"ДЗ скорости роста концентрации метана относительной, сутки, ручное")</f>
        <v>ДЗ скорости роста концентрации метана относительной, сутки, ручное</v>
      </c>
      <c r="D599" s="49"/>
      <c r="F599" s="49"/>
      <c r="H599" s="49"/>
    </row>
    <row r="600" spans="1:8" ht="15.75" customHeight="1" x14ac:dyDescent="0.25">
      <c r="A600" s="13" t="str">
        <f ca="1">IFERROR(__xludf.DUMMYFUNCTION("""COMPUTED_VALUE"""),"c_ch4_roc_rel_day_lim1")</f>
        <v>c_ch4_roc_rel_day_lim1</v>
      </c>
      <c r="B600" s="13" t="str">
        <f ca="1">IFERROR(__xludf.DUMMYFUNCTION("""COMPUTED_VALUE"""),"ПДЗ скорости роста концентрации метана относительной, сутки")</f>
        <v>ПДЗ скорости роста концентрации метана относительной, сутки</v>
      </c>
      <c r="D600" s="49"/>
      <c r="F600" s="49"/>
      <c r="H600" s="49"/>
    </row>
    <row r="601" spans="1:8" ht="15.75" customHeight="1" x14ac:dyDescent="0.25">
      <c r="A601" s="13" t="str">
        <f ca="1">IFERROR(__xludf.DUMMYFUNCTION("""COMPUTED_VALUE"""),"c_ch4_roc_rel_day_lim1_manual")</f>
        <v>c_ch4_roc_rel_day_lim1_manual</v>
      </c>
      <c r="B601" s="13" t="str">
        <f ca="1">IFERROR(__xludf.DUMMYFUNCTION("""COMPUTED_VALUE"""),"ПДЗ скорости роста концентрации метана относительной, сутки, ручное")</f>
        <v>ПДЗ скорости роста концентрации метана относительной, сутки, ручное</v>
      </c>
      <c r="D601" s="49"/>
      <c r="F601" s="49"/>
      <c r="H601" s="49"/>
    </row>
    <row r="602" spans="1:8" ht="15.75" customHeight="1" x14ac:dyDescent="0.25">
      <c r="A602" s="13" t="str">
        <f ca="1">IFERROR(__xludf.DUMMYFUNCTION("""COMPUTED_VALUE"""),"c_ch4_roc_rel_month")</f>
        <v>c_ch4_roc_rel_month</v>
      </c>
      <c r="B602" s="13" t="str">
        <f ca="1">IFERROR(__xludf.DUMMYFUNCTION("""COMPUTED_VALUE"""),"Скорость роста концентрации метана относительная, месяц")</f>
        <v>Скорость роста концентрации метана относительная, месяц</v>
      </c>
      <c r="D602" s="49"/>
      <c r="F602" s="49"/>
      <c r="H602" s="49"/>
    </row>
    <row r="603" spans="1:8" ht="15.75" customHeight="1" x14ac:dyDescent="0.25">
      <c r="A603" s="13" t="str">
        <f ca="1">IFERROR(__xludf.DUMMYFUNCTION("""COMPUTED_VALUE"""),"c_ch4_roc_rel_month_lim0")</f>
        <v>c_ch4_roc_rel_month_lim0</v>
      </c>
      <c r="B603" s="13" t="str">
        <f ca="1">IFERROR(__xludf.DUMMYFUNCTION("""COMPUTED_VALUE"""),"ДЗ скорости роста концентрации метана относительной, месяц")</f>
        <v>ДЗ скорости роста концентрации метана относительной, месяц</v>
      </c>
      <c r="D603" s="49"/>
      <c r="F603" s="49"/>
      <c r="H603" s="49"/>
    </row>
    <row r="604" spans="1:8" ht="15.75" customHeight="1" x14ac:dyDescent="0.25">
      <c r="A604" s="13" t="str">
        <f ca="1">IFERROR(__xludf.DUMMYFUNCTION("""COMPUTED_VALUE"""),"c_ch4_roc_rel_month_lim0_manual")</f>
        <v>c_ch4_roc_rel_month_lim0_manual</v>
      </c>
      <c r="B604" s="13" t="str">
        <f ca="1">IFERROR(__xludf.DUMMYFUNCTION("""COMPUTED_VALUE"""),"ДЗ скорости роста концентрации метана относительной, месяц, ручное")</f>
        <v>ДЗ скорости роста концентрации метана относительной, месяц, ручное</v>
      </c>
      <c r="D604" s="49"/>
      <c r="F604" s="49"/>
      <c r="H604" s="49"/>
    </row>
    <row r="605" spans="1:8" ht="15.75" customHeight="1" x14ac:dyDescent="0.25">
      <c r="A605" s="13" t="str">
        <f ca="1">IFERROR(__xludf.DUMMYFUNCTION("""COMPUTED_VALUE"""),"c_ch4_roc_rel_month_lim1")</f>
        <v>c_ch4_roc_rel_month_lim1</v>
      </c>
      <c r="B605" s="13" t="str">
        <f ca="1">IFERROR(__xludf.DUMMYFUNCTION("""COMPUTED_VALUE"""),"ПДЗ скорости роста концентрации метана относительной, месяц")</f>
        <v>ПДЗ скорости роста концентрации метана относительной, месяц</v>
      </c>
      <c r="D605" s="49"/>
      <c r="F605" s="49"/>
      <c r="H605" s="49"/>
    </row>
    <row r="606" spans="1:8" ht="15.75" customHeight="1" x14ac:dyDescent="0.25">
      <c r="A606" s="13" t="str">
        <f ca="1">IFERROR(__xludf.DUMMYFUNCTION("""COMPUTED_VALUE"""),"c_ch4_roc_rel_month_lim1_manual")</f>
        <v>c_ch4_roc_rel_month_lim1_manual</v>
      </c>
      <c r="B606" s="13" t="str">
        <f ca="1">IFERROR(__xludf.DUMMYFUNCTION("""COMPUTED_VALUE"""),"ПДЗ скорости роста концентрации метана относительной, месяц, ручное")</f>
        <v>ПДЗ скорости роста концентрации метана относительной, месяц, ручное</v>
      </c>
      <c r="D606" s="49"/>
      <c r="F606" s="49"/>
      <c r="H606" s="49"/>
    </row>
    <row r="607" spans="1:8" ht="15.75" customHeight="1" x14ac:dyDescent="0.25">
      <c r="A607" s="13" t="str">
        <f ca="1">IFERROR(__xludf.DUMMYFUNCTION("""COMPUTED_VALUE"""),"c_ch4_roc_rel_week")</f>
        <v>c_ch4_roc_rel_week</v>
      </c>
      <c r="B607" s="13" t="str">
        <f ca="1">IFERROR(__xludf.DUMMYFUNCTION("""COMPUTED_VALUE"""),"Скорость роста концентрации метана относительная, неделя")</f>
        <v>Скорость роста концентрации метана относительная, неделя</v>
      </c>
      <c r="D607" s="49"/>
      <c r="F607" s="49"/>
      <c r="H607" s="49"/>
    </row>
    <row r="608" spans="1:8" ht="15.75" customHeight="1" x14ac:dyDescent="0.25">
      <c r="A608" s="13" t="str">
        <f ca="1">IFERROR(__xludf.DUMMYFUNCTION("""COMPUTED_VALUE"""),"c_ch4_roc_rel_week_lim0")</f>
        <v>c_ch4_roc_rel_week_lim0</v>
      </c>
      <c r="B608" s="13" t="str">
        <f ca="1">IFERROR(__xludf.DUMMYFUNCTION("""COMPUTED_VALUE"""),"ДЗ скорости роста концентрации метана относительной, неделя")</f>
        <v>ДЗ скорости роста концентрации метана относительной, неделя</v>
      </c>
      <c r="D608" s="49"/>
      <c r="F608" s="49"/>
      <c r="H608" s="49"/>
    </row>
    <row r="609" spans="1:8" ht="15.75" customHeight="1" x14ac:dyDescent="0.25">
      <c r="A609" s="13" t="str">
        <f ca="1">IFERROR(__xludf.DUMMYFUNCTION("""COMPUTED_VALUE"""),"c_ch4_roc_rel_week_lim0_manual")</f>
        <v>c_ch4_roc_rel_week_lim0_manual</v>
      </c>
      <c r="B609" s="13" t="str">
        <f ca="1">IFERROR(__xludf.DUMMYFUNCTION("""COMPUTED_VALUE"""),"ДЗ скорости роста концентрации метана относительной, неделя, ручное")</f>
        <v>ДЗ скорости роста концентрации метана относительной, неделя, ручное</v>
      </c>
      <c r="D609" s="49"/>
      <c r="F609" s="49"/>
      <c r="H609" s="49"/>
    </row>
    <row r="610" spans="1:8" ht="15.75" customHeight="1" x14ac:dyDescent="0.25">
      <c r="A610" s="13" t="str">
        <f ca="1">IFERROR(__xludf.DUMMYFUNCTION("""COMPUTED_VALUE"""),"c_ch4_roc_rel_week_lim1")</f>
        <v>c_ch4_roc_rel_week_lim1</v>
      </c>
      <c r="B610" s="13" t="str">
        <f ca="1">IFERROR(__xludf.DUMMYFUNCTION("""COMPUTED_VALUE"""),"ПДЗ скорости роста концентрации метана относительной, неделя")</f>
        <v>ПДЗ скорости роста концентрации метана относительной, неделя</v>
      </c>
      <c r="D610" s="49"/>
      <c r="F610" s="49"/>
      <c r="H610" s="49"/>
    </row>
    <row r="611" spans="1:8" ht="15.75" customHeight="1" x14ac:dyDescent="0.25">
      <c r="A611" s="13" t="str">
        <f ca="1">IFERROR(__xludf.DUMMYFUNCTION("""COMPUTED_VALUE"""),"c_ch4_roc_rel_week_lim1_manual")</f>
        <v>c_ch4_roc_rel_week_lim1_manual</v>
      </c>
      <c r="B611" s="13" t="str">
        <f ca="1">IFERROR(__xludf.DUMMYFUNCTION("""COMPUTED_VALUE"""),"ПДЗ скорости роста концентрации метана относительной, неделя, ручное")</f>
        <v>ПДЗ скорости роста концентрации метана относительной, неделя, ручное</v>
      </c>
      <c r="D611" s="49"/>
      <c r="F611" s="49"/>
      <c r="H611" s="49"/>
    </row>
    <row r="612" spans="1:8" ht="15.75" customHeight="1" x14ac:dyDescent="0.25">
      <c r="A612" s="13" t="str">
        <f ca="1">IFERROR(__xludf.DUMMYFUNCTION("""COMPUTED_VALUE"""),"c_ch4_roc_rel_year")</f>
        <v>c_ch4_roc_rel_year</v>
      </c>
      <c r="B612" s="13" t="str">
        <f ca="1">IFERROR(__xludf.DUMMYFUNCTION("""COMPUTED_VALUE"""),"Скорость роста концентрации метана относительная, год")</f>
        <v>Скорость роста концентрации метана относительная, год</v>
      </c>
      <c r="D612" s="49"/>
      <c r="F612" s="49"/>
      <c r="H612" s="49"/>
    </row>
    <row r="613" spans="1:8" ht="15.75" customHeight="1" x14ac:dyDescent="0.25">
      <c r="A613" s="13" t="str">
        <f ca="1">IFERROR(__xludf.DUMMYFUNCTION("""COMPUTED_VALUE"""),"c_ch4_roc_rel_year_lim0")</f>
        <v>c_ch4_roc_rel_year_lim0</v>
      </c>
      <c r="B613" s="13" t="str">
        <f ca="1">IFERROR(__xludf.DUMMYFUNCTION("""COMPUTED_VALUE"""),"ДЗ скорости роста концентрации метана относительной, год")</f>
        <v>ДЗ скорости роста концентрации метана относительной, год</v>
      </c>
      <c r="D613" s="49"/>
      <c r="F613" s="49"/>
      <c r="H613" s="49"/>
    </row>
    <row r="614" spans="1:8" ht="15.75" customHeight="1" x14ac:dyDescent="0.25">
      <c r="A614" s="13" t="str">
        <f ca="1">IFERROR(__xludf.DUMMYFUNCTION("""COMPUTED_VALUE"""),"c_ch4_roc_rel_year_lim0_manual")</f>
        <v>c_ch4_roc_rel_year_lim0_manual</v>
      </c>
      <c r="B614" s="13" t="str">
        <f ca="1">IFERROR(__xludf.DUMMYFUNCTION("""COMPUTED_VALUE"""),"ДЗ скорости роста концентрации метана относительной, год, ручное")</f>
        <v>ДЗ скорости роста концентрации метана относительной, год, ручное</v>
      </c>
      <c r="D614" s="49"/>
      <c r="F614" s="49"/>
      <c r="H614" s="49"/>
    </row>
    <row r="615" spans="1:8" ht="15.75" customHeight="1" x14ac:dyDescent="0.25">
      <c r="A615" s="13" t="str">
        <f ca="1">IFERROR(__xludf.DUMMYFUNCTION("""COMPUTED_VALUE"""),"c_ch4_roc_rel_year_lim1")</f>
        <v>c_ch4_roc_rel_year_lim1</v>
      </c>
      <c r="B615" s="13" t="str">
        <f ca="1">IFERROR(__xludf.DUMMYFUNCTION("""COMPUTED_VALUE"""),"ПДЗ скорости роста концентрации метана относительной, год")</f>
        <v>ПДЗ скорости роста концентрации метана относительной, год</v>
      </c>
      <c r="D615" s="49"/>
      <c r="F615" s="49"/>
      <c r="H615" s="49"/>
    </row>
    <row r="616" spans="1:8" ht="15.75" customHeight="1" x14ac:dyDescent="0.25">
      <c r="A616" s="13" t="str">
        <f ca="1">IFERROR(__xludf.DUMMYFUNCTION("""COMPUTED_VALUE"""),"c_ch4_roc_rel_year_lim1_manual")</f>
        <v>c_ch4_roc_rel_year_lim1_manual</v>
      </c>
      <c r="B616" s="13" t="str">
        <f ca="1">IFERROR(__xludf.DUMMYFUNCTION("""COMPUTED_VALUE"""),"ПДЗ скорости роста концентрации метана относительной, год, ручное")</f>
        <v>ПДЗ скорости роста концентрации метана относительной, год, ручное</v>
      </c>
      <c r="D616" s="49"/>
      <c r="F616" s="49"/>
      <c r="H616" s="49"/>
    </row>
    <row r="617" spans="1:8" ht="15.75" customHeight="1" x14ac:dyDescent="0.25">
      <c r="A617" s="13" t="str">
        <f ca="1">IFERROR(__xludf.DUMMYFUNCTION("""COMPUTED_VALUE"""),"c_co")</f>
        <v>c_co</v>
      </c>
      <c r="B617" s="13" t="str">
        <f ca="1">IFERROR(__xludf.DUMMYFUNCTION("""COMPUTED_VALUE"""),"Концентрация оксида углерода")</f>
        <v>Концентрация оксида углерода</v>
      </c>
      <c r="D617" s="49"/>
      <c r="F617" s="49"/>
      <c r="H617" s="49"/>
    </row>
    <row r="618" spans="1:8" ht="15.75" customHeight="1" x14ac:dyDescent="0.25">
      <c r="A618" s="13" t="str">
        <f ca="1">IFERROR(__xludf.DUMMYFUNCTION("""COMPUTED_VALUE"""),"c_co_avg")</f>
        <v>c_co_avg</v>
      </c>
      <c r="B618" s="13" t="str">
        <f ca="1">IFERROR(__xludf.DUMMYFUNCTION("""COMPUTED_VALUE"""),"Среднее часовое значение концентрации оксида углерода")</f>
        <v>Среднее часовое значение концентрации оксида углерода</v>
      </c>
      <c r="D618" s="49"/>
      <c r="F618" s="49"/>
      <c r="H618" s="49"/>
    </row>
    <row r="619" spans="1:8" ht="15.75" customHeight="1" x14ac:dyDescent="0.25">
      <c r="A619" s="13" t="str">
        <f ca="1">IFERROR(__xludf.DUMMYFUNCTION("""COMPUTED_VALUE"""),"c_co_forecast")</f>
        <v>c_co_forecast</v>
      </c>
      <c r="B619" s="13" t="str">
        <f ca="1">IFERROR(__xludf.DUMMYFUNCTION("""COMPUTED_VALUE"""),"Прогноз развития концентрации: оксид углерода")</f>
        <v>Прогноз развития концентрации: оксид углерода</v>
      </c>
      <c r="D619" s="49"/>
      <c r="F619" s="49"/>
      <c r="H619" s="49"/>
    </row>
    <row r="620" spans="1:8" ht="15.75" customHeight="1" x14ac:dyDescent="0.25">
      <c r="A620" s="13" t="str">
        <f ca="1">IFERROR(__xludf.DUMMYFUNCTION("""COMPUTED_VALUE"""),"c_co_lim0")</f>
        <v>c_co_lim0</v>
      </c>
      <c r="B620" s="13" t="str">
        <f ca="1">IFERROR(__xludf.DUMMYFUNCTION("""COMPUTED_VALUE"""),"ДЗ концентрации оксида углерода")</f>
        <v>ДЗ концентрации оксида углерода</v>
      </c>
      <c r="D620" s="49"/>
      <c r="F620" s="49"/>
      <c r="H620" s="49"/>
    </row>
    <row r="621" spans="1:8" ht="15.75" customHeight="1" x14ac:dyDescent="0.25">
      <c r="A621" s="13" t="str">
        <f ca="1">IFERROR(__xludf.DUMMYFUNCTION("""COMPUTED_VALUE"""),"c_co_lim0_manual")</f>
        <v>c_co_lim0_manual</v>
      </c>
      <c r="B621" s="13" t="str">
        <f ca="1">IFERROR(__xludf.DUMMYFUNCTION("""COMPUTED_VALUE"""),"ДЗ концентрации оксида углерода ручное")</f>
        <v>ДЗ концентрации оксида углерода ручное</v>
      </c>
      <c r="D621" s="49"/>
      <c r="F621" s="49"/>
      <c r="H621" s="49"/>
    </row>
    <row r="622" spans="1:8" ht="15.75" customHeight="1" x14ac:dyDescent="0.25">
      <c r="A622" s="13" t="str">
        <f ca="1">IFERROR(__xludf.DUMMYFUNCTION("""COMPUTED_VALUE"""),"c_co_lim1")</f>
        <v>c_co_lim1</v>
      </c>
      <c r="B622" s="13" t="str">
        <f ca="1">IFERROR(__xludf.DUMMYFUNCTION("""COMPUTED_VALUE"""),"ПДЗ концентрации оксида углерода")</f>
        <v>ПДЗ концентрации оксида углерода</v>
      </c>
      <c r="D622" s="49"/>
      <c r="F622" s="49"/>
      <c r="H622" s="49"/>
    </row>
    <row r="623" spans="1:8" ht="15.75" customHeight="1" x14ac:dyDescent="0.25">
      <c r="A623" s="13" t="str">
        <f ca="1">IFERROR(__xludf.DUMMYFUNCTION("""COMPUTED_VALUE"""),"c_co_lim1_manual")</f>
        <v>c_co_lim1_manual</v>
      </c>
      <c r="B623" s="13" t="str">
        <f ca="1">IFERROR(__xludf.DUMMYFUNCTION("""COMPUTED_VALUE"""),"ПДЗ концентрации оксида углерода ручное")</f>
        <v>ПДЗ концентрации оксида углерода ручное</v>
      </c>
      <c r="D623" s="49"/>
      <c r="F623" s="49"/>
      <c r="H623" s="49"/>
    </row>
    <row r="624" spans="1:8" ht="15.75" customHeight="1" x14ac:dyDescent="0.25">
      <c r="A624" s="13" t="str">
        <f ca="1">IFERROR(__xludf.DUMMYFUNCTION("""COMPUTED_VALUE"""),"c_co_oe_lim0")</f>
        <v>c_co_oe_lim0</v>
      </c>
      <c r="B624" s="13" t="str">
        <f ca="1">IFERROR(__xludf.DUMMYFUNCTION("""COMPUTED_VALUE"""),"Концентрация оксида углерода относительно ДЗ")</f>
        <v>Концентрация оксида углерода относительно ДЗ</v>
      </c>
      <c r="D624" s="49"/>
      <c r="F624" s="49"/>
      <c r="H624" s="49"/>
    </row>
    <row r="625" spans="1:8" ht="15.75" customHeight="1" x14ac:dyDescent="0.25">
      <c r="A625" s="13" t="str">
        <f ca="1">IFERROR(__xludf.DUMMYFUNCTION("""COMPUTED_VALUE"""),"c_co_oe_lim1")</f>
        <v>c_co_oe_lim1</v>
      </c>
      <c r="B625" s="13" t="str">
        <f ca="1">IFERROR(__xludf.DUMMYFUNCTION("""COMPUTED_VALUE"""),"Концентрация оксида углерода относительно ПДЗ")</f>
        <v>Концентрация оксида углерода относительно ПДЗ</v>
      </c>
      <c r="D625" s="49"/>
      <c r="F625" s="49"/>
      <c r="H625" s="49"/>
    </row>
    <row r="626" spans="1:8" ht="15.75" customHeight="1" x14ac:dyDescent="0.25">
      <c r="A626" s="13" t="str">
        <f ca="1">IFERROR(__xludf.DUMMYFUNCTION("""COMPUTED_VALUE"""),"c_co_offline")</f>
        <v>c_co_offline</v>
      </c>
      <c r="B626" s="13" t="str">
        <f ca="1">IFERROR(__xludf.DUMMYFUNCTION("""COMPUTED_VALUE"""),"Концентрация оксида углерода (офлайн)")</f>
        <v>Концентрация оксида углерода (офлайн)</v>
      </c>
      <c r="D626" s="49"/>
      <c r="F626" s="49"/>
      <c r="H626" s="49"/>
    </row>
    <row r="627" spans="1:8" ht="15.75" customHeight="1" x14ac:dyDescent="0.25">
      <c r="A627" s="13" t="str">
        <f ca="1">IFERROR(__xludf.DUMMYFUNCTION("""COMPUTED_VALUE"""),"c_co_roc_abs_day")</f>
        <v>c_co_roc_abs_day</v>
      </c>
      <c r="B627" s="13" t="str">
        <f ca="1">IFERROR(__xludf.DUMMYFUNCTION("""COMPUTED_VALUE"""),"Скорость роста концентрации оксида углерода абсолютная, сутки")</f>
        <v>Скорость роста концентрации оксида углерода абсолютная, сутки</v>
      </c>
      <c r="D627" s="49"/>
      <c r="F627" s="49"/>
      <c r="H627" s="49"/>
    </row>
    <row r="628" spans="1:8" ht="15.75" customHeight="1" x14ac:dyDescent="0.25">
      <c r="A628" s="13" t="str">
        <f ca="1">IFERROR(__xludf.DUMMYFUNCTION("""COMPUTED_VALUE"""),"c_co_roc_abs_day_lim0")</f>
        <v>c_co_roc_abs_day_lim0</v>
      </c>
      <c r="B628" s="13" t="str">
        <f ca="1">IFERROR(__xludf.DUMMYFUNCTION("""COMPUTED_VALUE"""),"ДЗ скорости роста концентрации оксида углерода абсолютной, сутки")</f>
        <v>ДЗ скорости роста концентрации оксида углерода абсолютной, сутки</v>
      </c>
      <c r="D628" s="49"/>
      <c r="F628" s="49"/>
      <c r="H628" s="49"/>
    </row>
    <row r="629" spans="1:8" ht="15.75" customHeight="1" x14ac:dyDescent="0.25">
      <c r="A629" s="13" t="str">
        <f ca="1">IFERROR(__xludf.DUMMYFUNCTION("""COMPUTED_VALUE"""),"c_co_roc_abs_day_lim0_manual")</f>
        <v>c_co_roc_abs_day_lim0_manual</v>
      </c>
      <c r="B629" s="13" t="str">
        <f ca="1">IFERROR(__xludf.DUMMYFUNCTION("""COMPUTED_VALUE"""),"ДЗ скорости роста концентрации оксида углерода абсолютной, сутки, ручное")</f>
        <v>ДЗ скорости роста концентрации оксида углерода абсолютной, сутки, ручное</v>
      </c>
      <c r="D629" s="49"/>
      <c r="F629" s="49"/>
      <c r="H629" s="49"/>
    </row>
    <row r="630" spans="1:8" ht="15.75" customHeight="1" x14ac:dyDescent="0.25">
      <c r="A630" s="13" t="str">
        <f ca="1">IFERROR(__xludf.DUMMYFUNCTION("""COMPUTED_VALUE"""),"c_co_roc_abs_day_lim1")</f>
        <v>c_co_roc_abs_day_lim1</v>
      </c>
      <c r="B630" s="13" t="str">
        <f ca="1">IFERROR(__xludf.DUMMYFUNCTION("""COMPUTED_VALUE"""),"ПДЗ скорости роста концентрации оксида углерода абсолютной, сутки")</f>
        <v>ПДЗ скорости роста концентрации оксида углерода абсолютной, сутки</v>
      </c>
      <c r="D630" s="49"/>
      <c r="F630" s="49"/>
      <c r="H630" s="49"/>
    </row>
    <row r="631" spans="1:8" ht="15.75" customHeight="1" x14ac:dyDescent="0.25">
      <c r="A631" s="13" t="str">
        <f ca="1">IFERROR(__xludf.DUMMYFUNCTION("""COMPUTED_VALUE"""),"c_co_roc_abs_day_lim1_manual")</f>
        <v>c_co_roc_abs_day_lim1_manual</v>
      </c>
      <c r="B631" s="13" t="str">
        <f ca="1">IFERROR(__xludf.DUMMYFUNCTION("""COMPUTED_VALUE"""),"ПДЗ скорости роста концентрации оксида углерода абсолютной, сутки, ручное")</f>
        <v>ПДЗ скорости роста концентрации оксида углерода абсолютной, сутки, ручное</v>
      </c>
      <c r="D631" s="49"/>
      <c r="F631" s="49"/>
      <c r="H631" s="49"/>
    </row>
    <row r="632" spans="1:8" ht="15.75" customHeight="1" x14ac:dyDescent="0.25">
      <c r="A632" s="13" t="str">
        <f ca="1">IFERROR(__xludf.DUMMYFUNCTION("""COMPUTED_VALUE"""),"c_co_roc_abs_month")</f>
        <v>c_co_roc_abs_month</v>
      </c>
      <c r="B632" s="13" t="str">
        <f ca="1">IFERROR(__xludf.DUMMYFUNCTION("""COMPUTED_VALUE"""),"Скорость роста концентрации оксида углерода абсолютная, месяц")</f>
        <v>Скорость роста концентрации оксида углерода абсолютная, месяц</v>
      </c>
      <c r="D632" s="49"/>
      <c r="F632" s="49"/>
      <c r="H632" s="49"/>
    </row>
    <row r="633" spans="1:8" ht="15.75" customHeight="1" x14ac:dyDescent="0.25">
      <c r="A633" s="13" t="str">
        <f ca="1">IFERROR(__xludf.DUMMYFUNCTION("""COMPUTED_VALUE"""),"c_co_roc_abs_month_lim0")</f>
        <v>c_co_roc_abs_month_lim0</v>
      </c>
      <c r="B633" s="13" t="str">
        <f ca="1">IFERROR(__xludf.DUMMYFUNCTION("""COMPUTED_VALUE"""),"ДЗ скорости роста концентрации оксида углерода абсолютной, месяц")</f>
        <v>ДЗ скорости роста концентрации оксида углерода абсолютной, месяц</v>
      </c>
      <c r="D633" s="49"/>
      <c r="F633" s="49"/>
      <c r="H633" s="49"/>
    </row>
    <row r="634" spans="1:8" ht="15.75" customHeight="1" x14ac:dyDescent="0.25">
      <c r="A634" s="13" t="str">
        <f ca="1">IFERROR(__xludf.DUMMYFUNCTION("""COMPUTED_VALUE"""),"c_co_roc_abs_month_lim0_manual")</f>
        <v>c_co_roc_abs_month_lim0_manual</v>
      </c>
      <c r="B634" s="13" t="str">
        <f ca="1">IFERROR(__xludf.DUMMYFUNCTION("""COMPUTED_VALUE"""),"ДЗ скорости роста концентрации оксида углерода абсолютной, месяц, ручное")</f>
        <v>ДЗ скорости роста концентрации оксида углерода абсолютной, месяц, ручное</v>
      </c>
      <c r="D634" s="49"/>
      <c r="F634" s="49"/>
      <c r="H634" s="49"/>
    </row>
    <row r="635" spans="1:8" ht="15.75" customHeight="1" x14ac:dyDescent="0.25">
      <c r="A635" s="13" t="str">
        <f ca="1">IFERROR(__xludf.DUMMYFUNCTION("""COMPUTED_VALUE"""),"c_co_roc_abs_month_lim1")</f>
        <v>c_co_roc_abs_month_lim1</v>
      </c>
      <c r="B635" s="13" t="str">
        <f ca="1">IFERROR(__xludf.DUMMYFUNCTION("""COMPUTED_VALUE"""),"ПДЗ скорости роста концентрации оксида углерода абсолютной, месяц")</f>
        <v>ПДЗ скорости роста концентрации оксида углерода абсолютной, месяц</v>
      </c>
      <c r="D635" s="49"/>
      <c r="F635" s="49"/>
      <c r="H635" s="49"/>
    </row>
    <row r="636" spans="1:8" ht="15.75" customHeight="1" x14ac:dyDescent="0.25">
      <c r="A636" s="13" t="str">
        <f ca="1">IFERROR(__xludf.DUMMYFUNCTION("""COMPUTED_VALUE"""),"c_co_roc_abs_month_lim1_manual")</f>
        <v>c_co_roc_abs_month_lim1_manual</v>
      </c>
      <c r="B636" s="13" t="str">
        <f ca="1">IFERROR(__xludf.DUMMYFUNCTION("""COMPUTED_VALUE"""),"ПДЗ скорости роста концентрации оксида углерода абсолютной, месяц, ручное")</f>
        <v>ПДЗ скорости роста концентрации оксида углерода абсолютной, месяц, ручное</v>
      </c>
      <c r="D636" s="49"/>
      <c r="F636" s="49"/>
      <c r="H636" s="49"/>
    </row>
    <row r="637" spans="1:8" ht="15.75" customHeight="1" x14ac:dyDescent="0.25">
      <c r="A637" s="13" t="str">
        <f ca="1">IFERROR(__xludf.DUMMYFUNCTION("""COMPUTED_VALUE"""),"c_co_roc_abs_week")</f>
        <v>c_co_roc_abs_week</v>
      </c>
      <c r="B637" s="13" t="str">
        <f ca="1">IFERROR(__xludf.DUMMYFUNCTION("""COMPUTED_VALUE"""),"Скорость роста концентрации оксида углерода абсолютная, неделя")</f>
        <v>Скорость роста концентрации оксида углерода абсолютная, неделя</v>
      </c>
      <c r="D637" s="49"/>
      <c r="F637" s="49"/>
      <c r="H637" s="49"/>
    </row>
    <row r="638" spans="1:8" ht="15.75" customHeight="1" x14ac:dyDescent="0.25">
      <c r="A638" s="13" t="str">
        <f ca="1">IFERROR(__xludf.DUMMYFUNCTION("""COMPUTED_VALUE"""),"c_co_roc_abs_week_lim0")</f>
        <v>c_co_roc_abs_week_lim0</v>
      </c>
      <c r="B638" s="13" t="str">
        <f ca="1">IFERROR(__xludf.DUMMYFUNCTION("""COMPUTED_VALUE"""),"ДЗ скорости роста концентрации оксида углерода абсолютной, неделя")</f>
        <v>ДЗ скорости роста концентрации оксида углерода абсолютной, неделя</v>
      </c>
      <c r="D638" s="49"/>
      <c r="F638" s="49"/>
      <c r="H638" s="49"/>
    </row>
    <row r="639" spans="1:8" ht="15.75" customHeight="1" x14ac:dyDescent="0.25">
      <c r="A639" s="13" t="str">
        <f ca="1">IFERROR(__xludf.DUMMYFUNCTION("""COMPUTED_VALUE"""),"c_co_roc_abs_week_lim0_manual")</f>
        <v>c_co_roc_abs_week_lim0_manual</v>
      </c>
      <c r="B639" s="13" t="str">
        <f ca="1">IFERROR(__xludf.DUMMYFUNCTION("""COMPUTED_VALUE"""),"ДЗ скорости роста концентрации оксида углерода абсолютной, неделя, ручное")</f>
        <v>ДЗ скорости роста концентрации оксида углерода абсолютной, неделя, ручное</v>
      </c>
      <c r="D639" s="49"/>
      <c r="F639" s="49"/>
      <c r="H639" s="49"/>
    </row>
    <row r="640" spans="1:8" ht="15.75" customHeight="1" x14ac:dyDescent="0.25">
      <c r="A640" s="13" t="str">
        <f ca="1">IFERROR(__xludf.DUMMYFUNCTION("""COMPUTED_VALUE"""),"c_co_roc_abs_week_lim1")</f>
        <v>c_co_roc_abs_week_lim1</v>
      </c>
      <c r="B640" s="13" t="str">
        <f ca="1">IFERROR(__xludf.DUMMYFUNCTION("""COMPUTED_VALUE"""),"ПДЗ скорости роста концентрации оксида углерода абсолютной, неделя")</f>
        <v>ПДЗ скорости роста концентрации оксида углерода абсолютной, неделя</v>
      </c>
      <c r="D640" s="49"/>
      <c r="F640" s="49"/>
      <c r="H640" s="49"/>
    </row>
    <row r="641" spans="1:8" ht="15.75" customHeight="1" x14ac:dyDescent="0.25">
      <c r="A641" s="13" t="str">
        <f ca="1">IFERROR(__xludf.DUMMYFUNCTION("""COMPUTED_VALUE"""),"c_co_roc_abs_week_lim1_manual")</f>
        <v>c_co_roc_abs_week_lim1_manual</v>
      </c>
      <c r="B641" s="13" t="str">
        <f ca="1">IFERROR(__xludf.DUMMYFUNCTION("""COMPUTED_VALUE"""),"ПДЗ скорости роста концентрации оксида углерода абсолютной, неделя, ручное")</f>
        <v>ПДЗ скорости роста концентрации оксида углерода абсолютной, неделя, ручное</v>
      </c>
      <c r="D641" s="49"/>
      <c r="F641" s="49"/>
      <c r="H641" s="49"/>
    </row>
    <row r="642" spans="1:8" ht="15.75" customHeight="1" x14ac:dyDescent="0.25">
      <c r="A642" s="13" t="str">
        <f ca="1">IFERROR(__xludf.DUMMYFUNCTION("""COMPUTED_VALUE"""),"c_co_roc_abs_year")</f>
        <v>c_co_roc_abs_year</v>
      </c>
      <c r="B642" s="13" t="str">
        <f ca="1">IFERROR(__xludf.DUMMYFUNCTION("""COMPUTED_VALUE"""),"Скорость роста концентрации оксида углерода абсолютная, год")</f>
        <v>Скорость роста концентрации оксида углерода абсолютная, год</v>
      </c>
      <c r="D642" s="49"/>
      <c r="F642" s="49"/>
      <c r="H642" s="49"/>
    </row>
    <row r="643" spans="1:8" ht="15.75" customHeight="1" x14ac:dyDescent="0.25">
      <c r="A643" s="13" t="str">
        <f ca="1">IFERROR(__xludf.DUMMYFUNCTION("""COMPUTED_VALUE"""),"c_co_roc_abs_year_lim0")</f>
        <v>c_co_roc_abs_year_lim0</v>
      </c>
      <c r="B643" s="13" t="str">
        <f ca="1">IFERROR(__xludf.DUMMYFUNCTION("""COMPUTED_VALUE"""),"ДЗ скорости роста концентрации оксида углерода абсолютной, год")</f>
        <v>ДЗ скорости роста концентрации оксида углерода абсолютной, год</v>
      </c>
      <c r="D643" s="49"/>
      <c r="F643" s="49"/>
      <c r="H643" s="49"/>
    </row>
    <row r="644" spans="1:8" ht="15.75" customHeight="1" x14ac:dyDescent="0.25">
      <c r="A644" s="13" t="str">
        <f ca="1">IFERROR(__xludf.DUMMYFUNCTION("""COMPUTED_VALUE"""),"c_co_roc_abs_year_lim0_manual")</f>
        <v>c_co_roc_abs_year_lim0_manual</v>
      </c>
      <c r="B644" s="13" t="str">
        <f ca="1">IFERROR(__xludf.DUMMYFUNCTION("""COMPUTED_VALUE"""),"ДЗ скорости роста концентрации оксида углерода абсолютной, год, ручное")</f>
        <v>ДЗ скорости роста концентрации оксида углерода абсолютной, год, ручное</v>
      </c>
      <c r="D644" s="49"/>
      <c r="F644" s="49"/>
      <c r="H644" s="49"/>
    </row>
    <row r="645" spans="1:8" ht="15.75" customHeight="1" x14ac:dyDescent="0.25">
      <c r="A645" s="13" t="str">
        <f ca="1">IFERROR(__xludf.DUMMYFUNCTION("""COMPUTED_VALUE"""),"c_co_roc_abs_year_lim1")</f>
        <v>c_co_roc_abs_year_lim1</v>
      </c>
      <c r="B645" s="13" t="str">
        <f ca="1">IFERROR(__xludf.DUMMYFUNCTION("""COMPUTED_VALUE"""),"ПДЗ скорости роста концентрации оксида углерода абсолютной, год")</f>
        <v>ПДЗ скорости роста концентрации оксида углерода абсолютной, год</v>
      </c>
      <c r="D645" s="49"/>
      <c r="F645" s="49"/>
      <c r="H645" s="49"/>
    </row>
    <row r="646" spans="1:8" ht="15.75" customHeight="1" x14ac:dyDescent="0.25">
      <c r="A646" s="13" t="str">
        <f ca="1">IFERROR(__xludf.DUMMYFUNCTION("""COMPUTED_VALUE"""),"c_co_roc_abs_year_lim1_manual")</f>
        <v>c_co_roc_abs_year_lim1_manual</v>
      </c>
      <c r="B646" s="13" t="str">
        <f ca="1">IFERROR(__xludf.DUMMYFUNCTION("""COMPUTED_VALUE"""),"ПДЗ скорости роста концентрации оксида углерода абсолютной, год, ручное")</f>
        <v>ПДЗ скорости роста концентрации оксида углерода абсолютной, год, ручное</v>
      </c>
      <c r="D646" s="49"/>
      <c r="F646" s="49"/>
      <c r="H646" s="49"/>
    </row>
    <row r="647" spans="1:8" ht="15.75" customHeight="1" x14ac:dyDescent="0.25">
      <c r="A647" s="13" t="str">
        <f ca="1">IFERROR(__xludf.DUMMYFUNCTION("""COMPUTED_VALUE"""),"c_co_roc_rel_day")</f>
        <v>c_co_roc_rel_day</v>
      </c>
      <c r="B647" s="13" t="str">
        <f ca="1">IFERROR(__xludf.DUMMYFUNCTION("""COMPUTED_VALUE"""),"Скорость роста концентрации оксида углерода относительная, сутки")</f>
        <v>Скорость роста концентрации оксида углерода относительная, сутки</v>
      </c>
      <c r="D647" s="49"/>
      <c r="F647" s="49"/>
      <c r="H647" s="49"/>
    </row>
    <row r="648" spans="1:8" ht="15.75" customHeight="1" x14ac:dyDescent="0.25">
      <c r="A648" s="13" t="str">
        <f ca="1">IFERROR(__xludf.DUMMYFUNCTION("""COMPUTED_VALUE"""),"c_co_roc_rel_day_lim0")</f>
        <v>c_co_roc_rel_day_lim0</v>
      </c>
      <c r="B648" s="13" t="str">
        <f ca="1">IFERROR(__xludf.DUMMYFUNCTION("""COMPUTED_VALUE"""),"ДЗ скорости роста концентрации оксида углерода относительной, сутки")</f>
        <v>ДЗ скорости роста концентрации оксида углерода относительной, сутки</v>
      </c>
      <c r="D648" s="49"/>
      <c r="F648" s="49"/>
      <c r="H648" s="49"/>
    </row>
    <row r="649" spans="1:8" ht="15.75" customHeight="1" x14ac:dyDescent="0.25">
      <c r="A649" s="13" t="str">
        <f ca="1">IFERROR(__xludf.DUMMYFUNCTION("""COMPUTED_VALUE"""),"c_co_roc_rel_day_lim0_manual")</f>
        <v>c_co_roc_rel_day_lim0_manual</v>
      </c>
      <c r="B649" s="13" t="str">
        <f ca="1">IFERROR(__xludf.DUMMYFUNCTION("""COMPUTED_VALUE"""),"ДЗ скорости роста концентрации оксида углерода относительной, сутки, ручное")</f>
        <v>ДЗ скорости роста концентрации оксида углерода относительной, сутки, ручное</v>
      </c>
      <c r="D649" s="49"/>
      <c r="F649" s="49"/>
      <c r="H649" s="49"/>
    </row>
    <row r="650" spans="1:8" ht="15.75" customHeight="1" x14ac:dyDescent="0.25">
      <c r="A650" s="13" t="str">
        <f ca="1">IFERROR(__xludf.DUMMYFUNCTION("""COMPUTED_VALUE"""),"c_co_roc_rel_day_lim1")</f>
        <v>c_co_roc_rel_day_lim1</v>
      </c>
      <c r="B650" s="13" t="str">
        <f ca="1">IFERROR(__xludf.DUMMYFUNCTION("""COMPUTED_VALUE"""),"ПДЗ скорости роста концентрации оксида углерода относительной, сутки")</f>
        <v>ПДЗ скорости роста концентрации оксида углерода относительной, сутки</v>
      </c>
      <c r="D650" s="49"/>
      <c r="F650" s="49"/>
      <c r="H650" s="49"/>
    </row>
    <row r="651" spans="1:8" ht="15.75" customHeight="1" x14ac:dyDescent="0.25">
      <c r="A651" s="13" t="str">
        <f ca="1">IFERROR(__xludf.DUMMYFUNCTION("""COMPUTED_VALUE"""),"c_co_roc_rel_day_lim1_manual")</f>
        <v>c_co_roc_rel_day_lim1_manual</v>
      </c>
      <c r="B651" s="13" t="str">
        <f ca="1">IFERROR(__xludf.DUMMYFUNCTION("""COMPUTED_VALUE"""),"ПДЗ скорости роста концентрации оксида углерода относительной, сутки, ручное")</f>
        <v>ПДЗ скорости роста концентрации оксида углерода относительной, сутки, ручное</v>
      </c>
      <c r="D651" s="49"/>
      <c r="F651" s="49"/>
      <c r="H651" s="49"/>
    </row>
    <row r="652" spans="1:8" ht="15.75" customHeight="1" x14ac:dyDescent="0.25">
      <c r="A652" s="13" t="str">
        <f ca="1">IFERROR(__xludf.DUMMYFUNCTION("""COMPUTED_VALUE"""),"c_co_roc_rel_month")</f>
        <v>c_co_roc_rel_month</v>
      </c>
      <c r="B652" s="13" t="str">
        <f ca="1">IFERROR(__xludf.DUMMYFUNCTION("""COMPUTED_VALUE"""),"Скорость роста концентрации оксида углерода относительная, месяц")</f>
        <v>Скорость роста концентрации оксида углерода относительная, месяц</v>
      </c>
      <c r="D652" s="49"/>
      <c r="F652" s="49"/>
      <c r="H652" s="49"/>
    </row>
    <row r="653" spans="1:8" ht="15.75" customHeight="1" x14ac:dyDescent="0.25">
      <c r="A653" s="13" t="str">
        <f ca="1">IFERROR(__xludf.DUMMYFUNCTION("""COMPUTED_VALUE"""),"c_co_roc_rel_month_lim0")</f>
        <v>c_co_roc_rel_month_lim0</v>
      </c>
      <c r="B653" s="13" t="str">
        <f ca="1">IFERROR(__xludf.DUMMYFUNCTION("""COMPUTED_VALUE"""),"ДЗ скорости роста концентрации оксида углерода относительной, месяц")</f>
        <v>ДЗ скорости роста концентрации оксида углерода относительной, месяц</v>
      </c>
      <c r="D653" s="49"/>
      <c r="F653" s="49"/>
      <c r="H653" s="49"/>
    </row>
    <row r="654" spans="1:8" ht="15.75" customHeight="1" x14ac:dyDescent="0.25">
      <c r="A654" s="13" t="str">
        <f ca="1">IFERROR(__xludf.DUMMYFUNCTION("""COMPUTED_VALUE"""),"c_co_roc_rel_month_lim0_manual")</f>
        <v>c_co_roc_rel_month_lim0_manual</v>
      </c>
      <c r="B654" s="13" t="str">
        <f ca="1">IFERROR(__xludf.DUMMYFUNCTION("""COMPUTED_VALUE"""),"ДЗ скорости роста концентрации оксида углерода относительной, месяц, ручное")</f>
        <v>ДЗ скорости роста концентрации оксида углерода относительной, месяц, ручное</v>
      </c>
      <c r="D654" s="49"/>
      <c r="F654" s="49"/>
      <c r="H654" s="49"/>
    </row>
    <row r="655" spans="1:8" ht="15.75" customHeight="1" x14ac:dyDescent="0.25">
      <c r="A655" s="13" t="str">
        <f ca="1">IFERROR(__xludf.DUMMYFUNCTION("""COMPUTED_VALUE"""),"c_co_roc_rel_month_lim1")</f>
        <v>c_co_roc_rel_month_lim1</v>
      </c>
      <c r="B655" s="13" t="str">
        <f ca="1">IFERROR(__xludf.DUMMYFUNCTION("""COMPUTED_VALUE"""),"ПДЗ скорости роста концентрации оксида углерода относительной, месяц")</f>
        <v>ПДЗ скорости роста концентрации оксида углерода относительной, месяц</v>
      </c>
      <c r="D655" s="49"/>
      <c r="F655" s="49"/>
      <c r="H655" s="49"/>
    </row>
    <row r="656" spans="1:8" ht="15.75" customHeight="1" x14ac:dyDescent="0.25">
      <c r="A656" s="13" t="str">
        <f ca="1">IFERROR(__xludf.DUMMYFUNCTION("""COMPUTED_VALUE"""),"c_co_roc_rel_month_lim1_manual")</f>
        <v>c_co_roc_rel_month_lim1_manual</v>
      </c>
      <c r="B656" s="13" t="str">
        <f ca="1">IFERROR(__xludf.DUMMYFUNCTION("""COMPUTED_VALUE"""),"ПДЗ скорости роста концентрации оксида углерода относительной, месяц, ручное")</f>
        <v>ПДЗ скорости роста концентрации оксида углерода относительной, месяц, ручное</v>
      </c>
      <c r="D656" s="49"/>
      <c r="F656" s="49"/>
      <c r="H656" s="49"/>
    </row>
    <row r="657" spans="1:8" ht="15.75" customHeight="1" x14ac:dyDescent="0.25">
      <c r="A657" s="13" t="str">
        <f ca="1">IFERROR(__xludf.DUMMYFUNCTION("""COMPUTED_VALUE"""),"c_co_roc_rel_week")</f>
        <v>c_co_roc_rel_week</v>
      </c>
      <c r="B657" s="13" t="str">
        <f ca="1">IFERROR(__xludf.DUMMYFUNCTION("""COMPUTED_VALUE"""),"Скорость роста концентрации оксида углерода относительная, неделя")</f>
        <v>Скорость роста концентрации оксида углерода относительная, неделя</v>
      </c>
      <c r="D657" s="49"/>
      <c r="F657" s="49"/>
      <c r="H657" s="49"/>
    </row>
    <row r="658" spans="1:8" ht="15.75" customHeight="1" x14ac:dyDescent="0.25">
      <c r="A658" s="13" t="str">
        <f ca="1">IFERROR(__xludf.DUMMYFUNCTION("""COMPUTED_VALUE"""),"c_co_roc_rel_week_lim0")</f>
        <v>c_co_roc_rel_week_lim0</v>
      </c>
      <c r="B658" s="13" t="str">
        <f ca="1">IFERROR(__xludf.DUMMYFUNCTION("""COMPUTED_VALUE"""),"ДЗ скорости роста концентрации оксида углерода относительной, неделя")</f>
        <v>ДЗ скорости роста концентрации оксида углерода относительной, неделя</v>
      </c>
      <c r="D658" s="49"/>
      <c r="F658" s="49"/>
      <c r="H658" s="49"/>
    </row>
    <row r="659" spans="1:8" ht="15.75" customHeight="1" x14ac:dyDescent="0.25">
      <c r="A659" s="13" t="str">
        <f ca="1">IFERROR(__xludf.DUMMYFUNCTION("""COMPUTED_VALUE"""),"c_co_roc_rel_week_lim0_manual")</f>
        <v>c_co_roc_rel_week_lim0_manual</v>
      </c>
      <c r="B659" s="13" t="str">
        <f ca="1">IFERROR(__xludf.DUMMYFUNCTION("""COMPUTED_VALUE"""),"ДЗ скорости роста концентрации оксида углерода относительной, неделя, ручное")</f>
        <v>ДЗ скорости роста концентрации оксида углерода относительной, неделя, ручное</v>
      </c>
      <c r="D659" s="49"/>
      <c r="F659" s="49"/>
      <c r="H659" s="49"/>
    </row>
    <row r="660" spans="1:8" ht="15.75" customHeight="1" x14ac:dyDescent="0.25">
      <c r="A660" s="13" t="str">
        <f ca="1">IFERROR(__xludf.DUMMYFUNCTION("""COMPUTED_VALUE"""),"c_co_roc_rel_week_lim1")</f>
        <v>c_co_roc_rel_week_lim1</v>
      </c>
      <c r="B660" s="13" t="str">
        <f ca="1">IFERROR(__xludf.DUMMYFUNCTION("""COMPUTED_VALUE"""),"ПДЗ скорости роста концентрации оксида углерода относительной, неделя")</f>
        <v>ПДЗ скорости роста концентрации оксида углерода относительной, неделя</v>
      </c>
      <c r="D660" s="49"/>
      <c r="F660" s="49"/>
      <c r="H660" s="49"/>
    </row>
    <row r="661" spans="1:8" ht="15.75" customHeight="1" x14ac:dyDescent="0.25">
      <c r="A661" s="13" t="str">
        <f ca="1">IFERROR(__xludf.DUMMYFUNCTION("""COMPUTED_VALUE"""),"c_co_roc_rel_week_lim1_manual")</f>
        <v>c_co_roc_rel_week_lim1_manual</v>
      </c>
      <c r="B661" s="13" t="str">
        <f ca="1">IFERROR(__xludf.DUMMYFUNCTION("""COMPUTED_VALUE"""),"ПДЗ скорости роста концентрации оксида углерода относительной, неделя, ручное")</f>
        <v>ПДЗ скорости роста концентрации оксида углерода относительной, неделя, ручное</v>
      </c>
      <c r="D661" s="49"/>
      <c r="F661" s="49"/>
      <c r="H661" s="49"/>
    </row>
    <row r="662" spans="1:8" ht="15.75" customHeight="1" x14ac:dyDescent="0.25">
      <c r="A662" s="13" t="str">
        <f ca="1">IFERROR(__xludf.DUMMYFUNCTION("""COMPUTED_VALUE"""),"c_co_roc_rel_year")</f>
        <v>c_co_roc_rel_year</v>
      </c>
      <c r="B662" s="13" t="str">
        <f ca="1">IFERROR(__xludf.DUMMYFUNCTION("""COMPUTED_VALUE"""),"Скорость роста концентрации оксида углерода относительная, год")</f>
        <v>Скорость роста концентрации оксида углерода относительная, год</v>
      </c>
      <c r="D662" s="49"/>
      <c r="F662" s="49"/>
      <c r="H662" s="49"/>
    </row>
    <row r="663" spans="1:8" ht="15.75" customHeight="1" x14ac:dyDescent="0.25">
      <c r="A663" s="13" t="str">
        <f ca="1">IFERROR(__xludf.DUMMYFUNCTION("""COMPUTED_VALUE"""),"c_co_roc_rel_year_lim0")</f>
        <v>c_co_roc_rel_year_lim0</v>
      </c>
      <c r="B663" s="13" t="str">
        <f ca="1">IFERROR(__xludf.DUMMYFUNCTION("""COMPUTED_VALUE"""),"ДЗ скорости роста концентрации оксида углерода относительной, год")</f>
        <v>ДЗ скорости роста концентрации оксида углерода относительной, год</v>
      </c>
      <c r="D663" s="49"/>
      <c r="F663" s="49"/>
      <c r="H663" s="49"/>
    </row>
    <row r="664" spans="1:8" ht="15.75" customHeight="1" x14ac:dyDescent="0.25">
      <c r="A664" s="13" t="str">
        <f ca="1">IFERROR(__xludf.DUMMYFUNCTION("""COMPUTED_VALUE"""),"c_co_roc_rel_year_lim0_manual")</f>
        <v>c_co_roc_rel_year_lim0_manual</v>
      </c>
      <c r="B664" s="13" t="str">
        <f ca="1">IFERROR(__xludf.DUMMYFUNCTION("""COMPUTED_VALUE"""),"ДЗ скорости роста концентрации оксида углерода относительной, год, ручное")</f>
        <v>ДЗ скорости роста концентрации оксида углерода относительной, год, ручное</v>
      </c>
      <c r="D664" s="49"/>
      <c r="F664" s="49"/>
      <c r="H664" s="49"/>
    </row>
    <row r="665" spans="1:8" ht="15.75" customHeight="1" x14ac:dyDescent="0.25">
      <c r="A665" s="13" t="str">
        <f ca="1">IFERROR(__xludf.DUMMYFUNCTION("""COMPUTED_VALUE"""),"c_co_roc_rel_year_lim1")</f>
        <v>c_co_roc_rel_year_lim1</v>
      </c>
      <c r="B665" s="13" t="str">
        <f ca="1">IFERROR(__xludf.DUMMYFUNCTION("""COMPUTED_VALUE"""),"ПДЗ скорости роста концентрации оксида углерода относительной, год")</f>
        <v>ПДЗ скорости роста концентрации оксида углерода относительной, год</v>
      </c>
      <c r="D665" s="49"/>
      <c r="F665" s="49"/>
      <c r="H665" s="49"/>
    </row>
    <row r="666" spans="1:8" ht="15.75" customHeight="1" x14ac:dyDescent="0.25">
      <c r="A666" s="13" t="str">
        <f ca="1">IFERROR(__xludf.DUMMYFUNCTION("""COMPUTED_VALUE"""),"c_co_roc_rel_year_lim1_manual")</f>
        <v>c_co_roc_rel_year_lim1_manual</v>
      </c>
      <c r="B666" s="13" t="str">
        <f ca="1">IFERROR(__xludf.DUMMYFUNCTION("""COMPUTED_VALUE"""),"ПДЗ скорости роста концентрации оксида углерода относительной, год, ручное")</f>
        <v>ПДЗ скорости роста концентрации оксида углерода относительной, год, ручное</v>
      </c>
      <c r="D666" s="49"/>
      <c r="F666" s="49"/>
      <c r="H666" s="49"/>
    </row>
    <row r="667" spans="1:8" ht="15.75" customHeight="1" x14ac:dyDescent="0.25">
      <c r="A667" s="13" t="str">
        <f ca="1">IFERROR(__xludf.DUMMYFUNCTION("""COMPUTED_VALUE"""),"c_co2")</f>
        <v>c_co2</v>
      </c>
      <c r="B667" s="13" t="str">
        <f ca="1">IFERROR(__xludf.DUMMYFUNCTION("""COMPUTED_VALUE"""),"Концентрация диоксида углерода")</f>
        <v>Концентрация диоксида углерода</v>
      </c>
      <c r="D667" s="49"/>
      <c r="F667" s="49"/>
      <c r="H667" s="49"/>
    </row>
    <row r="668" spans="1:8" ht="15.75" customHeight="1" x14ac:dyDescent="0.25">
      <c r="A668" s="13" t="str">
        <f ca="1">IFERROR(__xludf.DUMMYFUNCTION("""COMPUTED_VALUE"""),"c_co2_avg")</f>
        <v>c_co2_avg</v>
      </c>
      <c r="B668" s="13" t="str">
        <f ca="1">IFERROR(__xludf.DUMMYFUNCTION("""COMPUTED_VALUE"""),"Среднее часовое значение концентрации диоксида углерода")</f>
        <v>Среднее часовое значение концентрации диоксида углерода</v>
      </c>
      <c r="D668" s="49"/>
      <c r="F668" s="49"/>
      <c r="H668" s="49"/>
    </row>
    <row r="669" spans="1:8" ht="15.75" customHeight="1" x14ac:dyDescent="0.25">
      <c r="A669" s="13" t="str">
        <f ca="1">IFERROR(__xludf.DUMMYFUNCTION("""COMPUTED_VALUE"""),"c_co2_forecast")</f>
        <v>c_co2_forecast</v>
      </c>
      <c r="B669" s="13" t="str">
        <f ca="1">IFERROR(__xludf.DUMMYFUNCTION("""COMPUTED_VALUE"""),"Прогноз развития концентрации: диоксид углерода")</f>
        <v>Прогноз развития концентрации: диоксид углерода</v>
      </c>
      <c r="D669" s="49"/>
      <c r="F669" s="49"/>
      <c r="H669" s="49"/>
    </row>
    <row r="670" spans="1:8" ht="15.75" customHeight="1" x14ac:dyDescent="0.25">
      <c r="A670" s="13" t="str">
        <f ca="1">IFERROR(__xludf.DUMMYFUNCTION("""COMPUTED_VALUE"""),"c_co2_lim0")</f>
        <v>c_co2_lim0</v>
      </c>
      <c r="B670" s="13" t="str">
        <f ca="1">IFERROR(__xludf.DUMMYFUNCTION("""COMPUTED_VALUE"""),"ДЗ концентрации диоксида углерода")</f>
        <v>ДЗ концентрации диоксида углерода</v>
      </c>
      <c r="D670" s="49"/>
      <c r="F670" s="49"/>
      <c r="H670" s="49"/>
    </row>
    <row r="671" spans="1:8" ht="15.75" customHeight="1" x14ac:dyDescent="0.25">
      <c r="A671" s="13" t="str">
        <f ca="1">IFERROR(__xludf.DUMMYFUNCTION("""COMPUTED_VALUE"""),"c_co2_lim0_manual")</f>
        <v>c_co2_lim0_manual</v>
      </c>
      <c r="B671" s="13" t="str">
        <f ca="1">IFERROR(__xludf.DUMMYFUNCTION("""COMPUTED_VALUE"""),"ДЗ концентрации диоксида углерода ручное")</f>
        <v>ДЗ концентрации диоксида углерода ручное</v>
      </c>
      <c r="D671" s="49"/>
      <c r="F671" s="49"/>
      <c r="H671" s="49"/>
    </row>
    <row r="672" spans="1:8" ht="15.75" customHeight="1" x14ac:dyDescent="0.25">
      <c r="A672" s="13" t="str">
        <f ca="1">IFERROR(__xludf.DUMMYFUNCTION("""COMPUTED_VALUE"""),"c_co2_lim1")</f>
        <v>c_co2_lim1</v>
      </c>
      <c r="B672" s="13" t="str">
        <f ca="1">IFERROR(__xludf.DUMMYFUNCTION("""COMPUTED_VALUE"""),"ПДЗ концентрации диоксида углерода")</f>
        <v>ПДЗ концентрации диоксида углерода</v>
      </c>
      <c r="D672" s="49"/>
      <c r="F672" s="49"/>
      <c r="H672" s="49"/>
    </row>
    <row r="673" spans="1:8" ht="15.75" customHeight="1" x14ac:dyDescent="0.25">
      <c r="A673" s="13" t="str">
        <f ca="1">IFERROR(__xludf.DUMMYFUNCTION("""COMPUTED_VALUE"""),"c_co2_lim1_manual")</f>
        <v>c_co2_lim1_manual</v>
      </c>
      <c r="B673" s="13" t="str">
        <f ca="1">IFERROR(__xludf.DUMMYFUNCTION("""COMPUTED_VALUE"""),"ПДЗ концентрации диоксида углерода ручное")</f>
        <v>ПДЗ концентрации диоксида углерода ручное</v>
      </c>
      <c r="D673" s="49"/>
      <c r="F673" s="49"/>
      <c r="H673" s="49"/>
    </row>
    <row r="674" spans="1:8" ht="15.75" customHeight="1" x14ac:dyDescent="0.25">
      <c r="A674" s="13" t="str">
        <f ca="1">IFERROR(__xludf.DUMMYFUNCTION("""COMPUTED_VALUE"""),"c_co2_oe_lim0")</f>
        <v>c_co2_oe_lim0</v>
      </c>
      <c r="B674" s="13" t="str">
        <f ca="1">IFERROR(__xludf.DUMMYFUNCTION("""COMPUTED_VALUE"""),"Концентрация диоксида углерода относительно ДЗ")</f>
        <v>Концентрация диоксида углерода относительно ДЗ</v>
      </c>
      <c r="D674" s="49"/>
      <c r="F674" s="49"/>
      <c r="H674" s="49"/>
    </row>
    <row r="675" spans="1:8" ht="15.75" customHeight="1" x14ac:dyDescent="0.25">
      <c r="A675" s="13" t="str">
        <f ca="1">IFERROR(__xludf.DUMMYFUNCTION("""COMPUTED_VALUE"""),"c_co2_oe_lim1")</f>
        <v>c_co2_oe_lim1</v>
      </c>
      <c r="B675" s="13" t="str">
        <f ca="1">IFERROR(__xludf.DUMMYFUNCTION("""COMPUTED_VALUE"""),"Концентрация диоксида углерода относительно ПДЗ")</f>
        <v>Концентрация диоксида углерода относительно ПДЗ</v>
      </c>
      <c r="D675" s="49"/>
      <c r="F675" s="49"/>
      <c r="H675" s="49"/>
    </row>
    <row r="676" spans="1:8" ht="15.75" customHeight="1" x14ac:dyDescent="0.25">
      <c r="A676" s="13" t="str">
        <f ca="1">IFERROR(__xludf.DUMMYFUNCTION("""COMPUTED_VALUE"""),"c_co2_offline")</f>
        <v>c_co2_offline</v>
      </c>
      <c r="B676" s="13" t="str">
        <f ca="1">IFERROR(__xludf.DUMMYFUNCTION("""COMPUTED_VALUE"""),"Концентрация диоксида углерода (офлайн)")</f>
        <v>Концентрация диоксида углерода (офлайн)</v>
      </c>
      <c r="D676" s="49"/>
      <c r="F676" s="49"/>
      <c r="H676" s="49"/>
    </row>
    <row r="677" spans="1:8" ht="15.75" customHeight="1" x14ac:dyDescent="0.25">
      <c r="A677" s="13" t="str">
        <f ca="1">IFERROR(__xludf.DUMMYFUNCTION("""COMPUTED_VALUE"""),"c_co2_roc_abs_day")</f>
        <v>c_co2_roc_abs_day</v>
      </c>
      <c r="B677" s="13" t="str">
        <f ca="1">IFERROR(__xludf.DUMMYFUNCTION("""COMPUTED_VALUE"""),"Скорость роста концентрации диоксида углерода абсолютная, сутки")</f>
        <v>Скорость роста концентрации диоксида углерода абсолютная, сутки</v>
      </c>
      <c r="D677" s="49"/>
      <c r="F677" s="49"/>
      <c r="H677" s="49"/>
    </row>
    <row r="678" spans="1:8" ht="15.75" customHeight="1" x14ac:dyDescent="0.25">
      <c r="A678" s="13" t="str">
        <f ca="1">IFERROR(__xludf.DUMMYFUNCTION("""COMPUTED_VALUE"""),"c_co2_roc_abs_day_lim0")</f>
        <v>c_co2_roc_abs_day_lim0</v>
      </c>
      <c r="B678" s="13" t="str">
        <f ca="1">IFERROR(__xludf.DUMMYFUNCTION("""COMPUTED_VALUE"""),"ДЗ скорости роста концентрации диоксида углерода абсолютной, сутки")</f>
        <v>ДЗ скорости роста концентрации диоксида углерода абсолютной, сутки</v>
      </c>
      <c r="D678" s="49"/>
      <c r="F678" s="49"/>
      <c r="H678" s="49"/>
    </row>
    <row r="679" spans="1:8" ht="15.75" customHeight="1" x14ac:dyDescent="0.25">
      <c r="A679" s="13" t="str">
        <f ca="1">IFERROR(__xludf.DUMMYFUNCTION("""COMPUTED_VALUE"""),"c_co2_roc_abs_day_lim0_manual")</f>
        <v>c_co2_roc_abs_day_lim0_manual</v>
      </c>
      <c r="B679" s="13" t="str">
        <f ca="1">IFERROR(__xludf.DUMMYFUNCTION("""COMPUTED_VALUE"""),"ДЗ скорости роста концентрации диоксида углерода абсолютной, сутки, ручное")</f>
        <v>ДЗ скорости роста концентрации диоксида углерода абсолютной, сутки, ручное</v>
      </c>
      <c r="D679" s="49"/>
      <c r="F679" s="49"/>
      <c r="H679" s="49"/>
    </row>
    <row r="680" spans="1:8" ht="15.75" customHeight="1" x14ac:dyDescent="0.25">
      <c r="A680" s="13" t="str">
        <f ca="1">IFERROR(__xludf.DUMMYFUNCTION("""COMPUTED_VALUE"""),"c_co2_roc_abs_day_lim1")</f>
        <v>c_co2_roc_abs_day_lim1</v>
      </c>
      <c r="B680" s="13" t="str">
        <f ca="1">IFERROR(__xludf.DUMMYFUNCTION("""COMPUTED_VALUE"""),"ПДЗ скорости роста концентрации диоксида углерода абсолютной, сутки")</f>
        <v>ПДЗ скорости роста концентрации диоксида углерода абсолютной, сутки</v>
      </c>
      <c r="D680" s="49"/>
      <c r="F680" s="49"/>
      <c r="H680" s="49"/>
    </row>
    <row r="681" spans="1:8" ht="15.75" customHeight="1" x14ac:dyDescent="0.25">
      <c r="A681" s="13" t="str">
        <f ca="1">IFERROR(__xludf.DUMMYFUNCTION("""COMPUTED_VALUE"""),"c_co2_roc_abs_day_lim1_manual")</f>
        <v>c_co2_roc_abs_day_lim1_manual</v>
      </c>
      <c r="B681" s="13" t="str">
        <f ca="1">IFERROR(__xludf.DUMMYFUNCTION("""COMPUTED_VALUE"""),"ПДЗ скорости роста концентрации диоксида углерода абсолютной, сутки, ручное")</f>
        <v>ПДЗ скорости роста концентрации диоксида углерода абсолютной, сутки, ручное</v>
      </c>
      <c r="D681" s="49"/>
      <c r="F681" s="49"/>
      <c r="H681" s="49"/>
    </row>
    <row r="682" spans="1:8" ht="15.75" customHeight="1" x14ac:dyDescent="0.25">
      <c r="A682" s="13" t="str">
        <f ca="1">IFERROR(__xludf.DUMMYFUNCTION("""COMPUTED_VALUE"""),"c_co2_roc_abs_month")</f>
        <v>c_co2_roc_abs_month</v>
      </c>
      <c r="B682" s="13" t="str">
        <f ca="1">IFERROR(__xludf.DUMMYFUNCTION("""COMPUTED_VALUE"""),"Скорость роста концентрации диоксида углерода абсолютная, месяц")</f>
        <v>Скорость роста концентрации диоксида углерода абсолютная, месяц</v>
      </c>
      <c r="D682" s="49"/>
      <c r="F682" s="49"/>
      <c r="H682" s="49"/>
    </row>
    <row r="683" spans="1:8" ht="15.75" customHeight="1" x14ac:dyDescent="0.25">
      <c r="A683" s="13" t="str">
        <f ca="1">IFERROR(__xludf.DUMMYFUNCTION("""COMPUTED_VALUE"""),"c_co2_roc_abs_month_lim0")</f>
        <v>c_co2_roc_abs_month_lim0</v>
      </c>
      <c r="B683" s="13" t="str">
        <f ca="1">IFERROR(__xludf.DUMMYFUNCTION("""COMPUTED_VALUE"""),"ДЗ скорости роста концентрации диоксида углерода абсолютной, месяц")</f>
        <v>ДЗ скорости роста концентрации диоксида углерода абсолютной, месяц</v>
      </c>
      <c r="D683" s="49"/>
      <c r="F683" s="49"/>
      <c r="H683" s="49"/>
    </row>
    <row r="684" spans="1:8" ht="15.75" customHeight="1" x14ac:dyDescent="0.25">
      <c r="A684" s="13" t="str">
        <f ca="1">IFERROR(__xludf.DUMMYFUNCTION("""COMPUTED_VALUE"""),"c_co2_roc_abs_month_lim0_manual")</f>
        <v>c_co2_roc_abs_month_lim0_manual</v>
      </c>
      <c r="B684" s="13" t="str">
        <f ca="1">IFERROR(__xludf.DUMMYFUNCTION("""COMPUTED_VALUE"""),"ДЗ скорости роста концентрации диоксида углерода абсолютной, месяц, ручное")</f>
        <v>ДЗ скорости роста концентрации диоксида углерода абсолютной, месяц, ручное</v>
      </c>
      <c r="D684" s="49"/>
      <c r="F684" s="49"/>
      <c r="H684" s="49"/>
    </row>
    <row r="685" spans="1:8" ht="15.75" customHeight="1" x14ac:dyDescent="0.25">
      <c r="A685" s="13" t="str">
        <f ca="1">IFERROR(__xludf.DUMMYFUNCTION("""COMPUTED_VALUE"""),"c_co2_roc_abs_month_lim1")</f>
        <v>c_co2_roc_abs_month_lim1</v>
      </c>
      <c r="B685" s="13" t="str">
        <f ca="1">IFERROR(__xludf.DUMMYFUNCTION("""COMPUTED_VALUE"""),"ПДЗ скорости роста концентрации диоксида углерода абсолютной, месяц")</f>
        <v>ПДЗ скорости роста концентрации диоксида углерода абсолютной, месяц</v>
      </c>
      <c r="D685" s="49"/>
      <c r="F685" s="49"/>
      <c r="H685" s="49"/>
    </row>
    <row r="686" spans="1:8" ht="15.75" customHeight="1" x14ac:dyDescent="0.25">
      <c r="A686" s="13" t="str">
        <f ca="1">IFERROR(__xludf.DUMMYFUNCTION("""COMPUTED_VALUE"""),"c_co2_roc_abs_month_lim1_manual")</f>
        <v>c_co2_roc_abs_month_lim1_manual</v>
      </c>
      <c r="B686" s="13" t="str">
        <f ca="1">IFERROR(__xludf.DUMMYFUNCTION("""COMPUTED_VALUE"""),"ПДЗ скорости роста концентрации диоксида углерода абсолютной, месяц, ручное")</f>
        <v>ПДЗ скорости роста концентрации диоксида углерода абсолютной, месяц, ручное</v>
      </c>
      <c r="D686" s="49"/>
      <c r="F686" s="49"/>
      <c r="H686" s="49"/>
    </row>
    <row r="687" spans="1:8" ht="15.75" customHeight="1" x14ac:dyDescent="0.25">
      <c r="A687" s="13" t="str">
        <f ca="1">IFERROR(__xludf.DUMMYFUNCTION("""COMPUTED_VALUE"""),"c_co2_roc_abs_week")</f>
        <v>c_co2_roc_abs_week</v>
      </c>
      <c r="B687" s="13" t="str">
        <f ca="1">IFERROR(__xludf.DUMMYFUNCTION("""COMPUTED_VALUE"""),"Скорость роста концентрации диоксида углерода абсолютная, неделя")</f>
        <v>Скорость роста концентрации диоксида углерода абсолютная, неделя</v>
      </c>
      <c r="D687" s="49"/>
      <c r="F687" s="49"/>
      <c r="H687" s="49"/>
    </row>
    <row r="688" spans="1:8" ht="15.75" customHeight="1" x14ac:dyDescent="0.25">
      <c r="A688" s="13" t="str">
        <f ca="1">IFERROR(__xludf.DUMMYFUNCTION("""COMPUTED_VALUE"""),"c_co2_roc_abs_week_lim0")</f>
        <v>c_co2_roc_abs_week_lim0</v>
      </c>
      <c r="B688" s="13" t="str">
        <f ca="1">IFERROR(__xludf.DUMMYFUNCTION("""COMPUTED_VALUE"""),"ДЗ скорости роста концентрации диоксида углерода абсолютной, неделя")</f>
        <v>ДЗ скорости роста концентрации диоксида углерода абсолютной, неделя</v>
      </c>
      <c r="D688" s="49"/>
      <c r="F688" s="49"/>
      <c r="H688" s="49"/>
    </row>
    <row r="689" spans="1:8" ht="15.75" customHeight="1" x14ac:dyDescent="0.25">
      <c r="A689" s="13" t="str">
        <f ca="1">IFERROR(__xludf.DUMMYFUNCTION("""COMPUTED_VALUE"""),"c_co2_roc_abs_week_lim0_manual")</f>
        <v>c_co2_roc_abs_week_lim0_manual</v>
      </c>
      <c r="B689" s="13" t="str">
        <f ca="1">IFERROR(__xludf.DUMMYFUNCTION("""COMPUTED_VALUE"""),"ДЗ скорости роста концентрации диоксида углерода абсолютной, неделя, ручное")</f>
        <v>ДЗ скорости роста концентрации диоксида углерода абсолютной, неделя, ручное</v>
      </c>
      <c r="D689" s="49"/>
      <c r="F689" s="49"/>
      <c r="H689" s="49"/>
    </row>
    <row r="690" spans="1:8" ht="15.75" customHeight="1" x14ac:dyDescent="0.25">
      <c r="A690" s="13" t="str">
        <f ca="1">IFERROR(__xludf.DUMMYFUNCTION("""COMPUTED_VALUE"""),"c_co2_roc_abs_week_lim1")</f>
        <v>c_co2_roc_abs_week_lim1</v>
      </c>
      <c r="B690" s="13" t="str">
        <f ca="1">IFERROR(__xludf.DUMMYFUNCTION("""COMPUTED_VALUE"""),"ПДЗ скорости роста концентрации диоксида углерода абсолютной, неделя")</f>
        <v>ПДЗ скорости роста концентрации диоксида углерода абсолютной, неделя</v>
      </c>
      <c r="D690" s="49"/>
      <c r="F690" s="49"/>
      <c r="H690" s="49"/>
    </row>
    <row r="691" spans="1:8" ht="15.75" customHeight="1" x14ac:dyDescent="0.25">
      <c r="A691" s="13" t="str">
        <f ca="1">IFERROR(__xludf.DUMMYFUNCTION("""COMPUTED_VALUE"""),"c_co2_roc_abs_week_lim1_manual")</f>
        <v>c_co2_roc_abs_week_lim1_manual</v>
      </c>
      <c r="B691" s="13" t="str">
        <f ca="1">IFERROR(__xludf.DUMMYFUNCTION("""COMPUTED_VALUE"""),"ПДЗ скорости роста концентрации диоксида углерода абсолютной, неделя, ручное")</f>
        <v>ПДЗ скорости роста концентрации диоксида углерода абсолютной, неделя, ручное</v>
      </c>
      <c r="D691" s="49"/>
      <c r="F691" s="49"/>
      <c r="H691" s="49"/>
    </row>
    <row r="692" spans="1:8" ht="15.75" customHeight="1" x14ac:dyDescent="0.25">
      <c r="A692" s="13" t="str">
        <f ca="1">IFERROR(__xludf.DUMMYFUNCTION("""COMPUTED_VALUE"""),"c_co2_roc_abs_year")</f>
        <v>c_co2_roc_abs_year</v>
      </c>
      <c r="B692" s="13" t="str">
        <f ca="1">IFERROR(__xludf.DUMMYFUNCTION("""COMPUTED_VALUE"""),"Скорость роста концентрации диоксида углерода абсолютная, год")</f>
        <v>Скорость роста концентрации диоксида углерода абсолютная, год</v>
      </c>
      <c r="D692" s="49"/>
      <c r="F692" s="49"/>
      <c r="H692" s="49"/>
    </row>
    <row r="693" spans="1:8" ht="15.75" customHeight="1" x14ac:dyDescent="0.25">
      <c r="A693" s="13" t="str">
        <f ca="1">IFERROR(__xludf.DUMMYFUNCTION("""COMPUTED_VALUE"""),"c_co2_roc_abs_year_lim0")</f>
        <v>c_co2_roc_abs_year_lim0</v>
      </c>
      <c r="B693" s="13" t="str">
        <f ca="1">IFERROR(__xludf.DUMMYFUNCTION("""COMPUTED_VALUE"""),"ДЗ скорости роста концентрации диоксида углерода абсолютной, год")</f>
        <v>ДЗ скорости роста концентрации диоксида углерода абсолютной, год</v>
      </c>
      <c r="D693" s="49"/>
      <c r="F693" s="49"/>
      <c r="H693" s="49"/>
    </row>
    <row r="694" spans="1:8" ht="15.75" customHeight="1" x14ac:dyDescent="0.25">
      <c r="A694" s="13" t="str">
        <f ca="1">IFERROR(__xludf.DUMMYFUNCTION("""COMPUTED_VALUE"""),"c_co2_roc_abs_year_lim0_manual")</f>
        <v>c_co2_roc_abs_year_lim0_manual</v>
      </c>
      <c r="B694" s="13" t="str">
        <f ca="1">IFERROR(__xludf.DUMMYFUNCTION("""COMPUTED_VALUE"""),"ДЗ скорости роста концентрации диоксида углерода абсолютной, год, ручное")</f>
        <v>ДЗ скорости роста концентрации диоксида углерода абсолютной, год, ручное</v>
      </c>
      <c r="D694" s="49"/>
      <c r="F694" s="49"/>
      <c r="H694" s="49"/>
    </row>
    <row r="695" spans="1:8" ht="15.75" customHeight="1" x14ac:dyDescent="0.25">
      <c r="A695" s="13" t="str">
        <f ca="1">IFERROR(__xludf.DUMMYFUNCTION("""COMPUTED_VALUE"""),"c_co2_roc_abs_year_lim1")</f>
        <v>c_co2_roc_abs_year_lim1</v>
      </c>
      <c r="B695" s="13" t="str">
        <f ca="1">IFERROR(__xludf.DUMMYFUNCTION("""COMPUTED_VALUE"""),"ПДЗ скорости роста концентрации диоксида углерода абсолютной, год")</f>
        <v>ПДЗ скорости роста концентрации диоксида углерода абсолютной, год</v>
      </c>
      <c r="D695" s="49"/>
      <c r="F695" s="49"/>
      <c r="H695" s="49"/>
    </row>
    <row r="696" spans="1:8" ht="15.75" customHeight="1" x14ac:dyDescent="0.25">
      <c r="A696" s="13" t="str">
        <f ca="1">IFERROR(__xludf.DUMMYFUNCTION("""COMPUTED_VALUE"""),"c_co2_roc_abs_year_lim1_manual")</f>
        <v>c_co2_roc_abs_year_lim1_manual</v>
      </c>
      <c r="B696" s="13" t="str">
        <f ca="1">IFERROR(__xludf.DUMMYFUNCTION("""COMPUTED_VALUE"""),"ПДЗ скорости роста концентрации диоксида углерода абсолютной, год, ручное")</f>
        <v>ПДЗ скорости роста концентрации диоксида углерода абсолютной, год, ручное</v>
      </c>
      <c r="D696" s="49"/>
      <c r="F696" s="49"/>
      <c r="H696" s="49"/>
    </row>
    <row r="697" spans="1:8" ht="15.75" customHeight="1" x14ac:dyDescent="0.25">
      <c r="A697" s="13" t="str">
        <f ca="1">IFERROR(__xludf.DUMMYFUNCTION("""COMPUTED_VALUE"""),"c_co2_roc_rel_day")</f>
        <v>c_co2_roc_rel_day</v>
      </c>
      <c r="B697" s="13" t="str">
        <f ca="1">IFERROR(__xludf.DUMMYFUNCTION("""COMPUTED_VALUE"""),"Скорость роста концентрации диоксида углерода относительная, сутки")</f>
        <v>Скорость роста концентрации диоксида углерода относительная, сутки</v>
      </c>
      <c r="D697" s="49"/>
      <c r="F697" s="49"/>
      <c r="H697" s="49"/>
    </row>
    <row r="698" spans="1:8" ht="15.75" customHeight="1" x14ac:dyDescent="0.25">
      <c r="A698" s="13" t="str">
        <f ca="1">IFERROR(__xludf.DUMMYFUNCTION("""COMPUTED_VALUE"""),"c_co2_roc_rel_day_lim0")</f>
        <v>c_co2_roc_rel_day_lim0</v>
      </c>
      <c r="B698" s="13" t="str">
        <f ca="1">IFERROR(__xludf.DUMMYFUNCTION("""COMPUTED_VALUE"""),"ДЗ скорости роста концентрации диоксида углерода относительной, сутки")</f>
        <v>ДЗ скорости роста концентрации диоксида углерода относительной, сутки</v>
      </c>
      <c r="D698" s="49"/>
      <c r="F698" s="49"/>
      <c r="H698" s="49"/>
    </row>
    <row r="699" spans="1:8" ht="15.75" customHeight="1" x14ac:dyDescent="0.25">
      <c r="A699" s="13" t="str">
        <f ca="1">IFERROR(__xludf.DUMMYFUNCTION("""COMPUTED_VALUE"""),"c_co2_roc_rel_day_lim0_manual")</f>
        <v>c_co2_roc_rel_day_lim0_manual</v>
      </c>
      <c r="B699" s="13" t="str">
        <f ca="1">IFERROR(__xludf.DUMMYFUNCTION("""COMPUTED_VALUE"""),"ДЗ скорости роста концентрации диоксида углерода относительной, сутки, ручное")</f>
        <v>ДЗ скорости роста концентрации диоксида углерода относительной, сутки, ручное</v>
      </c>
      <c r="D699" s="49"/>
      <c r="F699" s="49"/>
      <c r="H699" s="49"/>
    </row>
    <row r="700" spans="1:8" ht="15.75" customHeight="1" x14ac:dyDescent="0.25">
      <c r="A700" s="13" t="str">
        <f ca="1">IFERROR(__xludf.DUMMYFUNCTION("""COMPUTED_VALUE"""),"c_co2_roc_rel_day_lim1")</f>
        <v>c_co2_roc_rel_day_lim1</v>
      </c>
      <c r="B700" s="13" t="str">
        <f ca="1">IFERROR(__xludf.DUMMYFUNCTION("""COMPUTED_VALUE"""),"ПДЗ скорости роста концентрации диоксида углерода относительной, сутки")</f>
        <v>ПДЗ скорости роста концентрации диоксида углерода относительной, сутки</v>
      </c>
      <c r="D700" s="49"/>
      <c r="F700" s="49"/>
      <c r="H700" s="49"/>
    </row>
    <row r="701" spans="1:8" ht="15.75" customHeight="1" x14ac:dyDescent="0.25">
      <c r="A701" s="13" t="str">
        <f ca="1">IFERROR(__xludf.DUMMYFUNCTION("""COMPUTED_VALUE"""),"c_co2_roc_rel_day_lim1_manual")</f>
        <v>c_co2_roc_rel_day_lim1_manual</v>
      </c>
      <c r="B701" s="13" t="str">
        <f ca="1">IFERROR(__xludf.DUMMYFUNCTION("""COMPUTED_VALUE"""),"ПДЗ скорости роста концентрации диоксида углерода относительной, сутки, ручное")</f>
        <v>ПДЗ скорости роста концентрации диоксида углерода относительной, сутки, ручное</v>
      </c>
      <c r="D701" s="49"/>
      <c r="F701" s="49"/>
      <c r="H701" s="49"/>
    </row>
    <row r="702" spans="1:8" ht="15.75" customHeight="1" x14ac:dyDescent="0.25">
      <c r="A702" s="13" t="str">
        <f ca="1">IFERROR(__xludf.DUMMYFUNCTION("""COMPUTED_VALUE"""),"c_co2_roc_rel_month")</f>
        <v>c_co2_roc_rel_month</v>
      </c>
      <c r="B702" s="13" t="str">
        <f ca="1">IFERROR(__xludf.DUMMYFUNCTION("""COMPUTED_VALUE"""),"Скорость роста концентрации диоксида углерода относительная, месяц")</f>
        <v>Скорость роста концентрации диоксида углерода относительная, месяц</v>
      </c>
      <c r="D702" s="49"/>
      <c r="F702" s="49"/>
      <c r="H702" s="49"/>
    </row>
    <row r="703" spans="1:8" ht="15.75" customHeight="1" x14ac:dyDescent="0.25">
      <c r="A703" s="13" t="str">
        <f ca="1">IFERROR(__xludf.DUMMYFUNCTION("""COMPUTED_VALUE"""),"c_co2_roc_rel_month_lim0")</f>
        <v>c_co2_roc_rel_month_lim0</v>
      </c>
      <c r="B703" s="13" t="str">
        <f ca="1">IFERROR(__xludf.DUMMYFUNCTION("""COMPUTED_VALUE"""),"ДЗ скорости роста концентрации диоксида углерода относительной, месяц")</f>
        <v>ДЗ скорости роста концентрации диоксида углерода относительной, месяц</v>
      </c>
      <c r="D703" s="49"/>
      <c r="F703" s="49"/>
      <c r="H703" s="49"/>
    </row>
    <row r="704" spans="1:8" ht="15.75" customHeight="1" x14ac:dyDescent="0.25">
      <c r="A704" s="13" t="str">
        <f ca="1">IFERROR(__xludf.DUMMYFUNCTION("""COMPUTED_VALUE"""),"c_co2_roc_rel_month_lim0_manual")</f>
        <v>c_co2_roc_rel_month_lim0_manual</v>
      </c>
      <c r="B704" s="13" t="str">
        <f ca="1">IFERROR(__xludf.DUMMYFUNCTION("""COMPUTED_VALUE"""),"ДЗ скорости роста концентрации диоксида углерода относительной, месяц, ручное")</f>
        <v>ДЗ скорости роста концентрации диоксида углерода относительной, месяц, ручное</v>
      </c>
      <c r="D704" s="49"/>
      <c r="F704" s="49"/>
      <c r="H704" s="49"/>
    </row>
    <row r="705" spans="1:8" ht="15.75" customHeight="1" x14ac:dyDescent="0.25">
      <c r="A705" s="13" t="str">
        <f ca="1">IFERROR(__xludf.DUMMYFUNCTION("""COMPUTED_VALUE"""),"c_co2_roc_rel_month_lim1")</f>
        <v>c_co2_roc_rel_month_lim1</v>
      </c>
      <c r="B705" s="13" t="str">
        <f ca="1">IFERROR(__xludf.DUMMYFUNCTION("""COMPUTED_VALUE"""),"ПДЗ скорости роста концентрации диоксида углерода относительной, месяц")</f>
        <v>ПДЗ скорости роста концентрации диоксида углерода относительной, месяц</v>
      </c>
      <c r="D705" s="49"/>
      <c r="F705" s="49"/>
      <c r="H705" s="49"/>
    </row>
    <row r="706" spans="1:8" ht="15.75" customHeight="1" x14ac:dyDescent="0.25">
      <c r="A706" s="13" t="str">
        <f ca="1">IFERROR(__xludf.DUMMYFUNCTION("""COMPUTED_VALUE"""),"c_co2_roc_rel_month_lim1_manual")</f>
        <v>c_co2_roc_rel_month_lim1_manual</v>
      </c>
      <c r="B706" s="13" t="str">
        <f ca="1">IFERROR(__xludf.DUMMYFUNCTION("""COMPUTED_VALUE"""),"ПДЗ скорости роста концентрации диоксида углерода относительной, месяц, ручное")</f>
        <v>ПДЗ скорости роста концентрации диоксида углерода относительной, месяц, ручное</v>
      </c>
      <c r="D706" s="49"/>
      <c r="F706" s="49"/>
      <c r="H706" s="49"/>
    </row>
    <row r="707" spans="1:8" ht="15.75" customHeight="1" x14ac:dyDescent="0.25">
      <c r="A707" s="13" t="str">
        <f ca="1">IFERROR(__xludf.DUMMYFUNCTION("""COMPUTED_VALUE"""),"c_co2_roc_rel_week")</f>
        <v>c_co2_roc_rel_week</v>
      </c>
      <c r="B707" s="13" t="str">
        <f ca="1">IFERROR(__xludf.DUMMYFUNCTION("""COMPUTED_VALUE"""),"Скорость роста концентрации диоксида углерода относительная, неделя")</f>
        <v>Скорость роста концентрации диоксида углерода относительная, неделя</v>
      </c>
      <c r="D707" s="49"/>
      <c r="F707" s="49"/>
      <c r="H707" s="49"/>
    </row>
    <row r="708" spans="1:8" ht="15.75" customHeight="1" x14ac:dyDescent="0.25">
      <c r="A708" s="13" t="str">
        <f ca="1">IFERROR(__xludf.DUMMYFUNCTION("""COMPUTED_VALUE"""),"c_co2_roc_rel_week_lim0")</f>
        <v>c_co2_roc_rel_week_lim0</v>
      </c>
      <c r="B708" s="13" t="str">
        <f ca="1">IFERROR(__xludf.DUMMYFUNCTION("""COMPUTED_VALUE"""),"ДЗ скорости роста концентрации диоксида углерода относительной, неделя")</f>
        <v>ДЗ скорости роста концентрации диоксида углерода относительной, неделя</v>
      </c>
      <c r="D708" s="49"/>
      <c r="F708" s="49"/>
      <c r="H708" s="49"/>
    </row>
    <row r="709" spans="1:8" ht="15.75" customHeight="1" x14ac:dyDescent="0.25">
      <c r="A709" s="13" t="str">
        <f ca="1">IFERROR(__xludf.DUMMYFUNCTION("""COMPUTED_VALUE"""),"c_co2_roc_rel_week_lim0_manual")</f>
        <v>c_co2_roc_rel_week_lim0_manual</v>
      </c>
      <c r="B709" s="13" t="str">
        <f ca="1">IFERROR(__xludf.DUMMYFUNCTION("""COMPUTED_VALUE"""),"ДЗ скорости роста концентрации диоксида углерода относительной, неделя, ручное")</f>
        <v>ДЗ скорости роста концентрации диоксида углерода относительной, неделя, ручное</v>
      </c>
      <c r="D709" s="49"/>
      <c r="F709" s="49"/>
      <c r="H709" s="49"/>
    </row>
    <row r="710" spans="1:8" ht="15.75" customHeight="1" x14ac:dyDescent="0.25">
      <c r="A710" s="13" t="str">
        <f ca="1">IFERROR(__xludf.DUMMYFUNCTION("""COMPUTED_VALUE"""),"c_co2_roc_rel_week_lim1")</f>
        <v>c_co2_roc_rel_week_lim1</v>
      </c>
      <c r="B710" s="13" t="str">
        <f ca="1">IFERROR(__xludf.DUMMYFUNCTION("""COMPUTED_VALUE"""),"ПДЗ скорости роста концентрации диоксида углерода относительной, неделя")</f>
        <v>ПДЗ скорости роста концентрации диоксида углерода относительной, неделя</v>
      </c>
      <c r="D710" s="49"/>
      <c r="F710" s="49"/>
      <c r="H710" s="49"/>
    </row>
    <row r="711" spans="1:8" ht="15.75" customHeight="1" x14ac:dyDescent="0.25">
      <c r="A711" s="13" t="str">
        <f ca="1">IFERROR(__xludf.DUMMYFUNCTION("""COMPUTED_VALUE"""),"c_co2_roc_rel_week_lim1_manual")</f>
        <v>c_co2_roc_rel_week_lim1_manual</v>
      </c>
      <c r="B711" s="13" t="str">
        <f ca="1">IFERROR(__xludf.DUMMYFUNCTION("""COMPUTED_VALUE"""),"ПДЗ скорости роста концентрации диоксида углерода относительной, неделя, ручное")</f>
        <v>ПДЗ скорости роста концентрации диоксида углерода относительной, неделя, ручное</v>
      </c>
      <c r="D711" s="49"/>
      <c r="F711" s="49"/>
      <c r="H711" s="49"/>
    </row>
    <row r="712" spans="1:8" ht="15.75" customHeight="1" x14ac:dyDescent="0.25">
      <c r="A712" s="13" t="str">
        <f ca="1">IFERROR(__xludf.DUMMYFUNCTION("""COMPUTED_VALUE"""),"c_co2_roc_rel_year")</f>
        <v>c_co2_roc_rel_year</v>
      </c>
      <c r="B712" s="13" t="str">
        <f ca="1">IFERROR(__xludf.DUMMYFUNCTION("""COMPUTED_VALUE"""),"Скорость роста концентрации диоксида углерода относительная, год")</f>
        <v>Скорость роста концентрации диоксида углерода относительная, год</v>
      </c>
      <c r="D712" s="49"/>
      <c r="F712" s="49"/>
      <c r="H712" s="49"/>
    </row>
    <row r="713" spans="1:8" ht="15.75" customHeight="1" x14ac:dyDescent="0.25">
      <c r="A713" s="13" t="str">
        <f ca="1">IFERROR(__xludf.DUMMYFUNCTION("""COMPUTED_VALUE"""),"c_co2_roc_rel_year_lim0")</f>
        <v>c_co2_roc_rel_year_lim0</v>
      </c>
      <c r="B713" s="13" t="str">
        <f ca="1">IFERROR(__xludf.DUMMYFUNCTION("""COMPUTED_VALUE"""),"ДЗ скорости роста концентрации диоксида углерода относительной, год")</f>
        <v>ДЗ скорости роста концентрации диоксида углерода относительной, год</v>
      </c>
      <c r="D713" s="49"/>
      <c r="F713" s="49"/>
      <c r="H713" s="49"/>
    </row>
    <row r="714" spans="1:8" ht="15.75" customHeight="1" x14ac:dyDescent="0.25">
      <c r="A714" s="13" t="str">
        <f ca="1">IFERROR(__xludf.DUMMYFUNCTION("""COMPUTED_VALUE"""),"c_co2_roc_rel_year_lim0_manual")</f>
        <v>c_co2_roc_rel_year_lim0_manual</v>
      </c>
      <c r="B714" s="13" t="str">
        <f ca="1">IFERROR(__xludf.DUMMYFUNCTION("""COMPUTED_VALUE"""),"ДЗ скорости роста концентрации диоксида углерода относительной, год, ручное")</f>
        <v>ДЗ скорости роста концентрации диоксида углерода относительной, год, ручное</v>
      </c>
      <c r="D714" s="49"/>
      <c r="F714" s="49"/>
      <c r="H714" s="49"/>
    </row>
    <row r="715" spans="1:8" ht="15.75" customHeight="1" x14ac:dyDescent="0.25">
      <c r="A715" s="13" t="str">
        <f ca="1">IFERROR(__xludf.DUMMYFUNCTION("""COMPUTED_VALUE"""),"c_co2_roc_rel_year_lim1")</f>
        <v>c_co2_roc_rel_year_lim1</v>
      </c>
      <c r="B715" s="13" t="str">
        <f ca="1">IFERROR(__xludf.DUMMYFUNCTION("""COMPUTED_VALUE"""),"ПДЗ скорости роста концентрации диоксида углерода относительной, год")</f>
        <v>ПДЗ скорости роста концентрации диоксида углерода относительной, год</v>
      </c>
      <c r="D715" s="49"/>
      <c r="F715" s="49"/>
      <c r="H715" s="49"/>
    </row>
    <row r="716" spans="1:8" ht="15.75" customHeight="1" x14ac:dyDescent="0.25">
      <c r="A716" s="13" t="str">
        <f ca="1">IFERROR(__xludf.DUMMYFUNCTION("""COMPUTED_VALUE"""),"c_co2_roc_rel_year_lim1_manual")</f>
        <v>c_co2_roc_rel_year_lim1_manual</v>
      </c>
      <c r="B716" s="13" t="str">
        <f ca="1">IFERROR(__xludf.DUMMYFUNCTION("""COMPUTED_VALUE"""),"ПДЗ скорости роста концентрации диоксида углерода относительной, год, ручное")</f>
        <v>ПДЗ скорости роста концентрации диоксида углерода относительной, год, ручное</v>
      </c>
      <c r="D716" s="49"/>
      <c r="F716" s="49"/>
      <c r="H716" s="49"/>
    </row>
    <row r="717" spans="1:8" ht="15.75" customHeight="1" x14ac:dyDescent="0.25">
      <c r="A717" s="13" t="str">
        <f ca="1">IFERROR(__xludf.DUMMYFUNCTION("""COMPUTED_VALUE"""),"c_frac_c2h2_on_c2h4")</f>
        <v>c_frac_c2h2_on_c2h4</v>
      </c>
      <c r="B717" s="13" t="str">
        <f ca="1">IFERROR(__xludf.DUMMYFUNCTION("""COMPUTED_VALUE"""),"Отношение пар газов: ацетилен/этилен")</f>
        <v>Отношение пар газов: ацетилен/этилен</v>
      </c>
      <c r="D717" s="49"/>
      <c r="F717" s="49"/>
      <c r="H717" s="49"/>
    </row>
    <row r="718" spans="1:8" ht="15.75" customHeight="1" x14ac:dyDescent="0.25">
      <c r="A718" s="13" t="str">
        <f ca="1">IFERROR(__xludf.DUMMYFUNCTION("""COMPUTED_VALUE"""),"c_frac_c2h2_on_c2h6")</f>
        <v>c_frac_c2h2_on_c2h6</v>
      </c>
      <c r="B718" s="13" t="str">
        <f ca="1">IFERROR(__xludf.DUMMYFUNCTION("""COMPUTED_VALUE"""),"Отношение пар газов: ацетилен/этан")</f>
        <v>Отношение пар газов: ацетилен/этан</v>
      </c>
      <c r="D718" s="49"/>
      <c r="F718" s="49"/>
      <c r="H718" s="49"/>
    </row>
    <row r="719" spans="1:8" ht="15.75" customHeight="1" x14ac:dyDescent="0.25">
      <c r="A719" s="13" t="str">
        <f ca="1">IFERROR(__xludf.DUMMYFUNCTION("""COMPUTED_VALUE"""),"c_frac_c2h4_on_c2h6")</f>
        <v>c_frac_c2h4_on_c2h6</v>
      </c>
      <c r="B719" s="13" t="str">
        <f ca="1">IFERROR(__xludf.DUMMYFUNCTION("""COMPUTED_VALUE"""),"Отношение пар газов: этилен/этан")</f>
        <v>Отношение пар газов: этилен/этан</v>
      </c>
      <c r="D719" s="49"/>
      <c r="F719" s="49"/>
      <c r="H719" s="49"/>
    </row>
    <row r="720" spans="1:8" ht="15.75" customHeight="1" x14ac:dyDescent="0.25">
      <c r="A720" s="13" t="str">
        <f ca="1">IFERROR(__xludf.DUMMYFUNCTION("""COMPUTED_VALUE"""),"c_frac_ch4_on_h2")</f>
        <v>c_frac_ch4_on_h2</v>
      </c>
      <c r="B720" s="13" t="str">
        <f ca="1">IFERROR(__xludf.DUMMYFUNCTION("""COMPUTED_VALUE"""),"Отношение пар газов: метан/водород")</f>
        <v>Отношение пар газов: метан/водород</v>
      </c>
      <c r="D720" s="49"/>
      <c r="F720" s="49"/>
      <c r="H720" s="49"/>
    </row>
    <row r="721" spans="1:8" ht="15.75" customHeight="1" x14ac:dyDescent="0.25">
      <c r="A721" s="13" t="str">
        <f ca="1">IFERROR(__xludf.DUMMYFUNCTION("""COMPUTED_VALUE"""),"c_frac_co2_on_co")</f>
        <v>c_frac_co2_on_co</v>
      </c>
      <c r="B721" s="13" t="str">
        <f ca="1">IFERROR(__xludf.DUMMYFUNCTION("""COMPUTED_VALUE"""),"Отношение пар газов: оксид углерода/диоксид углерода")</f>
        <v>Отношение пар газов: оксид углерода/диоксид углерода</v>
      </c>
      <c r="D721" s="49"/>
      <c r="F721" s="49"/>
      <c r="H721" s="49"/>
    </row>
    <row r="722" spans="1:8" ht="15.75" customHeight="1" x14ac:dyDescent="0.25">
      <c r="A722" s="13" t="str">
        <f ca="1">IFERROR(__xludf.DUMMYFUNCTION("""COMPUTED_VALUE"""),"c_frac_co2_on_co_max")</f>
        <v>c_frac_co2_on_co_max</v>
      </c>
      <c r="B722" s="13" t="str">
        <f ca="1">IFERROR(__xludf.DUMMYFUNCTION("""COMPUTED_VALUE"""),"Максимальное значения отношения пар газов co2/co")</f>
        <v>Максимальное значения отношения пар газов co2/co</v>
      </c>
      <c r="D722" s="49"/>
      <c r="F722" s="49"/>
      <c r="H722" s="49"/>
    </row>
    <row r="723" spans="1:8" ht="15.75" customHeight="1" x14ac:dyDescent="0.25">
      <c r="A723" s="13" t="str">
        <f ca="1">IFERROR(__xludf.DUMMYFUNCTION("""COMPUTED_VALUE"""),"c_frac_co2_on_co_max_manual")</f>
        <v>c_frac_co2_on_co_max_manual</v>
      </c>
      <c r="B723" s="13" t="str">
        <f ca="1">IFERROR(__xludf.DUMMYFUNCTION("""COMPUTED_VALUE"""),"Максимальное значения отношения пар газов co2/co, ручное")</f>
        <v>Максимальное значения отношения пар газов co2/co, ручное</v>
      </c>
      <c r="D723" s="49"/>
      <c r="F723" s="49"/>
      <c r="H723" s="49"/>
    </row>
    <row r="724" spans="1:8" ht="15.75" customHeight="1" x14ac:dyDescent="0.25">
      <c r="A724" s="13" t="str">
        <f ca="1">IFERROR(__xludf.DUMMYFUNCTION("""COMPUTED_VALUE"""),"c_frac_co2_on_co_min")</f>
        <v>c_frac_co2_on_co_min</v>
      </c>
      <c r="B724" s="13" t="str">
        <f ca="1">IFERROR(__xludf.DUMMYFUNCTION("""COMPUTED_VALUE"""),"Минимальное значение отношения пар газов co2/co")</f>
        <v>Минимальное значение отношения пар газов co2/co</v>
      </c>
      <c r="D724" s="49"/>
      <c r="F724" s="49"/>
      <c r="H724" s="49"/>
    </row>
    <row r="725" spans="1:8" ht="15.75" customHeight="1" x14ac:dyDescent="0.25">
      <c r="A725" s="13" t="str">
        <f ca="1">IFERROR(__xludf.DUMMYFUNCTION("""COMPUTED_VALUE"""),"c_frac_co2_on_co_min_manual")</f>
        <v>c_frac_co2_on_co_min_manual</v>
      </c>
      <c r="B725" s="13" t="str">
        <f ca="1">IFERROR(__xludf.DUMMYFUNCTION("""COMPUTED_VALUE"""),"Минимальное значение отношения пар газов co2/co, ручное")</f>
        <v>Минимальное значение отношения пар газов co2/co, ручное</v>
      </c>
      <c r="D725" s="49"/>
      <c r="F725" s="49"/>
      <c r="H725" s="49"/>
    </row>
    <row r="726" spans="1:8" ht="15.75" customHeight="1" x14ac:dyDescent="0.25">
      <c r="A726" s="13" t="str">
        <f ca="1">IFERROR(__xludf.DUMMYFUNCTION("""COMPUTED_VALUE"""),"c_h2")</f>
        <v>c_h2</v>
      </c>
      <c r="B726" s="13" t="str">
        <f ca="1">IFERROR(__xludf.DUMMYFUNCTION("""COMPUTED_VALUE"""),"Концентрация водорода")</f>
        <v>Концентрация водорода</v>
      </c>
      <c r="D726" s="49"/>
      <c r="F726" s="49"/>
      <c r="H726" s="49"/>
    </row>
    <row r="727" spans="1:8" ht="15.75" customHeight="1" x14ac:dyDescent="0.25">
      <c r="A727" s="13" t="str">
        <f ca="1">IFERROR(__xludf.DUMMYFUNCTION("""COMPUTED_VALUE"""),"c_h2_avg")</f>
        <v>c_h2_avg</v>
      </c>
      <c r="B727" s="13" t="str">
        <f ca="1">IFERROR(__xludf.DUMMYFUNCTION("""COMPUTED_VALUE"""),"Среднее часовое значение концентрации водорода")</f>
        <v>Среднее часовое значение концентрации водорода</v>
      </c>
      <c r="D727" s="49"/>
      <c r="F727" s="49"/>
      <c r="H727" s="49"/>
    </row>
    <row r="728" spans="1:8" ht="15.75" customHeight="1" x14ac:dyDescent="0.25">
      <c r="A728" s="13" t="str">
        <f ca="1">IFERROR(__xludf.DUMMYFUNCTION("""COMPUTED_VALUE"""),"c_h2_forecast")</f>
        <v>c_h2_forecast</v>
      </c>
      <c r="B728" s="13" t="str">
        <f ca="1">IFERROR(__xludf.DUMMYFUNCTION("""COMPUTED_VALUE"""),"Прогноз развития концентрации: водород")</f>
        <v>Прогноз развития концентрации: водород</v>
      </c>
      <c r="D728" s="49"/>
      <c r="F728" s="49"/>
      <c r="H728" s="49"/>
    </row>
    <row r="729" spans="1:8" ht="15.75" customHeight="1" x14ac:dyDescent="0.25">
      <c r="A729" s="13" t="str">
        <f ca="1">IFERROR(__xludf.DUMMYFUNCTION("""COMPUTED_VALUE"""),"c_h2_lim0")</f>
        <v>c_h2_lim0</v>
      </c>
      <c r="B729" s="13" t="str">
        <f ca="1">IFERROR(__xludf.DUMMYFUNCTION("""COMPUTED_VALUE"""),"ДЗ концентрации водорода")</f>
        <v>ДЗ концентрации водорода</v>
      </c>
      <c r="D729" s="49"/>
      <c r="F729" s="49"/>
      <c r="H729" s="49"/>
    </row>
    <row r="730" spans="1:8" ht="15.75" customHeight="1" x14ac:dyDescent="0.25">
      <c r="A730" s="13" t="str">
        <f ca="1">IFERROR(__xludf.DUMMYFUNCTION("""COMPUTED_VALUE"""),"c_h2_lim0_manual")</f>
        <v>c_h2_lim0_manual</v>
      </c>
      <c r="B730" s="13" t="str">
        <f ca="1">IFERROR(__xludf.DUMMYFUNCTION("""COMPUTED_VALUE"""),"ДЗ концентрации водорода ручное")</f>
        <v>ДЗ концентрации водорода ручное</v>
      </c>
      <c r="D730" s="49"/>
      <c r="F730" s="49"/>
      <c r="H730" s="49"/>
    </row>
    <row r="731" spans="1:8" ht="15.75" customHeight="1" x14ac:dyDescent="0.25">
      <c r="A731" s="13" t="str">
        <f ca="1">IFERROR(__xludf.DUMMYFUNCTION("""COMPUTED_VALUE"""),"c_h2_lim1")</f>
        <v>c_h2_lim1</v>
      </c>
      <c r="B731" s="13" t="str">
        <f ca="1">IFERROR(__xludf.DUMMYFUNCTION("""COMPUTED_VALUE"""),"ПДЗ концентрации водорода")</f>
        <v>ПДЗ концентрации водорода</v>
      </c>
      <c r="D731" s="49"/>
      <c r="F731" s="49"/>
      <c r="H731" s="49"/>
    </row>
    <row r="732" spans="1:8" ht="15.75" customHeight="1" x14ac:dyDescent="0.25">
      <c r="A732" s="13" t="str">
        <f ca="1">IFERROR(__xludf.DUMMYFUNCTION("""COMPUTED_VALUE"""),"c_h2_lim1_manual")</f>
        <v>c_h2_lim1_manual</v>
      </c>
      <c r="B732" s="13" t="str">
        <f ca="1">IFERROR(__xludf.DUMMYFUNCTION("""COMPUTED_VALUE"""),"ПДЗ концентрации водорода ручное")</f>
        <v>ПДЗ концентрации водорода ручное</v>
      </c>
      <c r="D732" s="49"/>
      <c r="F732" s="49"/>
      <c r="H732" s="49"/>
    </row>
    <row r="733" spans="1:8" ht="15.75" customHeight="1" x14ac:dyDescent="0.25">
      <c r="A733" s="13" t="str">
        <f ca="1">IFERROR(__xludf.DUMMYFUNCTION("""COMPUTED_VALUE"""),"c_h2_oe_lim0")</f>
        <v>c_h2_oe_lim0</v>
      </c>
      <c r="B733" s="13" t="str">
        <f ca="1">IFERROR(__xludf.DUMMYFUNCTION("""COMPUTED_VALUE"""),"Концентрация водорода относительно ДЗ")</f>
        <v>Концентрация водорода относительно ДЗ</v>
      </c>
      <c r="D733" s="49"/>
      <c r="F733" s="49"/>
      <c r="H733" s="49"/>
    </row>
    <row r="734" spans="1:8" ht="15.75" customHeight="1" x14ac:dyDescent="0.25">
      <c r="A734" s="13" t="str">
        <f ca="1">IFERROR(__xludf.DUMMYFUNCTION("""COMPUTED_VALUE"""),"c_h2_oe_lim1")</f>
        <v>c_h2_oe_lim1</v>
      </c>
      <c r="B734" s="13" t="str">
        <f ca="1">IFERROR(__xludf.DUMMYFUNCTION("""COMPUTED_VALUE"""),"Концентрация водорода относительно ПДЗ")</f>
        <v>Концентрация водорода относительно ПДЗ</v>
      </c>
      <c r="D734" s="49"/>
      <c r="F734" s="49"/>
      <c r="H734" s="49"/>
    </row>
    <row r="735" spans="1:8" ht="15.75" customHeight="1" x14ac:dyDescent="0.25">
      <c r="A735" s="13" t="str">
        <f ca="1">IFERROR(__xludf.DUMMYFUNCTION("""COMPUTED_VALUE"""),"c_h2_offline")</f>
        <v>c_h2_offline</v>
      </c>
      <c r="B735" s="13" t="str">
        <f ca="1">IFERROR(__xludf.DUMMYFUNCTION("""COMPUTED_VALUE"""),"Концентрация водорода (офлайн)")</f>
        <v>Концентрация водорода (офлайн)</v>
      </c>
      <c r="D735" s="49"/>
      <c r="F735" s="49"/>
      <c r="H735" s="49"/>
    </row>
    <row r="736" spans="1:8" ht="15.75" customHeight="1" x14ac:dyDescent="0.25">
      <c r="A736" s="13" t="str">
        <f ca="1">IFERROR(__xludf.DUMMYFUNCTION("""COMPUTED_VALUE"""),"c_h2_roc_abs_day")</f>
        <v>c_h2_roc_abs_day</v>
      </c>
      <c r="B736" s="13" t="str">
        <f ca="1">IFERROR(__xludf.DUMMYFUNCTION("""COMPUTED_VALUE"""),"Скорость роста концентрации водорода абсолютная, сутки")</f>
        <v>Скорость роста концентрации водорода абсолютная, сутки</v>
      </c>
      <c r="D736" s="49"/>
      <c r="F736" s="49"/>
      <c r="H736" s="49"/>
    </row>
    <row r="737" spans="1:8" ht="15.75" customHeight="1" x14ac:dyDescent="0.25">
      <c r="A737" s="13" t="str">
        <f ca="1">IFERROR(__xludf.DUMMYFUNCTION("""COMPUTED_VALUE"""),"c_h2_roc_abs_day_lim0")</f>
        <v>c_h2_roc_abs_day_lim0</v>
      </c>
      <c r="B737" s="13" t="str">
        <f ca="1">IFERROR(__xludf.DUMMYFUNCTION("""COMPUTED_VALUE"""),"ДЗ скорости роста концентрации водорода абсолютной, сутки")</f>
        <v>ДЗ скорости роста концентрации водорода абсолютной, сутки</v>
      </c>
      <c r="D737" s="49"/>
      <c r="F737" s="49"/>
      <c r="H737" s="49"/>
    </row>
    <row r="738" spans="1:8" ht="15.75" customHeight="1" x14ac:dyDescent="0.25">
      <c r="A738" s="13" t="str">
        <f ca="1">IFERROR(__xludf.DUMMYFUNCTION("""COMPUTED_VALUE"""),"c_h2_roc_abs_day_lim0_manual")</f>
        <v>c_h2_roc_abs_day_lim0_manual</v>
      </c>
      <c r="B738" s="13" t="str">
        <f ca="1">IFERROR(__xludf.DUMMYFUNCTION("""COMPUTED_VALUE"""),"ДЗ скорости роста концентрации водорода абсолютной, сутки, ручное")</f>
        <v>ДЗ скорости роста концентрации водорода абсолютной, сутки, ручное</v>
      </c>
      <c r="D738" s="49"/>
      <c r="F738" s="49"/>
      <c r="H738" s="49"/>
    </row>
    <row r="739" spans="1:8" ht="15.75" customHeight="1" x14ac:dyDescent="0.25">
      <c r="A739" s="13" t="str">
        <f ca="1">IFERROR(__xludf.DUMMYFUNCTION("""COMPUTED_VALUE"""),"c_h2_roc_abs_day_lim1")</f>
        <v>c_h2_roc_abs_day_lim1</v>
      </c>
      <c r="B739" s="13" t="str">
        <f ca="1">IFERROR(__xludf.DUMMYFUNCTION("""COMPUTED_VALUE"""),"ПДЗ скорости роста концентрации водорода абсолютной, сутки")</f>
        <v>ПДЗ скорости роста концентрации водорода абсолютной, сутки</v>
      </c>
      <c r="D739" s="49"/>
      <c r="F739" s="49"/>
      <c r="H739" s="49"/>
    </row>
    <row r="740" spans="1:8" ht="15.75" customHeight="1" x14ac:dyDescent="0.25">
      <c r="A740" s="13" t="str">
        <f ca="1">IFERROR(__xludf.DUMMYFUNCTION("""COMPUTED_VALUE"""),"c_h2_roc_abs_day_lim1_manual")</f>
        <v>c_h2_roc_abs_day_lim1_manual</v>
      </c>
      <c r="B740" s="13" t="str">
        <f ca="1">IFERROR(__xludf.DUMMYFUNCTION("""COMPUTED_VALUE"""),"ПДЗ скорости роста концентрации водорода абсолютной, сутки, ручное")</f>
        <v>ПДЗ скорости роста концентрации водорода абсолютной, сутки, ручное</v>
      </c>
      <c r="D740" s="49"/>
      <c r="F740" s="49"/>
      <c r="H740" s="49"/>
    </row>
    <row r="741" spans="1:8" ht="15.75" customHeight="1" x14ac:dyDescent="0.25">
      <c r="A741" s="13" t="str">
        <f ca="1">IFERROR(__xludf.DUMMYFUNCTION("""COMPUTED_VALUE"""),"c_h2_roc_abs_month")</f>
        <v>c_h2_roc_abs_month</v>
      </c>
      <c r="B741" s="13" t="str">
        <f ca="1">IFERROR(__xludf.DUMMYFUNCTION("""COMPUTED_VALUE"""),"Скорость роста концентрации водорода абсолютная, месяц")</f>
        <v>Скорость роста концентрации водорода абсолютная, месяц</v>
      </c>
      <c r="D741" s="49"/>
      <c r="F741" s="49"/>
      <c r="H741" s="49"/>
    </row>
    <row r="742" spans="1:8" ht="15.75" customHeight="1" x14ac:dyDescent="0.25">
      <c r="A742" s="13" t="str">
        <f ca="1">IFERROR(__xludf.DUMMYFUNCTION("""COMPUTED_VALUE"""),"c_h2_roc_abs_month_lim0")</f>
        <v>c_h2_roc_abs_month_lim0</v>
      </c>
      <c r="B742" s="13" t="str">
        <f ca="1">IFERROR(__xludf.DUMMYFUNCTION("""COMPUTED_VALUE"""),"ДЗ скорости роста концентрации водорода абсолютной, месяц")</f>
        <v>ДЗ скорости роста концентрации водорода абсолютной, месяц</v>
      </c>
      <c r="D742" s="49"/>
      <c r="F742" s="49"/>
      <c r="H742" s="49"/>
    </row>
    <row r="743" spans="1:8" ht="15.75" customHeight="1" x14ac:dyDescent="0.25">
      <c r="A743" s="13" t="str">
        <f ca="1">IFERROR(__xludf.DUMMYFUNCTION("""COMPUTED_VALUE"""),"c_h2_roc_abs_month_lim0_manual")</f>
        <v>c_h2_roc_abs_month_lim0_manual</v>
      </c>
      <c r="B743" s="13" t="str">
        <f ca="1">IFERROR(__xludf.DUMMYFUNCTION("""COMPUTED_VALUE"""),"ДЗ скорости роста концентрации водорода абсолютной, месяц, ручное")</f>
        <v>ДЗ скорости роста концентрации водорода абсолютной, месяц, ручное</v>
      </c>
      <c r="D743" s="49"/>
      <c r="F743" s="49"/>
      <c r="H743" s="49"/>
    </row>
    <row r="744" spans="1:8" ht="15.75" customHeight="1" x14ac:dyDescent="0.25">
      <c r="A744" s="13" t="str">
        <f ca="1">IFERROR(__xludf.DUMMYFUNCTION("""COMPUTED_VALUE"""),"c_h2_roc_abs_month_lim1")</f>
        <v>c_h2_roc_abs_month_lim1</v>
      </c>
      <c r="B744" s="13" t="str">
        <f ca="1">IFERROR(__xludf.DUMMYFUNCTION("""COMPUTED_VALUE"""),"ПДЗ скорости роста концентрации водорода абсолютной, месяц")</f>
        <v>ПДЗ скорости роста концентрации водорода абсолютной, месяц</v>
      </c>
      <c r="D744" s="49"/>
      <c r="F744" s="49"/>
      <c r="H744" s="49"/>
    </row>
    <row r="745" spans="1:8" ht="15.75" customHeight="1" x14ac:dyDescent="0.25">
      <c r="A745" s="13" t="str">
        <f ca="1">IFERROR(__xludf.DUMMYFUNCTION("""COMPUTED_VALUE"""),"c_h2_roc_abs_month_lim1_manual")</f>
        <v>c_h2_roc_abs_month_lim1_manual</v>
      </c>
      <c r="B745" s="13" t="str">
        <f ca="1">IFERROR(__xludf.DUMMYFUNCTION("""COMPUTED_VALUE"""),"ПДЗ скорости роста концентрации водорода абсолютной, месяц, ручное")</f>
        <v>ПДЗ скорости роста концентрации водорода абсолютной, месяц, ручное</v>
      </c>
      <c r="D745" s="49"/>
      <c r="F745" s="49"/>
      <c r="H745" s="49"/>
    </row>
    <row r="746" spans="1:8" ht="15.75" customHeight="1" x14ac:dyDescent="0.25">
      <c r="A746" s="13" t="str">
        <f ca="1">IFERROR(__xludf.DUMMYFUNCTION("""COMPUTED_VALUE"""),"c_h2_roc_abs_week")</f>
        <v>c_h2_roc_abs_week</v>
      </c>
      <c r="B746" s="13" t="str">
        <f ca="1">IFERROR(__xludf.DUMMYFUNCTION("""COMPUTED_VALUE"""),"Скорость роста концентрации водорода абсолютная, неделя")</f>
        <v>Скорость роста концентрации водорода абсолютная, неделя</v>
      </c>
      <c r="D746" s="49"/>
      <c r="F746" s="49"/>
      <c r="H746" s="49"/>
    </row>
    <row r="747" spans="1:8" ht="15.75" customHeight="1" x14ac:dyDescent="0.25">
      <c r="A747" s="13" t="str">
        <f ca="1">IFERROR(__xludf.DUMMYFUNCTION("""COMPUTED_VALUE"""),"c_h2_roc_abs_week_lim0")</f>
        <v>c_h2_roc_abs_week_lim0</v>
      </c>
      <c r="B747" s="13" t="str">
        <f ca="1">IFERROR(__xludf.DUMMYFUNCTION("""COMPUTED_VALUE"""),"ДЗ скорости роста концентрации водорода абсолютной, неделя")</f>
        <v>ДЗ скорости роста концентрации водорода абсолютной, неделя</v>
      </c>
      <c r="D747" s="49"/>
      <c r="F747" s="49"/>
      <c r="H747" s="49"/>
    </row>
    <row r="748" spans="1:8" ht="15.75" customHeight="1" x14ac:dyDescent="0.25">
      <c r="A748" s="13" t="str">
        <f ca="1">IFERROR(__xludf.DUMMYFUNCTION("""COMPUTED_VALUE"""),"c_h2_roc_abs_week_lim0_manual")</f>
        <v>c_h2_roc_abs_week_lim0_manual</v>
      </c>
      <c r="B748" s="13" t="str">
        <f ca="1">IFERROR(__xludf.DUMMYFUNCTION("""COMPUTED_VALUE"""),"ДЗ скорости роста концентрации водорода абсолютной, неделя, ручное")</f>
        <v>ДЗ скорости роста концентрации водорода абсолютной, неделя, ручное</v>
      </c>
      <c r="D748" s="49"/>
      <c r="F748" s="49"/>
      <c r="H748" s="49"/>
    </row>
    <row r="749" spans="1:8" ht="15.75" customHeight="1" x14ac:dyDescent="0.25">
      <c r="A749" s="13" t="str">
        <f ca="1">IFERROR(__xludf.DUMMYFUNCTION("""COMPUTED_VALUE"""),"c_h2_roc_abs_week_lim1")</f>
        <v>c_h2_roc_abs_week_lim1</v>
      </c>
      <c r="B749" s="13" t="str">
        <f ca="1">IFERROR(__xludf.DUMMYFUNCTION("""COMPUTED_VALUE"""),"ПДЗ скорости роста концентрации водорода абсолютной, неделя")</f>
        <v>ПДЗ скорости роста концентрации водорода абсолютной, неделя</v>
      </c>
      <c r="D749" s="49"/>
      <c r="F749" s="49"/>
      <c r="H749" s="49"/>
    </row>
    <row r="750" spans="1:8" ht="15.75" customHeight="1" x14ac:dyDescent="0.25">
      <c r="A750" s="13" t="str">
        <f ca="1">IFERROR(__xludf.DUMMYFUNCTION("""COMPUTED_VALUE"""),"c_h2_roc_abs_week_lim1_manual")</f>
        <v>c_h2_roc_abs_week_lim1_manual</v>
      </c>
      <c r="B750" s="13" t="str">
        <f ca="1">IFERROR(__xludf.DUMMYFUNCTION("""COMPUTED_VALUE"""),"ПДЗ скорости роста концентрации водорода абсолютной, неделя, ручное")</f>
        <v>ПДЗ скорости роста концентрации водорода абсолютной, неделя, ручное</v>
      </c>
      <c r="D750" s="49"/>
      <c r="F750" s="49"/>
      <c r="H750" s="49"/>
    </row>
    <row r="751" spans="1:8" ht="15.75" customHeight="1" x14ac:dyDescent="0.25">
      <c r="A751" s="13" t="str">
        <f ca="1">IFERROR(__xludf.DUMMYFUNCTION("""COMPUTED_VALUE"""),"c_h2_roc_abs_year")</f>
        <v>c_h2_roc_abs_year</v>
      </c>
      <c r="B751" s="13" t="str">
        <f ca="1">IFERROR(__xludf.DUMMYFUNCTION("""COMPUTED_VALUE"""),"Скорость роста концентрации водорода абсолютная, год")</f>
        <v>Скорость роста концентрации водорода абсолютная, год</v>
      </c>
      <c r="D751" s="49"/>
      <c r="F751" s="49"/>
      <c r="H751" s="49"/>
    </row>
    <row r="752" spans="1:8" ht="15.75" customHeight="1" x14ac:dyDescent="0.25">
      <c r="A752" s="13" t="str">
        <f ca="1">IFERROR(__xludf.DUMMYFUNCTION("""COMPUTED_VALUE"""),"c_h2_roc_abs_year_lim0")</f>
        <v>c_h2_roc_abs_year_lim0</v>
      </c>
      <c r="B752" s="13" t="str">
        <f ca="1">IFERROR(__xludf.DUMMYFUNCTION("""COMPUTED_VALUE"""),"ДЗ скорости роста концентрации водорода абсолютной, год")</f>
        <v>ДЗ скорости роста концентрации водорода абсолютной, год</v>
      </c>
      <c r="D752" s="49"/>
      <c r="F752" s="49"/>
      <c r="H752" s="49"/>
    </row>
    <row r="753" spans="1:8" ht="15.75" customHeight="1" x14ac:dyDescent="0.25">
      <c r="A753" s="13" t="str">
        <f ca="1">IFERROR(__xludf.DUMMYFUNCTION("""COMPUTED_VALUE"""),"c_h2_roc_abs_year_lim0_manual")</f>
        <v>c_h2_roc_abs_year_lim0_manual</v>
      </c>
      <c r="B753" s="13" t="str">
        <f ca="1">IFERROR(__xludf.DUMMYFUNCTION("""COMPUTED_VALUE"""),"ДЗ скорости роста концентрации водорода абсолютной, год, ручное")</f>
        <v>ДЗ скорости роста концентрации водорода абсолютной, год, ручное</v>
      </c>
      <c r="D753" s="49"/>
      <c r="F753" s="49"/>
      <c r="H753" s="49"/>
    </row>
    <row r="754" spans="1:8" ht="15.75" customHeight="1" x14ac:dyDescent="0.25">
      <c r="A754" s="13" t="str">
        <f ca="1">IFERROR(__xludf.DUMMYFUNCTION("""COMPUTED_VALUE"""),"c_h2_roc_abs_year_lim1")</f>
        <v>c_h2_roc_abs_year_lim1</v>
      </c>
      <c r="B754" s="13" t="str">
        <f ca="1">IFERROR(__xludf.DUMMYFUNCTION("""COMPUTED_VALUE"""),"ПДЗ скорости роста концентрации водорода абсолютной, год")</f>
        <v>ПДЗ скорости роста концентрации водорода абсолютной, год</v>
      </c>
      <c r="D754" s="49"/>
      <c r="F754" s="49"/>
      <c r="H754" s="49"/>
    </row>
    <row r="755" spans="1:8" ht="15.75" customHeight="1" x14ac:dyDescent="0.25">
      <c r="A755" s="13" t="str">
        <f ca="1">IFERROR(__xludf.DUMMYFUNCTION("""COMPUTED_VALUE"""),"c_h2_roc_abs_year_lim1_manual")</f>
        <v>c_h2_roc_abs_year_lim1_manual</v>
      </c>
      <c r="B755" s="13" t="str">
        <f ca="1">IFERROR(__xludf.DUMMYFUNCTION("""COMPUTED_VALUE"""),"ПДЗ скорости роста концентрации водорода абсолютной, год, ручное")</f>
        <v>ПДЗ скорости роста концентрации водорода абсолютной, год, ручное</v>
      </c>
      <c r="D755" s="49"/>
      <c r="F755" s="49"/>
      <c r="H755" s="49"/>
    </row>
    <row r="756" spans="1:8" ht="15.75" customHeight="1" x14ac:dyDescent="0.25">
      <c r="A756" s="13" t="str">
        <f ca="1">IFERROR(__xludf.DUMMYFUNCTION("""COMPUTED_VALUE"""),"c_h2_roc_rel_day")</f>
        <v>c_h2_roc_rel_day</v>
      </c>
      <c r="B756" s="13" t="str">
        <f ca="1">IFERROR(__xludf.DUMMYFUNCTION("""COMPUTED_VALUE"""),"Скорость роста концентрации водорода относительная, сутки")</f>
        <v>Скорость роста концентрации водорода относительная, сутки</v>
      </c>
      <c r="D756" s="49"/>
      <c r="F756" s="49"/>
      <c r="H756" s="49"/>
    </row>
    <row r="757" spans="1:8" ht="15.75" customHeight="1" x14ac:dyDescent="0.25">
      <c r="A757" s="13" t="str">
        <f ca="1">IFERROR(__xludf.DUMMYFUNCTION("""COMPUTED_VALUE"""),"c_h2_roc_rel_day_lim0")</f>
        <v>c_h2_roc_rel_day_lim0</v>
      </c>
      <c r="B757" s="13" t="str">
        <f ca="1">IFERROR(__xludf.DUMMYFUNCTION("""COMPUTED_VALUE"""),"ДЗ скорости роста концентрации водорода относительной, сутки")</f>
        <v>ДЗ скорости роста концентрации водорода относительной, сутки</v>
      </c>
      <c r="D757" s="49"/>
      <c r="F757" s="49"/>
      <c r="H757" s="49"/>
    </row>
    <row r="758" spans="1:8" ht="15.75" customHeight="1" x14ac:dyDescent="0.25">
      <c r="A758" s="13" t="str">
        <f ca="1">IFERROR(__xludf.DUMMYFUNCTION("""COMPUTED_VALUE"""),"c_h2_roc_rel_day_lim0_manual")</f>
        <v>c_h2_roc_rel_day_lim0_manual</v>
      </c>
      <c r="B758" s="13" t="str">
        <f ca="1">IFERROR(__xludf.DUMMYFUNCTION("""COMPUTED_VALUE"""),"ДЗ скорости роста концентрации водорода относительной, сутки, ручное")</f>
        <v>ДЗ скорости роста концентрации водорода относительной, сутки, ручное</v>
      </c>
      <c r="D758" s="49"/>
      <c r="F758" s="49"/>
      <c r="H758" s="49"/>
    </row>
    <row r="759" spans="1:8" ht="15.75" customHeight="1" x14ac:dyDescent="0.25">
      <c r="A759" s="13" t="str">
        <f ca="1">IFERROR(__xludf.DUMMYFUNCTION("""COMPUTED_VALUE"""),"c_h2_roc_rel_day_lim1")</f>
        <v>c_h2_roc_rel_day_lim1</v>
      </c>
      <c r="B759" s="13" t="str">
        <f ca="1">IFERROR(__xludf.DUMMYFUNCTION("""COMPUTED_VALUE"""),"ПДЗ скорости роста концентрации водорода относительной, сутки")</f>
        <v>ПДЗ скорости роста концентрации водорода относительной, сутки</v>
      </c>
      <c r="D759" s="49"/>
      <c r="F759" s="49"/>
      <c r="H759" s="49"/>
    </row>
    <row r="760" spans="1:8" ht="15.75" customHeight="1" x14ac:dyDescent="0.25">
      <c r="A760" s="13" t="str">
        <f ca="1">IFERROR(__xludf.DUMMYFUNCTION("""COMPUTED_VALUE"""),"c_h2_roc_rel_day_lim1_manual")</f>
        <v>c_h2_roc_rel_day_lim1_manual</v>
      </c>
      <c r="B760" s="13" t="str">
        <f ca="1">IFERROR(__xludf.DUMMYFUNCTION("""COMPUTED_VALUE"""),"ПДЗ скорости роста концентрации водорода относительной, сутки, ручное")</f>
        <v>ПДЗ скорости роста концентрации водорода относительной, сутки, ручное</v>
      </c>
      <c r="D760" s="49"/>
      <c r="F760" s="49"/>
      <c r="H760" s="49"/>
    </row>
    <row r="761" spans="1:8" ht="15.75" customHeight="1" x14ac:dyDescent="0.25">
      <c r="A761" s="13" t="str">
        <f ca="1">IFERROR(__xludf.DUMMYFUNCTION("""COMPUTED_VALUE"""),"c_h2_roc_rel_month")</f>
        <v>c_h2_roc_rel_month</v>
      </c>
      <c r="B761" s="13" t="str">
        <f ca="1">IFERROR(__xludf.DUMMYFUNCTION("""COMPUTED_VALUE"""),"Скорость роста концентрации водорода относительная, месяц")</f>
        <v>Скорость роста концентрации водорода относительная, месяц</v>
      </c>
      <c r="D761" s="49"/>
      <c r="F761" s="49"/>
      <c r="H761" s="49"/>
    </row>
    <row r="762" spans="1:8" ht="15.75" customHeight="1" x14ac:dyDescent="0.25">
      <c r="A762" s="13" t="str">
        <f ca="1">IFERROR(__xludf.DUMMYFUNCTION("""COMPUTED_VALUE"""),"c_h2_roc_rel_month_lim0")</f>
        <v>c_h2_roc_rel_month_lim0</v>
      </c>
      <c r="B762" s="13" t="str">
        <f ca="1">IFERROR(__xludf.DUMMYFUNCTION("""COMPUTED_VALUE"""),"ДЗ скорости роста концентрации водорода относительной, месяц")</f>
        <v>ДЗ скорости роста концентрации водорода относительной, месяц</v>
      </c>
      <c r="D762" s="49"/>
      <c r="F762" s="49"/>
      <c r="H762" s="49"/>
    </row>
    <row r="763" spans="1:8" ht="15.75" customHeight="1" x14ac:dyDescent="0.25">
      <c r="A763" s="13" t="str">
        <f ca="1">IFERROR(__xludf.DUMMYFUNCTION("""COMPUTED_VALUE"""),"c_h2_roc_rel_month_lim0_manual")</f>
        <v>c_h2_roc_rel_month_lim0_manual</v>
      </c>
      <c r="B763" s="13" t="str">
        <f ca="1">IFERROR(__xludf.DUMMYFUNCTION("""COMPUTED_VALUE"""),"ДЗ скорости роста концентрации водорода относительной, месяц, ручное")</f>
        <v>ДЗ скорости роста концентрации водорода относительной, месяц, ручное</v>
      </c>
      <c r="D763" s="49"/>
      <c r="F763" s="49"/>
      <c r="H763" s="49"/>
    </row>
    <row r="764" spans="1:8" ht="15.75" customHeight="1" x14ac:dyDescent="0.25">
      <c r="A764" s="13" t="str">
        <f ca="1">IFERROR(__xludf.DUMMYFUNCTION("""COMPUTED_VALUE"""),"c_h2_roc_rel_month_lim1")</f>
        <v>c_h2_roc_rel_month_lim1</v>
      </c>
      <c r="B764" s="13" t="str">
        <f ca="1">IFERROR(__xludf.DUMMYFUNCTION("""COMPUTED_VALUE"""),"ПДЗ скорости роста концентрации водорода относительной, месяц")</f>
        <v>ПДЗ скорости роста концентрации водорода относительной, месяц</v>
      </c>
      <c r="D764" s="49"/>
      <c r="F764" s="49"/>
      <c r="H764" s="49"/>
    </row>
    <row r="765" spans="1:8" ht="15.75" customHeight="1" x14ac:dyDescent="0.25">
      <c r="A765" s="13" t="str">
        <f ca="1">IFERROR(__xludf.DUMMYFUNCTION("""COMPUTED_VALUE"""),"c_h2_roc_rel_month_lim1_manual")</f>
        <v>c_h2_roc_rel_month_lim1_manual</v>
      </c>
      <c r="B765" s="13" t="str">
        <f ca="1">IFERROR(__xludf.DUMMYFUNCTION("""COMPUTED_VALUE"""),"ПДЗ скорости роста концентрации водорода относительной, месяц, ручное")</f>
        <v>ПДЗ скорости роста концентрации водорода относительной, месяц, ручное</v>
      </c>
      <c r="D765" s="49"/>
      <c r="F765" s="49"/>
      <c r="H765" s="49"/>
    </row>
    <row r="766" spans="1:8" ht="15.75" customHeight="1" x14ac:dyDescent="0.25">
      <c r="A766" s="13" t="str">
        <f ca="1">IFERROR(__xludf.DUMMYFUNCTION("""COMPUTED_VALUE"""),"c_h2_roc_rel_week")</f>
        <v>c_h2_roc_rel_week</v>
      </c>
      <c r="B766" s="13" t="str">
        <f ca="1">IFERROR(__xludf.DUMMYFUNCTION("""COMPUTED_VALUE"""),"Скорость роста концентрации водорода относительная, неделя")</f>
        <v>Скорость роста концентрации водорода относительная, неделя</v>
      </c>
      <c r="D766" s="49"/>
      <c r="F766" s="49"/>
      <c r="H766" s="49"/>
    </row>
    <row r="767" spans="1:8" ht="15.75" customHeight="1" x14ac:dyDescent="0.25">
      <c r="A767" s="13" t="str">
        <f ca="1">IFERROR(__xludf.DUMMYFUNCTION("""COMPUTED_VALUE"""),"c_h2_roc_rel_week_lim0")</f>
        <v>c_h2_roc_rel_week_lim0</v>
      </c>
      <c r="B767" s="13" t="str">
        <f ca="1">IFERROR(__xludf.DUMMYFUNCTION("""COMPUTED_VALUE"""),"ДЗ скорости роста концентрации водорода относительной, неделя")</f>
        <v>ДЗ скорости роста концентрации водорода относительной, неделя</v>
      </c>
      <c r="D767" s="49"/>
      <c r="F767" s="49"/>
      <c r="H767" s="49"/>
    </row>
    <row r="768" spans="1:8" ht="15.75" customHeight="1" x14ac:dyDescent="0.25">
      <c r="A768" s="13" t="str">
        <f ca="1">IFERROR(__xludf.DUMMYFUNCTION("""COMPUTED_VALUE"""),"c_h2_roc_rel_week_lim0_manual")</f>
        <v>c_h2_roc_rel_week_lim0_manual</v>
      </c>
      <c r="B768" s="13" t="str">
        <f ca="1">IFERROR(__xludf.DUMMYFUNCTION("""COMPUTED_VALUE"""),"ДЗ скорости роста концентрации водорода относительной, неделя, ручное")</f>
        <v>ДЗ скорости роста концентрации водорода относительной, неделя, ручное</v>
      </c>
      <c r="D768" s="49"/>
      <c r="F768" s="49"/>
      <c r="H768" s="49"/>
    </row>
    <row r="769" spans="1:8" ht="15.75" customHeight="1" x14ac:dyDescent="0.25">
      <c r="A769" s="13" t="str">
        <f ca="1">IFERROR(__xludf.DUMMYFUNCTION("""COMPUTED_VALUE"""),"c_h2_roc_rel_week_lim1")</f>
        <v>c_h2_roc_rel_week_lim1</v>
      </c>
      <c r="B769" s="13" t="str">
        <f ca="1">IFERROR(__xludf.DUMMYFUNCTION("""COMPUTED_VALUE"""),"ПДЗ скорости роста концентрации водорода относительной, неделя")</f>
        <v>ПДЗ скорости роста концентрации водорода относительной, неделя</v>
      </c>
      <c r="D769" s="49"/>
      <c r="F769" s="49"/>
      <c r="H769" s="49"/>
    </row>
    <row r="770" spans="1:8" ht="15.75" customHeight="1" x14ac:dyDescent="0.25">
      <c r="A770" s="13" t="str">
        <f ca="1">IFERROR(__xludf.DUMMYFUNCTION("""COMPUTED_VALUE"""),"c_h2_roc_rel_week_lim1_manual")</f>
        <v>c_h2_roc_rel_week_lim1_manual</v>
      </c>
      <c r="B770" s="13" t="str">
        <f ca="1">IFERROR(__xludf.DUMMYFUNCTION("""COMPUTED_VALUE"""),"ПДЗ скорости роста концентрации водорода относительной, неделя, ручное")</f>
        <v>ПДЗ скорости роста концентрации водорода относительной, неделя, ручное</v>
      </c>
      <c r="D770" s="49"/>
      <c r="F770" s="49"/>
      <c r="H770" s="49"/>
    </row>
    <row r="771" spans="1:8" ht="15.75" customHeight="1" x14ac:dyDescent="0.25">
      <c r="A771" s="13" t="str">
        <f ca="1">IFERROR(__xludf.DUMMYFUNCTION("""COMPUTED_VALUE"""),"c_h2_roc_rel_year")</f>
        <v>c_h2_roc_rel_year</v>
      </c>
      <c r="B771" s="13" t="str">
        <f ca="1">IFERROR(__xludf.DUMMYFUNCTION("""COMPUTED_VALUE"""),"Скорость роста концентрации водорода относительная, год")</f>
        <v>Скорость роста концентрации водорода относительная, год</v>
      </c>
      <c r="D771" s="49"/>
      <c r="F771" s="49"/>
      <c r="H771" s="49"/>
    </row>
    <row r="772" spans="1:8" ht="15.75" customHeight="1" x14ac:dyDescent="0.25">
      <c r="A772" s="13" t="str">
        <f ca="1">IFERROR(__xludf.DUMMYFUNCTION("""COMPUTED_VALUE"""),"c_h2_roc_rel_year_lim0")</f>
        <v>c_h2_roc_rel_year_lim0</v>
      </c>
      <c r="B772" s="13" t="str">
        <f ca="1">IFERROR(__xludf.DUMMYFUNCTION("""COMPUTED_VALUE"""),"ДЗ скорости роста концентрации водорода относительной, год")</f>
        <v>ДЗ скорости роста концентрации водорода относительной, год</v>
      </c>
      <c r="D772" s="49"/>
      <c r="F772" s="49"/>
      <c r="H772" s="49"/>
    </row>
    <row r="773" spans="1:8" ht="15.75" customHeight="1" x14ac:dyDescent="0.25">
      <c r="A773" s="13" t="str">
        <f ca="1">IFERROR(__xludf.DUMMYFUNCTION("""COMPUTED_VALUE"""),"c_h2_roc_rel_year_lim0_manual")</f>
        <v>c_h2_roc_rel_year_lim0_manual</v>
      </c>
      <c r="B773" s="13" t="str">
        <f ca="1">IFERROR(__xludf.DUMMYFUNCTION("""COMPUTED_VALUE"""),"ДЗ скорости роста концентрации водорода относительной, год, ручное")</f>
        <v>ДЗ скорости роста концентрации водорода относительной, год, ручное</v>
      </c>
      <c r="D773" s="49"/>
      <c r="F773" s="49"/>
      <c r="H773" s="49"/>
    </row>
    <row r="774" spans="1:8" ht="15.75" customHeight="1" x14ac:dyDescent="0.25">
      <c r="A774" s="13" t="str">
        <f ca="1">IFERROR(__xludf.DUMMYFUNCTION("""COMPUTED_VALUE"""),"c_h2_roc_rel_year_lim1")</f>
        <v>c_h2_roc_rel_year_lim1</v>
      </c>
      <c r="B774" s="13" t="str">
        <f ca="1">IFERROR(__xludf.DUMMYFUNCTION("""COMPUTED_VALUE"""),"ПДЗ скорости роста концентрации водорода относительной, год")</f>
        <v>ПДЗ скорости роста концентрации водорода относительной, год</v>
      </c>
      <c r="D774" s="49"/>
      <c r="F774" s="49"/>
      <c r="H774" s="49"/>
    </row>
    <row r="775" spans="1:8" ht="15.75" customHeight="1" x14ac:dyDescent="0.25">
      <c r="A775" s="13" t="str">
        <f ca="1">IFERROR(__xludf.DUMMYFUNCTION("""COMPUTED_VALUE"""),"c_h2_roc_rel_year_lim1_manual")</f>
        <v>c_h2_roc_rel_year_lim1_manual</v>
      </c>
      <c r="B775" s="13" t="str">
        <f ca="1">IFERROR(__xludf.DUMMYFUNCTION("""COMPUTED_VALUE"""),"ПДЗ скорости роста концентрации водорода относительной, год, ручное")</f>
        <v>ПДЗ скорости роста концентрации водорода относительной, год, ручное</v>
      </c>
      <c r="D775" s="49"/>
      <c r="F775" s="49"/>
      <c r="H775" s="49"/>
    </row>
    <row r="776" spans="1:8" ht="15.75" customHeight="1" x14ac:dyDescent="0.25">
      <c r="A776" s="13" t="str">
        <f ca="1">IFERROR(__xludf.DUMMYFUNCTION("""COMPUTED_VALUE"""),"c_n2")</f>
        <v>c_n2</v>
      </c>
      <c r="B776" s="13" t="str">
        <f ca="1">IFERROR(__xludf.DUMMYFUNCTION("""COMPUTED_VALUE"""),"Концентрация азота")</f>
        <v>Концентрация азота</v>
      </c>
      <c r="D776" s="49"/>
      <c r="F776" s="49"/>
      <c r="H776" s="49"/>
    </row>
    <row r="777" spans="1:8" ht="15.75" customHeight="1" x14ac:dyDescent="0.25">
      <c r="A777" s="13" t="str">
        <f ca="1">IFERROR(__xludf.DUMMYFUNCTION("""COMPUTED_VALUE"""),"c_n2_forecast")</f>
        <v>c_n2_forecast</v>
      </c>
      <c r="B777" s="13" t="str">
        <f ca="1">IFERROR(__xludf.DUMMYFUNCTION("""COMPUTED_VALUE"""),"Прогноз развития концентрации: азот")</f>
        <v>Прогноз развития концентрации: азот</v>
      </c>
      <c r="D777" s="49"/>
      <c r="F777" s="49"/>
      <c r="H777" s="49"/>
    </row>
    <row r="778" spans="1:8" ht="15.75" customHeight="1" x14ac:dyDescent="0.25">
      <c r="A778" s="13" t="str">
        <f ca="1">IFERROR(__xludf.DUMMYFUNCTION("""COMPUTED_VALUE"""),"c_o2")</f>
        <v>c_o2</v>
      </c>
      <c r="B778" s="13" t="str">
        <f ca="1">IFERROR(__xludf.DUMMYFUNCTION("""COMPUTED_VALUE"""),"Концентрация кислорода")</f>
        <v>Концентрация кислорода</v>
      </c>
      <c r="D778" s="49"/>
      <c r="F778" s="49"/>
      <c r="H778" s="49"/>
    </row>
    <row r="779" spans="1:8" ht="15.75" customHeight="1" x14ac:dyDescent="0.25">
      <c r="A779" s="13" t="str">
        <f ca="1">IFERROR(__xludf.DUMMYFUNCTION("""COMPUTED_VALUE"""),"c_o2_forecast")</f>
        <v>c_o2_forecast</v>
      </c>
      <c r="B779" s="13" t="str">
        <f ca="1">IFERROR(__xludf.DUMMYFUNCTION("""COMPUTED_VALUE"""),"Прогноз развития концентрации: кислород")</f>
        <v>Прогноз развития концентрации: кислород</v>
      </c>
      <c r="D779" s="49"/>
      <c r="F779" s="49"/>
      <c r="H779" s="49"/>
    </row>
    <row r="780" spans="1:8" ht="15.75" customHeight="1" x14ac:dyDescent="0.25">
      <c r="A780" s="13" t="str">
        <f ca="1">IFERROR(__xludf.DUMMYFUNCTION("""COMPUTED_VALUE"""),"c_roc_c2h2_abs")</f>
        <v>c_roc_c2h2_abs</v>
      </c>
      <c r="B780" s="13" t="str">
        <f ca="1">IFERROR(__xludf.DUMMYFUNCTION("""COMPUTED_VALUE"""),"Абсолютная скорость роста концентрации ацетилена")</f>
        <v>Абсолютная скорость роста концентрации ацетилена</v>
      </c>
      <c r="D780" s="49"/>
      <c r="F780" s="49"/>
      <c r="H780" s="49"/>
    </row>
    <row r="781" spans="1:8" ht="15.75" customHeight="1" x14ac:dyDescent="0.25">
      <c r="A781" s="13" t="str">
        <f ca="1">IFERROR(__xludf.DUMMYFUNCTION("""COMPUTED_VALUE"""),"c_roc_c2h2_abs_lim0")</f>
        <v>c_roc_c2h2_abs_lim0</v>
      </c>
      <c r="B781" s="13" t="str">
        <f ca="1">IFERROR(__xludf.DUMMYFUNCTION("""COMPUTED_VALUE"""),"ДЗ абсолютной скорости роста концентрации ацетилена")</f>
        <v>ДЗ абсолютной скорости роста концентрации ацетилена</v>
      </c>
      <c r="D781" s="49"/>
      <c r="F781" s="49"/>
      <c r="H781" s="49"/>
    </row>
    <row r="782" spans="1:8" ht="15.75" customHeight="1" x14ac:dyDescent="0.25">
      <c r="A782" s="13" t="str">
        <f ca="1">IFERROR(__xludf.DUMMYFUNCTION("""COMPUTED_VALUE"""),"c_roc_c2h2_abs_lim1")</f>
        <v>c_roc_c2h2_abs_lim1</v>
      </c>
      <c r="B782" s="13" t="str">
        <f ca="1">IFERROR(__xludf.DUMMYFUNCTION("""COMPUTED_VALUE"""),"ПДЗ абсолютной скорости роста концентрации ацетилена")</f>
        <v>ПДЗ абсолютной скорости роста концентрации ацетилена</v>
      </c>
      <c r="D782" s="49"/>
      <c r="F782" s="49"/>
      <c r="H782" s="49"/>
    </row>
    <row r="783" spans="1:8" ht="15.75" customHeight="1" x14ac:dyDescent="0.25">
      <c r="A783" s="13" t="str">
        <f ca="1">IFERROR(__xludf.DUMMYFUNCTION("""COMPUTED_VALUE"""),"c_roc_c2h2_rel")</f>
        <v>c_roc_c2h2_rel</v>
      </c>
      <c r="B783" s="13" t="str">
        <f ca="1">IFERROR(__xludf.DUMMYFUNCTION("""COMPUTED_VALUE"""),"Относительная скорость роста концентрации ацетилена")</f>
        <v>Относительная скорость роста концентрации ацетилена</v>
      </c>
      <c r="D783" s="49"/>
      <c r="F783" s="49"/>
      <c r="H783" s="49"/>
    </row>
    <row r="784" spans="1:8" ht="15.75" customHeight="1" x14ac:dyDescent="0.25">
      <c r="A784" s="13" t="str">
        <f ca="1">IFERROR(__xludf.DUMMYFUNCTION("""COMPUTED_VALUE"""),"c_roc_c2h2_rel_lim0")</f>
        <v>c_roc_c2h2_rel_lim0</v>
      </c>
      <c r="B784" s="13" t="str">
        <f ca="1">IFERROR(__xludf.DUMMYFUNCTION("""COMPUTED_VALUE"""),"ДЗ относительной скорости роста концентрации ацетилена")</f>
        <v>ДЗ относительной скорости роста концентрации ацетилена</v>
      </c>
      <c r="D784" s="49"/>
      <c r="F784" s="49"/>
      <c r="H784" s="49"/>
    </row>
    <row r="785" spans="1:8" ht="15.75" customHeight="1" x14ac:dyDescent="0.25">
      <c r="A785" s="13" t="str">
        <f ca="1">IFERROR(__xludf.DUMMYFUNCTION("""COMPUTED_VALUE"""),"c_roc_c2h2_rel_lim1")</f>
        <v>c_roc_c2h2_rel_lim1</v>
      </c>
      <c r="B785" s="13" t="str">
        <f ca="1">IFERROR(__xludf.DUMMYFUNCTION("""COMPUTED_VALUE"""),"ПДЗ относительной скорости роста концентрации ацетилена")</f>
        <v>ПДЗ относительной скорости роста концентрации ацетилена</v>
      </c>
      <c r="D785" s="49"/>
      <c r="F785" s="49"/>
      <c r="H785" s="49"/>
    </row>
    <row r="786" spans="1:8" ht="15.75" customHeight="1" x14ac:dyDescent="0.25">
      <c r="A786" s="13" t="str">
        <f ca="1">IFERROR(__xludf.DUMMYFUNCTION("""COMPUTED_VALUE"""),"c_roc_c2h4_abs")</f>
        <v>c_roc_c2h4_abs</v>
      </c>
      <c r="B786" s="13" t="str">
        <f ca="1">IFERROR(__xludf.DUMMYFUNCTION("""COMPUTED_VALUE"""),"Абсолютная скорость роста концентрации этилена")</f>
        <v>Абсолютная скорость роста концентрации этилена</v>
      </c>
      <c r="D786" s="49"/>
      <c r="F786" s="49"/>
      <c r="H786" s="49"/>
    </row>
    <row r="787" spans="1:8" ht="15.75" customHeight="1" x14ac:dyDescent="0.25">
      <c r="A787" s="13" t="str">
        <f ca="1">IFERROR(__xludf.DUMMYFUNCTION("""COMPUTED_VALUE"""),"c_roc_c2h4_abs_lim0")</f>
        <v>c_roc_c2h4_abs_lim0</v>
      </c>
      <c r="B787" s="13" t="str">
        <f ca="1">IFERROR(__xludf.DUMMYFUNCTION("""COMPUTED_VALUE"""),"ДЗ абсолютной скорости роста концентрации этилена")</f>
        <v>ДЗ абсолютной скорости роста концентрации этилена</v>
      </c>
      <c r="D787" s="49"/>
      <c r="F787" s="49"/>
      <c r="H787" s="49"/>
    </row>
    <row r="788" spans="1:8" ht="15.75" customHeight="1" x14ac:dyDescent="0.25">
      <c r="A788" s="13" t="str">
        <f ca="1">IFERROR(__xludf.DUMMYFUNCTION("""COMPUTED_VALUE"""),"c_roc_c2h4_abs_lim1")</f>
        <v>c_roc_c2h4_abs_lim1</v>
      </c>
      <c r="B788" s="13" t="str">
        <f ca="1">IFERROR(__xludf.DUMMYFUNCTION("""COMPUTED_VALUE"""),"ПДЗ абсолютной скорости роста концентрации этилена")</f>
        <v>ПДЗ абсолютной скорости роста концентрации этилена</v>
      </c>
      <c r="D788" s="49"/>
      <c r="F788" s="49"/>
      <c r="H788" s="49"/>
    </row>
    <row r="789" spans="1:8" ht="15.75" customHeight="1" x14ac:dyDescent="0.25">
      <c r="A789" s="13" t="str">
        <f ca="1">IFERROR(__xludf.DUMMYFUNCTION("""COMPUTED_VALUE"""),"c_roc_c2h4_rel")</f>
        <v>c_roc_c2h4_rel</v>
      </c>
      <c r="B789" s="13" t="str">
        <f ca="1">IFERROR(__xludf.DUMMYFUNCTION("""COMPUTED_VALUE"""),"Относительная скорость роста концентрации этилена")</f>
        <v>Относительная скорость роста концентрации этилена</v>
      </c>
      <c r="D789" s="49"/>
      <c r="F789" s="49"/>
      <c r="H789" s="49"/>
    </row>
    <row r="790" spans="1:8" ht="15.75" customHeight="1" x14ac:dyDescent="0.25">
      <c r="A790" s="13" t="str">
        <f ca="1">IFERROR(__xludf.DUMMYFUNCTION("""COMPUTED_VALUE"""),"c_roc_c2h4_rel_lim0")</f>
        <v>c_roc_c2h4_rel_lim0</v>
      </c>
      <c r="B790" s="13" t="str">
        <f ca="1">IFERROR(__xludf.DUMMYFUNCTION("""COMPUTED_VALUE"""),"ДЗ относительной скорости роста концентрации этилена")</f>
        <v>ДЗ относительной скорости роста концентрации этилена</v>
      </c>
      <c r="D790" s="49"/>
      <c r="F790" s="49"/>
      <c r="H790" s="49"/>
    </row>
    <row r="791" spans="1:8" ht="15.75" customHeight="1" x14ac:dyDescent="0.25">
      <c r="A791" s="13" t="str">
        <f ca="1">IFERROR(__xludf.DUMMYFUNCTION("""COMPUTED_VALUE"""),"c_roc_c2h4_rel_lim1")</f>
        <v>c_roc_c2h4_rel_lim1</v>
      </c>
      <c r="B791" s="13" t="str">
        <f ca="1">IFERROR(__xludf.DUMMYFUNCTION("""COMPUTED_VALUE"""),"ПДЗ относительной скорости роста концентрации этилена")</f>
        <v>ПДЗ относительной скорости роста концентрации этилена</v>
      </c>
      <c r="D791" s="49"/>
      <c r="F791" s="49"/>
      <c r="H791" s="49"/>
    </row>
    <row r="792" spans="1:8" ht="15.75" customHeight="1" x14ac:dyDescent="0.25">
      <c r="A792" s="13" t="str">
        <f ca="1">IFERROR(__xludf.DUMMYFUNCTION("""COMPUTED_VALUE"""),"c_roc_c2h6_abs")</f>
        <v>c_roc_c2h6_abs</v>
      </c>
      <c r="B792" s="13" t="str">
        <f ca="1">IFERROR(__xludf.DUMMYFUNCTION("""COMPUTED_VALUE"""),"Абсолютная скорость роста концентрации этана")</f>
        <v>Абсолютная скорость роста концентрации этана</v>
      </c>
      <c r="D792" s="49"/>
      <c r="F792" s="49"/>
      <c r="H792" s="49"/>
    </row>
    <row r="793" spans="1:8" ht="15.75" customHeight="1" x14ac:dyDescent="0.25">
      <c r="A793" s="13" t="str">
        <f ca="1">IFERROR(__xludf.DUMMYFUNCTION("""COMPUTED_VALUE"""),"c_roc_c2h6_abs_lim0")</f>
        <v>c_roc_c2h6_abs_lim0</v>
      </c>
      <c r="B793" s="13" t="str">
        <f ca="1">IFERROR(__xludf.DUMMYFUNCTION("""COMPUTED_VALUE"""),"ДЗ абсолютной скорости роста концентрации этана")</f>
        <v>ДЗ абсолютной скорости роста концентрации этана</v>
      </c>
      <c r="D793" s="49"/>
      <c r="F793" s="49"/>
      <c r="H793" s="49"/>
    </row>
    <row r="794" spans="1:8" ht="15.75" customHeight="1" x14ac:dyDescent="0.25">
      <c r="A794" s="13" t="str">
        <f ca="1">IFERROR(__xludf.DUMMYFUNCTION("""COMPUTED_VALUE"""),"c_roc_c2h6_abs_lim1")</f>
        <v>c_roc_c2h6_abs_lim1</v>
      </c>
      <c r="B794" s="13" t="str">
        <f ca="1">IFERROR(__xludf.DUMMYFUNCTION("""COMPUTED_VALUE"""),"ПДЗ абсолютной скорости роста концентрации этана")</f>
        <v>ПДЗ абсолютной скорости роста концентрации этана</v>
      </c>
      <c r="D794" s="49"/>
      <c r="F794" s="49"/>
      <c r="H794" s="49"/>
    </row>
    <row r="795" spans="1:8" ht="15.75" customHeight="1" x14ac:dyDescent="0.25">
      <c r="A795" s="13" t="str">
        <f ca="1">IFERROR(__xludf.DUMMYFUNCTION("""COMPUTED_VALUE"""),"c_roc_c2h6_rel")</f>
        <v>c_roc_c2h6_rel</v>
      </c>
      <c r="B795" s="13" t="str">
        <f ca="1">IFERROR(__xludf.DUMMYFUNCTION("""COMPUTED_VALUE"""),"Относительная скорость роста концентрации этана")</f>
        <v>Относительная скорость роста концентрации этана</v>
      </c>
      <c r="D795" s="49"/>
      <c r="F795" s="49"/>
      <c r="H795" s="49"/>
    </row>
    <row r="796" spans="1:8" ht="15.75" customHeight="1" x14ac:dyDescent="0.25">
      <c r="A796" s="13" t="str">
        <f ca="1">IFERROR(__xludf.DUMMYFUNCTION("""COMPUTED_VALUE"""),"c_roc_c2h6_rel_lim0")</f>
        <v>c_roc_c2h6_rel_lim0</v>
      </c>
      <c r="B796" s="13" t="str">
        <f ca="1">IFERROR(__xludf.DUMMYFUNCTION("""COMPUTED_VALUE"""),"ДЗ относительной скорости роста концентрации этана")</f>
        <v>ДЗ относительной скорости роста концентрации этана</v>
      </c>
      <c r="D796" s="49"/>
      <c r="F796" s="49"/>
      <c r="H796" s="49"/>
    </row>
    <row r="797" spans="1:8" ht="15.75" customHeight="1" x14ac:dyDescent="0.25">
      <c r="A797" s="13" t="str">
        <f ca="1">IFERROR(__xludf.DUMMYFUNCTION("""COMPUTED_VALUE"""),"c_roc_c2h6_rel_lim1")</f>
        <v>c_roc_c2h6_rel_lim1</v>
      </c>
      <c r="B797" s="13" t="str">
        <f ca="1">IFERROR(__xludf.DUMMYFUNCTION("""COMPUTED_VALUE"""),"ПДЗ относительной скорости роста концентрации этана")</f>
        <v>ПДЗ относительной скорости роста концентрации этана</v>
      </c>
      <c r="D797" s="49"/>
      <c r="F797" s="49"/>
      <c r="H797" s="49"/>
    </row>
    <row r="798" spans="1:8" ht="15.75" customHeight="1" x14ac:dyDescent="0.25">
      <c r="A798" s="13" t="str">
        <f ca="1">IFERROR(__xludf.DUMMYFUNCTION("""COMPUTED_VALUE"""),"c_roc_ch4_abs")</f>
        <v>c_roc_ch4_abs</v>
      </c>
      <c r="B798" s="13" t="str">
        <f ca="1">IFERROR(__xludf.DUMMYFUNCTION("""COMPUTED_VALUE"""),"Абсолютная скорость роста концентрации метана")</f>
        <v>Абсолютная скорость роста концентрации метана</v>
      </c>
      <c r="D798" s="49"/>
      <c r="F798" s="49"/>
      <c r="H798" s="49"/>
    </row>
    <row r="799" spans="1:8" ht="15.75" customHeight="1" x14ac:dyDescent="0.25">
      <c r="A799" s="13" t="str">
        <f ca="1">IFERROR(__xludf.DUMMYFUNCTION("""COMPUTED_VALUE"""),"c_roc_ch4_abs_lim0")</f>
        <v>c_roc_ch4_abs_lim0</v>
      </c>
      <c r="B799" s="13" t="str">
        <f ca="1">IFERROR(__xludf.DUMMYFUNCTION("""COMPUTED_VALUE"""),"ДЗ абсолютной скорости роста концентрации метана")</f>
        <v>ДЗ абсолютной скорости роста концентрации метана</v>
      </c>
      <c r="D799" s="49"/>
      <c r="F799" s="49"/>
      <c r="H799" s="49"/>
    </row>
    <row r="800" spans="1:8" ht="15.75" customHeight="1" x14ac:dyDescent="0.25">
      <c r="A800" s="13" t="str">
        <f ca="1">IFERROR(__xludf.DUMMYFUNCTION("""COMPUTED_VALUE"""),"c_roc_ch4_abs_lim1")</f>
        <v>c_roc_ch4_abs_lim1</v>
      </c>
      <c r="B800" s="13" t="str">
        <f ca="1">IFERROR(__xludf.DUMMYFUNCTION("""COMPUTED_VALUE"""),"ПДЗ абсолютной скорости роста концентрации метана")</f>
        <v>ПДЗ абсолютной скорости роста концентрации метана</v>
      </c>
      <c r="D800" s="49"/>
      <c r="F800" s="49"/>
      <c r="H800" s="49"/>
    </row>
    <row r="801" spans="1:8" ht="15.75" customHeight="1" x14ac:dyDescent="0.25">
      <c r="A801" s="13" t="str">
        <f ca="1">IFERROR(__xludf.DUMMYFUNCTION("""COMPUTED_VALUE"""),"c_roc_ch4_rel")</f>
        <v>c_roc_ch4_rel</v>
      </c>
      <c r="B801" s="13" t="str">
        <f ca="1">IFERROR(__xludf.DUMMYFUNCTION("""COMPUTED_VALUE"""),"Относительная скорость роста концентрации метана")</f>
        <v>Относительная скорость роста концентрации метана</v>
      </c>
      <c r="D801" s="49"/>
      <c r="F801" s="49"/>
      <c r="H801" s="49"/>
    </row>
    <row r="802" spans="1:8" ht="15.75" customHeight="1" x14ac:dyDescent="0.25">
      <c r="A802" s="13" t="str">
        <f ca="1">IFERROR(__xludf.DUMMYFUNCTION("""COMPUTED_VALUE"""),"c_roc_ch4_rel_lim0")</f>
        <v>c_roc_ch4_rel_lim0</v>
      </c>
      <c r="B802" s="13" t="str">
        <f ca="1">IFERROR(__xludf.DUMMYFUNCTION("""COMPUTED_VALUE"""),"ДЗ относительной скорости роста концентрации метана")</f>
        <v>ДЗ относительной скорости роста концентрации метана</v>
      </c>
      <c r="D802" s="49"/>
      <c r="F802" s="49"/>
      <c r="H802" s="49"/>
    </row>
    <row r="803" spans="1:8" ht="15.75" customHeight="1" x14ac:dyDescent="0.25">
      <c r="A803" s="13" t="str">
        <f ca="1">IFERROR(__xludf.DUMMYFUNCTION("""COMPUTED_VALUE"""),"c_roc_ch4_rel_lim1")</f>
        <v>c_roc_ch4_rel_lim1</v>
      </c>
      <c r="B803" s="13" t="str">
        <f ca="1">IFERROR(__xludf.DUMMYFUNCTION("""COMPUTED_VALUE"""),"ПДЗ относительной скорости роста концентрации метана")</f>
        <v>ПДЗ относительной скорости роста концентрации метана</v>
      </c>
      <c r="D803" s="49"/>
      <c r="F803" s="49"/>
      <c r="H803" s="49"/>
    </row>
    <row r="804" spans="1:8" ht="15.75" customHeight="1" x14ac:dyDescent="0.25">
      <c r="A804" s="13" t="str">
        <f ca="1">IFERROR(__xludf.DUMMYFUNCTION("""COMPUTED_VALUE"""),"c_roc_co_abs")</f>
        <v>c_roc_co_abs</v>
      </c>
      <c r="B804" s="13" t="str">
        <f ca="1">IFERROR(__xludf.DUMMYFUNCTION("""COMPUTED_VALUE"""),"Абсолютная скорость роста концентрации оксида углерода")</f>
        <v>Абсолютная скорость роста концентрации оксида углерода</v>
      </c>
      <c r="D804" s="49"/>
      <c r="F804" s="49"/>
      <c r="H804" s="49"/>
    </row>
    <row r="805" spans="1:8" ht="15.75" customHeight="1" x14ac:dyDescent="0.25">
      <c r="A805" s="13" t="str">
        <f ca="1">IFERROR(__xludf.DUMMYFUNCTION("""COMPUTED_VALUE"""),"c_roc_co_abs_lim0")</f>
        <v>c_roc_co_abs_lim0</v>
      </c>
      <c r="B805" s="13" t="str">
        <f ca="1">IFERROR(__xludf.DUMMYFUNCTION("""COMPUTED_VALUE"""),"ДЗ абсолютной скорости роста концентрации оксида углерода")</f>
        <v>ДЗ абсолютной скорости роста концентрации оксида углерода</v>
      </c>
      <c r="D805" s="49"/>
      <c r="F805" s="49"/>
      <c r="H805" s="49"/>
    </row>
    <row r="806" spans="1:8" ht="15.75" customHeight="1" x14ac:dyDescent="0.25">
      <c r="A806" s="13" t="str">
        <f ca="1">IFERROR(__xludf.DUMMYFUNCTION("""COMPUTED_VALUE"""),"c_roc_co_abs_lim1")</f>
        <v>c_roc_co_abs_lim1</v>
      </c>
      <c r="B806" s="13" t="str">
        <f ca="1">IFERROR(__xludf.DUMMYFUNCTION("""COMPUTED_VALUE"""),"ПДЗ абсолютной скорости роста концентрации оксида углерода")</f>
        <v>ПДЗ абсолютной скорости роста концентрации оксида углерода</v>
      </c>
      <c r="D806" s="49"/>
      <c r="F806" s="49"/>
      <c r="H806" s="49"/>
    </row>
    <row r="807" spans="1:8" ht="15.75" customHeight="1" x14ac:dyDescent="0.25">
      <c r="A807" s="13" t="str">
        <f ca="1">IFERROR(__xludf.DUMMYFUNCTION("""COMPUTED_VALUE"""),"c_roc_co_rel")</f>
        <v>c_roc_co_rel</v>
      </c>
      <c r="B807" s="13" t="str">
        <f ca="1">IFERROR(__xludf.DUMMYFUNCTION("""COMPUTED_VALUE"""),"Относительная скорость роста концентрации оксида углерода")</f>
        <v>Относительная скорость роста концентрации оксида углерода</v>
      </c>
      <c r="D807" s="49"/>
      <c r="F807" s="49"/>
      <c r="H807" s="49"/>
    </row>
    <row r="808" spans="1:8" ht="15.75" customHeight="1" x14ac:dyDescent="0.25">
      <c r="A808" s="13" t="str">
        <f ca="1">IFERROR(__xludf.DUMMYFUNCTION("""COMPUTED_VALUE"""),"c_roc_co_rel_lim0")</f>
        <v>c_roc_co_rel_lim0</v>
      </c>
      <c r="B808" s="13" t="str">
        <f ca="1">IFERROR(__xludf.DUMMYFUNCTION("""COMPUTED_VALUE"""),"ДЗ относительной скорости роста концентрации оксида углерода")</f>
        <v>ДЗ относительной скорости роста концентрации оксида углерода</v>
      </c>
      <c r="D808" s="49"/>
      <c r="F808" s="49"/>
      <c r="H808" s="49"/>
    </row>
    <row r="809" spans="1:8" ht="15.75" customHeight="1" x14ac:dyDescent="0.25">
      <c r="A809" s="13" t="str">
        <f ca="1">IFERROR(__xludf.DUMMYFUNCTION("""COMPUTED_VALUE"""),"c_roc_co_rel_lim1")</f>
        <v>c_roc_co_rel_lim1</v>
      </c>
      <c r="B809" s="13" t="str">
        <f ca="1">IFERROR(__xludf.DUMMYFUNCTION("""COMPUTED_VALUE"""),"ПДЗ относительной скорости роста концентрации оксида углерода")</f>
        <v>ПДЗ относительной скорости роста концентрации оксида углерода</v>
      </c>
      <c r="D809" s="49"/>
      <c r="F809" s="49"/>
      <c r="H809" s="49"/>
    </row>
    <row r="810" spans="1:8" ht="15.75" customHeight="1" x14ac:dyDescent="0.25">
      <c r="A810" s="13" t="str">
        <f ca="1">IFERROR(__xludf.DUMMYFUNCTION("""COMPUTED_VALUE"""),"c_roc_co2_abs")</f>
        <v>c_roc_co2_abs</v>
      </c>
      <c r="B810" s="13" t="str">
        <f ca="1">IFERROR(__xludf.DUMMYFUNCTION("""COMPUTED_VALUE"""),"Абсолютная скорость роста концентрации диоксида углерода")</f>
        <v>Абсолютная скорость роста концентрации диоксида углерода</v>
      </c>
      <c r="D810" s="49"/>
      <c r="F810" s="49"/>
      <c r="H810" s="49"/>
    </row>
    <row r="811" spans="1:8" ht="15.75" customHeight="1" x14ac:dyDescent="0.25">
      <c r="A811" s="13" t="str">
        <f ca="1">IFERROR(__xludf.DUMMYFUNCTION("""COMPUTED_VALUE"""),"c_roc_co2_abs_lim0")</f>
        <v>c_roc_co2_abs_lim0</v>
      </c>
      <c r="B811" s="13" t="str">
        <f ca="1">IFERROR(__xludf.DUMMYFUNCTION("""COMPUTED_VALUE"""),"ДЗ абсолютной скорости роста концентрации диоксида углерода")</f>
        <v>ДЗ абсолютной скорости роста концентрации диоксида углерода</v>
      </c>
      <c r="D811" s="49"/>
      <c r="F811" s="49"/>
      <c r="H811" s="49"/>
    </row>
    <row r="812" spans="1:8" ht="15.75" customHeight="1" x14ac:dyDescent="0.25">
      <c r="A812" s="13" t="str">
        <f ca="1">IFERROR(__xludf.DUMMYFUNCTION("""COMPUTED_VALUE"""),"c_roc_co2_abs_lim1")</f>
        <v>c_roc_co2_abs_lim1</v>
      </c>
      <c r="B812" s="13" t="str">
        <f ca="1">IFERROR(__xludf.DUMMYFUNCTION("""COMPUTED_VALUE"""),"ПДЗ абсолютной скорости роста концентрации диоксида углерода")</f>
        <v>ПДЗ абсолютной скорости роста концентрации диоксида углерода</v>
      </c>
      <c r="D812" s="49"/>
      <c r="F812" s="49"/>
      <c r="H812" s="49"/>
    </row>
    <row r="813" spans="1:8" ht="15.75" customHeight="1" x14ac:dyDescent="0.25">
      <c r="A813" s="13" t="str">
        <f ca="1">IFERROR(__xludf.DUMMYFUNCTION("""COMPUTED_VALUE"""),"c_roc_co2_rel")</f>
        <v>c_roc_co2_rel</v>
      </c>
      <c r="B813" s="13" t="str">
        <f ca="1">IFERROR(__xludf.DUMMYFUNCTION("""COMPUTED_VALUE"""),"Относительная скорость роста концентрации диоксида углерода")</f>
        <v>Относительная скорость роста концентрации диоксида углерода</v>
      </c>
      <c r="D813" s="49"/>
      <c r="F813" s="49"/>
      <c r="H813" s="49"/>
    </row>
    <row r="814" spans="1:8" ht="15.75" customHeight="1" x14ac:dyDescent="0.25">
      <c r="A814" s="13" t="str">
        <f ca="1">IFERROR(__xludf.DUMMYFUNCTION("""COMPUTED_VALUE"""),"c_roc_co2_rel_lim0")</f>
        <v>c_roc_co2_rel_lim0</v>
      </c>
      <c r="B814" s="13" t="str">
        <f ca="1">IFERROR(__xludf.DUMMYFUNCTION("""COMPUTED_VALUE"""),"ДЗ относительной скорости роста концентрации диоксида углерода")</f>
        <v>ДЗ относительной скорости роста концентрации диоксида углерода</v>
      </c>
      <c r="D814" s="49"/>
      <c r="F814" s="49"/>
      <c r="H814" s="49"/>
    </row>
    <row r="815" spans="1:8" ht="15.75" customHeight="1" x14ac:dyDescent="0.25">
      <c r="A815" s="13" t="str">
        <f ca="1">IFERROR(__xludf.DUMMYFUNCTION("""COMPUTED_VALUE"""),"c_roc_co2_rel_lim1")</f>
        <v>c_roc_co2_rel_lim1</v>
      </c>
      <c r="B815" s="13" t="str">
        <f ca="1">IFERROR(__xludf.DUMMYFUNCTION("""COMPUTED_VALUE"""),"ПДЗ относительной скорости роста концентрации диоксида углерода")</f>
        <v>ПДЗ относительной скорости роста концентрации диоксида углерода</v>
      </c>
      <c r="D815" s="49"/>
      <c r="F815" s="49"/>
      <c r="H815" s="49"/>
    </row>
    <row r="816" spans="1:8" ht="15.75" customHeight="1" x14ac:dyDescent="0.25">
      <c r="A816" s="13" t="str">
        <f ca="1">IFERROR(__xludf.DUMMYFUNCTION("""COMPUTED_VALUE"""),"c_roc_h2_abs")</f>
        <v>c_roc_h2_abs</v>
      </c>
      <c r="B816" s="13" t="str">
        <f ca="1">IFERROR(__xludf.DUMMYFUNCTION("""COMPUTED_VALUE"""),"Абсолютная скорость роста концентрации водорода")</f>
        <v>Абсолютная скорость роста концентрации водорода</v>
      </c>
      <c r="D816" s="49"/>
      <c r="F816" s="49"/>
      <c r="H816" s="49"/>
    </row>
    <row r="817" spans="1:8" ht="15.75" customHeight="1" x14ac:dyDescent="0.25">
      <c r="A817" s="13" t="str">
        <f ca="1">IFERROR(__xludf.DUMMYFUNCTION("""COMPUTED_VALUE"""),"c_roc_h2_abs_lim0")</f>
        <v>c_roc_h2_abs_lim0</v>
      </c>
      <c r="B817" s="13" t="str">
        <f ca="1">IFERROR(__xludf.DUMMYFUNCTION("""COMPUTED_VALUE"""),"ДЗ абсолютной скорости роста концентрации водорода")</f>
        <v>ДЗ абсолютной скорости роста концентрации водорода</v>
      </c>
      <c r="D817" s="49"/>
      <c r="F817" s="49"/>
      <c r="H817" s="49"/>
    </row>
    <row r="818" spans="1:8" ht="15.75" customHeight="1" x14ac:dyDescent="0.25">
      <c r="A818" s="13" t="str">
        <f ca="1">IFERROR(__xludf.DUMMYFUNCTION("""COMPUTED_VALUE"""),"c_roc_h2_abs_lim1")</f>
        <v>c_roc_h2_abs_lim1</v>
      </c>
      <c r="B818" s="13" t="str">
        <f ca="1">IFERROR(__xludf.DUMMYFUNCTION("""COMPUTED_VALUE"""),"ПДЗ абсолютной скорости роста концентрации водорода")</f>
        <v>ПДЗ абсолютной скорости роста концентрации водорода</v>
      </c>
      <c r="D818" s="49"/>
      <c r="F818" s="49"/>
      <c r="H818" s="49"/>
    </row>
    <row r="819" spans="1:8" ht="15.75" customHeight="1" x14ac:dyDescent="0.25">
      <c r="A819" s="13" t="str">
        <f ca="1">IFERROR(__xludf.DUMMYFUNCTION("""COMPUTED_VALUE"""),"c_roc_h2_rel")</f>
        <v>c_roc_h2_rel</v>
      </c>
      <c r="B819" s="13" t="str">
        <f ca="1">IFERROR(__xludf.DUMMYFUNCTION("""COMPUTED_VALUE"""),"Относительная скорость роста концентрации водорода")</f>
        <v>Относительная скорость роста концентрации водорода</v>
      </c>
      <c r="D819" s="49"/>
      <c r="F819" s="49"/>
      <c r="H819" s="49"/>
    </row>
    <row r="820" spans="1:8" ht="15.75" customHeight="1" x14ac:dyDescent="0.25">
      <c r="A820" s="13" t="str">
        <f ca="1">IFERROR(__xludf.DUMMYFUNCTION("""COMPUTED_VALUE"""),"c_roc_h2_rel_lim0")</f>
        <v>c_roc_h2_rel_lim0</v>
      </c>
      <c r="B820" s="13" t="str">
        <f ca="1">IFERROR(__xludf.DUMMYFUNCTION("""COMPUTED_VALUE"""),"ДЗ относительной скорости роста концентрации водорода")</f>
        <v>ДЗ относительной скорости роста концентрации водорода</v>
      </c>
      <c r="D820" s="49"/>
      <c r="F820" s="49"/>
      <c r="H820" s="49"/>
    </row>
    <row r="821" spans="1:8" ht="15.75" customHeight="1" x14ac:dyDescent="0.25">
      <c r="A821" s="13" t="str">
        <f ca="1">IFERROR(__xludf.DUMMYFUNCTION("""COMPUTED_VALUE"""),"c_roc_h2_rel_lim1")</f>
        <v>c_roc_h2_rel_lim1</v>
      </c>
      <c r="B821" s="13" t="str">
        <f ca="1">IFERROR(__xludf.DUMMYFUNCTION("""COMPUTED_VALUE"""),"ПДЗ относительной скорости роста концентрации водорода")</f>
        <v>ПДЗ относительной скорости роста концентрации водорода</v>
      </c>
      <c r="D821" s="49"/>
      <c r="F821" s="49"/>
      <c r="H821" s="49"/>
    </row>
    <row r="822" spans="1:8" ht="15.75" customHeight="1" x14ac:dyDescent="0.25">
      <c r="A822" s="13" t="str">
        <f ca="1">IFERROR(__xludf.DUMMYFUNCTION("""COMPUTED_VALUE"""),"c_tcg")</f>
        <v>c_tcg</v>
      </c>
      <c r="B822" s="13" t="str">
        <f ca="1">IFERROR(__xludf.DUMMYFUNCTION("""COMPUTED_VALUE"""),"Общая концентрация горючих газов")</f>
        <v>Общая концентрация горючих газов</v>
      </c>
      <c r="D822" s="49"/>
      <c r="F822" s="49"/>
      <c r="H822" s="49"/>
    </row>
    <row r="823" spans="1:8" ht="15.75" customHeight="1" x14ac:dyDescent="0.25">
      <c r="A823" s="13" t="str">
        <f ca="1">IFERROR(__xludf.DUMMYFUNCTION("""COMPUTED_VALUE"""),"c_tcg_calc")</f>
        <v>c_tcg_calc</v>
      </c>
      <c r="B823" s="13" t="str">
        <f ca="1">IFERROR(__xludf.DUMMYFUNCTION("""COMPUTED_VALUE"""),"Общая концентрация горючих газов, расчётная")</f>
        <v>Общая концентрация горючих газов, расчётная</v>
      </c>
      <c r="D823" s="49"/>
      <c r="F823" s="49"/>
      <c r="H823" s="49"/>
    </row>
    <row r="824" spans="1:8" ht="15.75" customHeight="1" x14ac:dyDescent="0.25">
      <c r="A824" s="13" t="str">
        <f ca="1">IFERROR(__xludf.DUMMYFUNCTION("""COMPUTED_VALUE"""),"c_tcg_res")</f>
        <v>c_tcg_res</v>
      </c>
      <c r="B824" s="13" t="str">
        <f ca="1">IFERROR(__xludf.DUMMYFUNCTION("""COMPUTED_VALUE"""),"Общая концентрация горючих газов, результирующая")</f>
        <v>Общая концентрация горючих газов, результирующая</v>
      </c>
      <c r="D824" s="49"/>
      <c r="F824" s="49"/>
      <c r="H824" s="49"/>
    </row>
    <row r="825" spans="1:8" ht="15.75" customHeight="1" x14ac:dyDescent="0.25">
      <c r="A825" s="13" t="str">
        <f ca="1">IFERROR(__xludf.DUMMYFUNCTION("""COMPUTED_VALUE"""),"c_tcg_roc_abs_day")</f>
        <v>c_tcg_roc_abs_day</v>
      </c>
      <c r="B825" s="13" t="str">
        <f ca="1">IFERROR(__xludf.DUMMYFUNCTION("""COMPUTED_VALUE"""),"Скорость роста общей концентрации горючих газов абсолютная, сутки")</f>
        <v>Скорость роста общей концентрации горючих газов абсолютная, сутки</v>
      </c>
      <c r="D825" s="49"/>
      <c r="F825" s="49"/>
      <c r="H825" s="49"/>
    </row>
    <row r="826" spans="1:8" ht="15.75" customHeight="1" x14ac:dyDescent="0.25">
      <c r="A826" s="13" t="str">
        <f ca="1">IFERROR(__xludf.DUMMYFUNCTION("""COMPUTED_VALUE"""),"c_tcg_roc_abs_month")</f>
        <v>c_tcg_roc_abs_month</v>
      </c>
      <c r="B826" s="13" t="str">
        <f ca="1">IFERROR(__xludf.DUMMYFUNCTION("""COMPUTED_VALUE"""),"Скорость роста общей концентрации горючих газов абсолютная, месяц")</f>
        <v>Скорость роста общей концентрации горючих газов абсолютная, месяц</v>
      </c>
      <c r="D826" s="49"/>
      <c r="F826" s="49"/>
      <c r="H826" s="49"/>
    </row>
    <row r="827" spans="1:8" ht="15.75" customHeight="1" x14ac:dyDescent="0.25">
      <c r="A827" s="13" t="str">
        <f ca="1">IFERROR(__xludf.DUMMYFUNCTION("""COMPUTED_VALUE"""),"c_tcg_roc_abs_week")</f>
        <v>c_tcg_roc_abs_week</v>
      </c>
      <c r="B827" s="13" t="str">
        <f ca="1">IFERROR(__xludf.DUMMYFUNCTION("""COMPUTED_VALUE"""),"Скорость роста общей концентрации горючих газов абсолютная, неделя")</f>
        <v>Скорость роста общей концентрации горючих газов абсолютная, неделя</v>
      </c>
      <c r="D827" s="49"/>
      <c r="F827" s="49"/>
      <c r="H827" s="49"/>
    </row>
    <row r="828" spans="1:8" ht="15.75" customHeight="1" x14ac:dyDescent="0.25">
      <c r="A828" s="13" t="str">
        <f ca="1">IFERROR(__xludf.DUMMYFUNCTION("""COMPUTED_VALUE"""),"c_tcg_roc_abs_year")</f>
        <v>c_tcg_roc_abs_year</v>
      </c>
      <c r="B828" s="13" t="str">
        <f ca="1">IFERROR(__xludf.DUMMYFUNCTION("""COMPUTED_VALUE"""),"Скорость роста общей концентрации горючих газов абсолютная, год")</f>
        <v>Скорость роста общей концентрации горючих газов абсолютная, год</v>
      </c>
      <c r="D828" s="49"/>
      <c r="F828" s="49"/>
      <c r="H828" s="49"/>
    </row>
    <row r="829" spans="1:8" ht="15.75" customHeight="1" x14ac:dyDescent="0.25">
      <c r="A829" s="13" t="str">
        <f ca="1">IFERROR(__xludf.DUMMYFUNCTION("""COMPUTED_VALUE"""),"c_tcg_roc_rel_day")</f>
        <v>c_tcg_roc_rel_day</v>
      </c>
      <c r="B829" s="13" t="str">
        <f ca="1">IFERROR(__xludf.DUMMYFUNCTION("""COMPUTED_VALUE"""),"Скорость роста общей концентрации горючих газов относительная, сутки")</f>
        <v>Скорость роста общей концентрации горючих газов относительная, сутки</v>
      </c>
      <c r="D829" s="49"/>
      <c r="F829" s="49"/>
      <c r="H829" s="49"/>
    </row>
    <row r="830" spans="1:8" ht="15.75" customHeight="1" x14ac:dyDescent="0.25">
      <c r="A830" s="13" t="str">
        <f ca="1">IFERROR(__xludf.DUMMYFUNCTION("""COMPUTED_VALUE"""),"c_tcg_roc_rel_month")</f>
        <v>c_tcg_roc_rel_month</v>
      </c>
      <c r="B830" s="13" t="str">
        <f ca="1">IFERROR(__xludf.DUMMYFUNCTION("""COMPUTED_VALUE"""),"Скорость роста общей концентрации горючих газов относительная, месяц")</f>
        <v>Скорость роста общей концентрации горючих газов относительная, месяц</v>
      </c>
      <c r="D830" s="49"/>
      <c r="F830" s="49"/>
      <c r="H830" s="49"/>
    </row>
    <row r="831" spans="1:8" ht="15.75" customHeight="1" x14ac:dyDescent="0.25">
      <c r="A831" s="13" t="str">
        <f ca="1">IFERROR(__xludf.DUMMYFUNCTION("""COMPUTED_VALUE"""),"c_tcg_roc_rel_week")</f>
        <v>c_tcg_roc_rel_week</v>
      </c>
      <c r="B831" s="13" t="str">
        <f ca="1">IFERROR(__xludf.DUMMYFUNCTION("""COMPUTED_VALUE"""),"Скорость роста общей концентрации горючих газов относительная, неделя")</f>
        <v>Скорость роста общей концентрации горючих газов относительная, неделя</v>
      </c>
      <c r="D831" s="49"/>
      <c r="F831" s="49"/>
      <c r="H831" s="49"/>
    </row>
    <row r="832" spans="1:8" ht="15.75" customHeight="1" x14ac:dyDescent="0.25">
      <c r="A832" s="13" t="str">
        <f ca="1">IFERROR(__xludf.DUMMYFUNCTION("""COMPUTED_VALUE"""),"c_tcg_roc_rel_year")</f>
        <v>c_tcg_roc_rel_year</v>
      </c>
      <c r="B832" s="13" t="str">
        <f ca="1">IFERROR(__xludf.DUMMYFUNCTION("""COMPUTED_VALUE"""),"Скорость роста общей концентрации горючих газов относительная, год")</f>
        <v>Скорость роста общей концентрации горючих газов относительная, год</v>
      </c>
      <c r="D832" s="49"/>
      <c r="F832" s="49"/>
      <c r="H832" s="49"/>
    </row>
    <row r="833" spans="1:8" ht="15.75" customHeight="1" x14ac:dyDescent="0.25">
      <c r="A833" s="13" t="str">
        <f ca="1">IFERROR(__xludf.DUMMYFUNCTION("""COMPUTED_VALUE"""),"c_tcgh2")</f>
        <v>c_tcgh2</v>
      </c>
      <c r="B833" s="13" t="str">
        <f ca="1">IFERROR(__xludf.DUMMYFUNCTION("""COMPUTED_VALUE"""),"Общая концентрация горючих газов и водорода")</f>
        <v>Общая концентрация горючих газов и водорода</v>
      </c>
      <c r="D833" s="49"/>
      <c r="F833" s="49"/>
      <c r="H833" s="49"/>
    </row>
    <row r="834" spans="1:8" ht="15.75" customHeight="1" x14ac:dyDescent="0.25">
      <c r="A834" s="13" t="str">
        <f ca="1">IFERROR(__xludf.DUMMYFUNCTION("""COMPUTED_VALUE"""),"c_tcgh2_calc")</f>
        <v>c_tcgh2_calc</v>
      </c>
      <c r="B834" s="13" t="str">
        <f ca="1">IFERROR(__xludf.DUMMYFUNCTION("""COMPUTED_VALUE"""),"Общая концентрация горючих газов и водорода, расчётная")</f>
        <v>Общая концентрация горючих газов и водорода, расчётная</v>
      </c>
      <c r="D834" s="49"/>
      <c r="F834" s="49"/>
      <c r="H834" s="49"/>
    </row>
    <row r="835" spans="1:8" ht="15.75" customHeight="1" x14ac:dyDescent="0.25">
      <c r="A835" s="13" t="str">
        <f ca="1">IFERROR(__xludf.DUMMYFUNCTION("""COMPUTED_VALUE"""),"c_tcgh2_lim0")</f>
        <v>c_tcgh2_lim0</v>
      </c>
      <c r="B835" s="13" t="str">
        <f ca="1">IFERROR(__xludf.DUMMYFUNCTION("""COMPUTED_VALUE"""),"ДЗ концентрации горючих газов и водорода")</f>
        <v>ДЗ концентрации горючих газов и водорода</v>
      </c>
      <c r="D835" s="49"/>
      <c r="F835" s="49"/>
      <c r="H835" s="49"/>
    </row>
    <row r="836" spans="1:8" ht="15.75" customHeight="1" x14ac:dyDescent="0.25">
      <c r="A836" s="13" t="str">
        <f ca="1">IFERROR(__xludf.DUMMYFUNCTION("""COMPUTED_VALUE"""),"c_tcgh2_lim0_manual")</f>
        <v>c_tcgh2_lim0_manual</v>
      </c>
      <c r="B836" s="13" t="str">
        <f ca="1">IFERROR(__xludf.DUMMYFUNCTION("""COMPUTED_VALUE"""),"ДЗ концентрации горючих газов и водорода ручное")</f>
        <v>ДЗ концентрации горючих газов и водорода ручное</v>
      </c>
      <c r="D836" s="49"/>
      <c r="F836" s="49"/>
      <c r="H836" s="49"/>
    </row>
    <row r="837" spans="1:8" ht="15.75" customHeight="1" x14ac:dyDescent="0.25">
      <c r="A837" s="13" t="str">
        <f ca="1">IFERROR(__xludf.DUMMYFUNCTION("""COMPUTED_VALUE"""),"c_tcgh2_lim1")</f>
        <v>c_tcgh2_lim1</v>
      </c>
      <c r="B837" s="13" t="str">
        <f ca="1">IFERROR(__xludf.DUMMYFUNCTION("""COMPUTED_VALUE"""),"ПДЗ концентрации горючих газов и водорода")</f>
        <v>ПДЗ концентрации горючих газов и водорода</v>
      </c>
      <c r="D837" s="49"/>
      <c r="F837" s="49"/>
      <c r="H837" s="49"/>
    </row>
    <row r="838" spans="1:8" ht="15.75" customHeight="1" x14ac:dyDescent="0.25">
      <c r="A838" s="13" t="str">
        <f ca="1">IFERROR(__xludf.DUMMYFUNCTION("""COMPUTED_VALUE"""),"c_tcgh2_lim1_manual")</f>
        <v>c_tcgh2_lim1_manual</v>
      </c>
      <c r="B838" s="13" t="str">
        <f ca="1">IFERROR(__xludf.DUMMYFUNCTION("""COMPUTED_VALUE"""),"ПДЗ концентрации горючих газов и водорода ручное")</f>
        <v>ПДЗ концентрации горючих газов и водорода ручное</v>
      </c>
      <c r="D838" s="49"/>
      <c r="F838" s="49"/>
      <c r="H838" s="49"/>
    </row>
    <row r="839" spans="1:8" ht="15.75" customHeight="1" x14ac:dyDescent="0.25">
      <c r="A839" s="13" t="str">
        <f ca="1">IFERROR(__xludf.DUMMYFUNCTION("""COMPUTED_VALUE"""),"c_tcgh2_oe_lim0")</f>
        <v>c_tcgh2_oe_lim0</v>
      </c>
      <c r="B839" s="13" t="str">
        <f ca="1">IFERROR(__xludf.DUMMYFUNCTION("""COMPUTED_VALUE"""),"Общая концентрация горючих газов и водорода относительно ДЗ")</f>
        <v>Общая концентрация горючих газов и водорода относительно ДЗ</v>
      </c>
      <c r="D839" s="49"/>
      <c r="F839" s="49"/>
      <c r="H839" s="49"/>
    </row>
    <row r="840" spans="1:8" ht="15.75" customHeight="1" x14ac:dyDescent="0.25">
      <c r="A840" s="13" t="str">
        <f ca="1">IFERROR(__xludf.DUMMYFUNCTION("""COMPUTED_VALUE"""),"c_tcgh2_oe_lim1")</f>
        <v>c_tcgh2_oe_lim1</v>
      </c>
      <c r="B840" s="13" t="str">
        <f ca="1">IFERROR(__xludf.DUMMYFUNCTION("""COMPUTED_VALUE"""),"Общая концентрация горючих газов и водорода относительно ПДЗ")</f>
        <v>Общая концентрация горючих газов и водорода относительно ПДЗ</v>
      </c>
      <c r="D840" s="49"/>
      <c r="F840" s="49"/>
      <c r="H840" s="49"/>
    </row>
    <row r="841" spans="1:8" ht="15.75" customHeight="1" x14ac:dyDescent="0.25">
      <c r="A841" s="13" t="str">
        <f ca="1">IFERROR(__xludf.DUMMYFUNCTION("""COMPUTED_VALUE"""),"c_tcgh2_res")</f>
        <v>c_tcgh2_res</v>
      </c>
      <c r="B841" s="13" t="str">
        <f ca="1">IFERROR(__xludf.DUMMYFUNCTION("""COMPUTED_VALUE"""),"Общая концентрация горючих газов и водорода, результирующая")</f>
        <v>Общая концентрация горючих газов и водорода, результирующая</v>
      </c>
      <c r="D841" s="49"/>
      <c r="F841" s="49"/>
      <c r="H841" s="49"/>
    </row>
    <row r="842" spans="1:8" ht="15.75" customHeight="1" x14ac:dyDescent="0.25">
      <c r="A842" s="13" t="str">
        <f ca="1">IFERROR(__xludf.DUMMYFUNCTION("""COMPUTED_VALUE"""),"c_tcgh2_roc_abs_day")</f>
        <v>c_tcgh2_roc_abs_day</v>
      </c>
      <c r="B842" s="13" t="str">
        <f ca="1">IFERROR(__xludf.DUMMYFUNCTION("""COMPUTED_VALUE"""),"Скорость роста общей концентрации горючих газов и водорода абсолютная, сутки")</f>
        <v>Скорость роста общей концентрации горючих газов и водорода абсолютная, сутки</v>
      </c>
      <c r="D842" s="49"/>
      <c r="F842" s="49"/>
      <c r="H842" s="49"/>
    </row>
    <row r="843" spans="1:8" ht="15.75" customHeight="1" x14ac:dyDescent="0.25">
      <c r="A843" s="13" t="str">
        <f ca="1">IFERROR(__xludf.DUMMYFUNCTION("""COMPUTED_VALUE"""),"c_tcgh2_roc_abs_day_lim0")</f>
        <v>c_tcgh2_roc_abs_day_lim0</v>
      </c>
      <c r="B843" s="13" t="str">
        <f ca="1">IFERROR(__xludf.DUMMYFUNCTION("""COMPUTED_VALUE"""),"ДЗ абсолютной скорости роста общей концентрации горючих газов и водорода, день")</f>
        <v>ДЗ абсолютной скорости роста общей концентрации горючих газов и водорода, день</v>
      </c>
      <c r="D843" s="49"/>
      <c r="F843" s="49"/>
      <c r="H843" s="49"/>
    </row>
    <row r="844" spans="1:8" ht="15.75" customHeight="1" x14ac:dyDescent="0.25">
      <c r="A844" s="13" t="str">
        <f ca="1">IFERROR(__xludf.DUMMYFUNCTION("""COMPUTED_VALUE"""),"c_tcgh2_roc_abs_day_lim0_manual")</f>
        <v>c_tcgh2_roc_abs_day_lim0_manual</v>
      </c>
      <c r="B844" s="13" t="str">
        <f ca="1">IFERROR(__xludf.DUMMYFUNCTION("""COMPUTED_VALUE"""),"ДЗ абсолютной скорости роста общей концентрации горючих газов и водорода, день, ручное")</f>
        <v>ДЗ абсолютной скорости роста общей концентрации горючих газов и водорода, день, ручное</v>
      </c>
      <c r="D844" s="49"/>
      <c r="F844" s="49"/>
      <c r="H844" s="49"/>
    </row>
    <row r="845" spans="1:8" ht="15.75" customHeight="1" x14ac:dyDescent="0.25">
      <c r="A845" s="13" t="str">
        <f ca="1">IFERROR(__xludf.DUMMYFUNCTION("""COMPUTED_VALUE"""),"c_tcgh2_roc_abs_day_lim1")</f>
        <v>c_tcgh2_roc_abs_day_lim1</v>
      </c>
      <c r="B845" s="13" t="str">
        <f ca="1">IFERROR(__xludf.DUMMYFUNCTION("""COMPUTED_VALUE"""),"ПДЗ абсолютной скорости роста общей концентрации горючих газов и водорода, день")</f>
        <v>ПДЗ абсолютной скорости роста общей концентрации горючих газов и водорода, день</v>
      </c>
      <c r="D845" s="49"/>
      <c r="F845" s="49"/>
      <c r="H845" s="49"/>
    </row>
    <row r="846" spans="1:8" ht="15.75" customHeight="1" x14ac:dyDescent="0.25">
      <c r="A846" s="13" t="str">
        <f ca="1">IFERROR(__xludf.DUMMYFUNCTION("""COMPUTED_VALUE"""),"c_tcgh2_roc_abs_day_lim1_manual")</f>
        <v>c_tcgh2_roc_abs_day_lim1_manual</v>
      </c>
      <c r="B846" s="13" t="str">
        <f ca="1">IFERROR(__xludf.DUMMYFUNCTION("""COMPUTED_VALUE"""),"ПДЗ абсолютной скорости роста общей концентрации горючих газов и водорода, день, ручное")</f>
        <v>ПДЗ абсолютной скорости роста общей концентрации горючих газов и водорода, день, ручное</v>
      </c>
      <c r="D846" s="49"/>
      <c r="F846" s="49"/>
      <c r="H846" s="49"/>
    </row>
    <row r="847" spans="1:8" ht="15.75" customHeight="1" x14ac:dyDescent="0.25">
      <c r="A847" s="13" t="str">
        <f ca="1">IFERROR(__xludf.DUMMYFUNCTION("""COMPUTED_VALUE"""),"c_tcgh2_roc_abs_month")</f>
        <v>c_tcgh2_roc_abs_month</v>
      </c>
      <c r="B847" s="13" t="str">
        <f ca="1">IFERROR(__xludf.DUMMYFUNCTION("""COMPUTED_VALUE"""),"Скорость роста общей концентрации горючих газов и водорода абсолютная, месяц")</f>
        <v>Скорость роста общей концентрации горючих газов и водорода абсолютная, месяц</v>
      </c>
      <c r="D847" s="49"/>
      <c r="F847" s="49"/>
      <c r="H847" s="49"/>
    </row>
    <row r="848" spans="1:8" ht="15.75" customHeight="1" x14ac:dyDescent="0.25">
      <c r="A848" s="13" t="str">
        <f ca="1">IFERROR(__xludf.DUMMYFUNCTION("""COMPUTED_VALUE"""),"c_tcgh2_roc_abs_month_lim0")</f>
        <v>c_tcgh2_roc_abs_month_lim0</v>
      </c>
      <c r="B848" s="13" t="str">
        <f ca="1">IFERROR(__xludf.DUMMYFUNCTION("""COMPUTED_VALUE"""),"ДЗ абсолютной скорости роста общей концентрации горючих газов и водорода, месяц")</f>
        <v>ДЗ абсолютной скорости роста общей концентрации горючих газов и водорода, месяц</v>
      </c>
      <c r="D848" s="49"/>
      <c r="F848" s="49"/>
      <c r="H848" s="49"/>
    </row>
    <row r="849" spans="1:8" ht="15.75" customHeight="1" x14ac:dyDescent="0.25">
      <c r="A849" s="13" t="str">
        <f ca="1">IFERROR(__xludf.DUMMYFUNCTION("""COMPUTED_VALUE"""),"c_tcgh2_roc_abs_month_lim0_manual")</f>
        <v>c_tcgh2_roc_abs_month_lim0_manual</v>
      </c>
      <c r="B849" s="13" t="str">
        <f ca="1">IFERROR(__xludf.DUMMYFUNCTION("""COMPUTED_VALUE"""),"ДЗ абсолютной скорости роста общей концентрации горючих газов и водорода, месяц, ручное")</f>
        <v>ДЗ абсолютной скорости роста общей концентрации горючих газов и водорода, месяц, ручное</v>
      </c>
      <c r="D849" s="49"/>
      <c r="F849" s="49"/>
      <c r="H849" s="49"/>
    </row>
    <row r="850" spans="1:8" ht="15.75" customHeight="1" x14ac:dyDescent="0.25">
      <c r="A850" s="13" t="str">
        <f ca="1">IFERROR(__xludf.DUMMYFUNCTION("""COMPUTED_VALUE"""),"c_tcgh2_roc_abs_month_lim1")</f>
        <v>c_tcgh2_roc_abs_month_lim1</v>
      </c>
      <c r="B850" s="13" t="str">
        <f ca="1">IFERROR(__xludf.DUMMYFUNCTION("""COMPUTED_VALUE"""),"ПДЗ абсолютной скорости роста общей концентрации горючих газов и водорода, месяц")</f>
        <v>ПДЗ абсолютной скорости роста общей концентрации горючих газов и водорода, месяц</v>
      </c>
      <c r="D850" s="49"/>
      <c r="F850" s="49"/>
      <c r="H850" s="49"/>
    </row>
    <row r="851" spans="1:8" ht="15.75" customHeight="1" x14ac:dyDescent="0.25">
      <c r="A851" s="13" t="str">
        <f ca="1">IFERROR(__xludf.DUMMYFUNCTION("""COMPUTED_VALUE"""),"c_tcgh2_roc_abs_month_lim1_manual")</f>
        <v>c_tcgh2_roc_abs_month_lim1_manual</v>
      </c>
      <c r="B851" s="13" t="str">
        <f ca="1">IFERROR(__xludf.DUMMYFUNCTION("""COMPUTED_VALUE"""),"ПДЗ абсолютной скорости роста общей концентрации горючих газов и водорода, месяц, ручное")</f>
        <v>ПДЗ абсолютной скорости роста общей концентрации горючих газов и водорода, месяц, ручное</v>
      </c>
      <c r="D851" s="49"/>
      <c r="F851" s="49"/>
      <c r="H851" s="49"/>
    </row>
    <row r="852" spans="1:8" ht="15.75" customHeight="1" x14ac:dyDescent="0.25">
      <c r="A852" s="13" t="str">
        <f ca="1">IFERROR(__xludf.DUMMYFUNCTION("""COMPUTED_VALUE"""),"c_tcgh2_roc_abs_week")</f>
        <v>c_tcgh2_roc_abs_week</v>
      </c>
      <c r="B852" s="13" t="str">
        <f ca="1">IFERROR(__xludf.DUMMYFUNCTION("""COMPUTED_VALUE"""),"Скорость роста общей концентрации горючих газов и водорода абсолютная, неделя")</f>
        <v>Скорость роста общей концентрации горючих газов и водорода абсолютная, неделя</v>
      </c>
      <c r="D852" s="49"/>
      <c r="F852" s="49"/>
      <c r="H852" s="49"/>
    </row>
    <row r="853" spans="1:8" ht="15.75" customHeight="1" x14ac:dyDescent="0.25">
      <c r="A853" s="13" t="str">
        <f ca="1">IFERROR(__xludf.DUMMYFUNCTION("""COMPUTED_VALUE"""),"c_tcgh2_roc_abs_week_lim0")</f>
        <v>c_tcgh2_roc_abs_week_lim0</v>
      </c>
      <c r="B853" s="13" t="str">
        <f ca="1">IFERROR(__xludf.DUMMYFUNCTION("""COMPUTED_VALUE"""),"ДЗ абсолютной скорости роста общей концентрации горючих газов и водорода, неделя")</f>
        <v>ДЗ абсолютной скорости роста общей концентрации горючих газов и водорода, неделя</v>
      </c>
      <c r="D853" s="49"/>
      <c r="F853" s="49"/>
      <c r="H853" s="49"/>
    </row>
    <row r="854" spans="1:8" ht="15.75" customHeight="1" x14ac:dyDescent="0.25">
      <c r="A854" s="13" t="str">
        <f ca="1">IFERROR(__xludf.DUMMYFUNCTION("""COMPUTED_VALUE"""),"c_tcgh2_roc_abs_week_lim0_manual")</f>
        <v>c_tcgh2_roc_abs_week_lim0_manual</v>
      </c>
      <c r="B854" s="13" t="str">
        <f ca="1">IFERROR(__xludf.DUMMYFUNCTION("""COMPUTED_VALUE"""),"ДЗ абсолютной скорости роста общей концентрации горючих газов и водорода, неделя, ручное")</f>
        <v>ДЗ абсолютной скорости роста общей концентрации горючих газов и водорода, неделя, ручное</v>
      </c>
      <c r="D854" s="49"/>
      <c r="F854" s="49"/>
      <c r="H854" s="49"/>
    </row>
    <row r="855" spans="1:8" ht="15.75" customHeight="1" x14ac:dyDescent="0.25">
      <c r="A855" s="13" t="str">
        <f ca="1">IFERROR(__xludf.DUMMYFUNCTION("""COMPUTED_VALUE"""),"c_tcgh2_roc_abs_week_lim1")</f>
        <v>c_tcgh2_roc_abs_week_lim1</v>
      </c>
      <c r="B855" s="13" t="str">
        <f ca="1">IFERROR(__xludf.DUMMYFUNCTION("""COMPUTED_VALUE"""),"ПДЗ абсолютной скорости роста общей концентрации горючих газов и водорода, неделя")</f>
        <v>ПДЗ абсолютной скорости роста общей концентрации горючих газов и водорода, неделя</v>
      </c>
      <c r="D855" s="49"/>
      <c r="F855" s="49"/>
      <c r="H855" s="49"/>
    </row>
    <row r="856" spans="1:8" ht="15.75" customHeight="1" x14ac:dyDescent="0.25">
      <c r="A856" s="13" t="str">
        <f ca="1">IFERROR(__xludf.DUMMYFUNCTION("""COMPUTED_VALUE"""),"c_tcgh2_roc_abs_week_lim1_manual")</f>
        <v>c_tcgh2_roc_abs_week_lim1_manual</v>
      </c>
      <c r="B856" s="13" t="str">
        <f ca="1">IFERROR(__xludf.DUMMYFUNCTION("""COMPUTED_VALUE"""),"ПДЗ абсолютной скорости роста общей концентрации горючих газов и водорода, неделя, ручное")</f>
        <v>ПДЗ абсолютной скорости роста общей концентрации горючих газов и водорода, неделя, ручное</v>
      </c>
      <c r="D856" s="49"/>
      <c r="F856" s="49"/>
      <c r="H856" s="49"/>
    </row>
    <row r="857" spans="1:8" ht="15.75" customHeight="1" x14ac:dyDescent="0.25">
      <c r="A857" s="13" t="str">
        <f ca="1">IFERROR(__xludf.DUMMYFUNCTION("""COMPUTED_VALUE"""),"c_tcgh2_roc_abs_year")</f>
        <v>c_tcgh2_roc_abs_year</v>
      </c>
      <c r="B857" s="13" t="str">
        <f ca="1">IFERROR(__xludf.DUMMYFUNCTION("""COMPUTED_VALUE"""),"Скорость роста общей концентрации горючих газов и водорода абсолютная, год")</f>
        <v>Скорость роста общей концентрации горючих газов и водорода абсолютная, год</v>
      </c>
      <c r="D857" s="49"/>
      <c r="F857" s="49"/>
      <c r="H857" s="49"/>
    </row>
    <row r="858" spans="1:8" ht="15.75" customHeight="1" x14ac:dyDescent="0.25">
      <c r="A858" s="13" t="str">
        <f ca="1">IFERROR(__xludf.DUMMYFUNCTION("""COMPUTED_VALUE"""),"c_tcgh2_roc_abs_year_lim0")</f>
        <v>c_tcgh2_roc_abs_year_lim0</v>
      </c>
      <c r="B858" s="13" t="str">
        <f ca="1">IFERROR(__xludf.DUMMYFUNCTION("""COMPUTED_VALUE"""),"ДЗ абсолютной скорости роста общей концентрации горючих газов и водорода, год")</f>
        <v>ДЗ абсолютной скорости роста общей концентрации горючих газов и водорода, год</v>
      </c>
      <c r="D858" s="49"/>
      <c r="F858" s="49"/>
      <c r="H858" s="49"/>
    </row>
    <row r="859" spans="1:8" ht="15.75" customHeight="1" x14ac:dyDescent="0.25">
      <c r="A859" s="13" t="str">
        <f ca="1">IFERROR(__xludf.DUMMYFUNCTION("""COMPUTED_VALUE"""),"c_tcgh2_roc_abs_year_lim0_manual")</f>
        <v>c_tcgh2_roc_abs_year_lim0_manual</v>
      </c>
      <c r="B859" s="13" t="str">
        <f ca="1">IFERROR(__xludf.DUMMYFUNCTION("""COMPUTED_VALUE"""),"ДЗ абсолютной скорости роста общей концентрации горючих газов и водорода, год, ручное")</f>
        <v>ДЗ абсолютной скорости роста общей концентрации горючих газов и водорода, год, ручное</v>
      </c>
      <c r="D859" s="49"/>
      <c r="F859" s="49"/>
      <c r="H859" s="49"/>
    </row>
    <row r="860" spans="1:8" ht="15.75" customHeight="1" x14ac:dyDescent="0.25">
      <c r="A860" s="13" t="str">
        <f ca="1">IFERROR(__xludf.DUMMYFUNCTION("""COMPUTED_VALUE"""),"c_tcgh2_roc_abs_year_lim1")</f>
        <v>c_tcgh2_roc_abs_year_lim1</v>
      </c>
      <c r="B860" s="13" t="str">
        <f ca="1">IFERROR(__xludf.DUMMYFUNCTION("""COMPUTED_VALUE"""),"ПДЗ абсолютной скорости роста общей концентрации горючих газов и водорода, год")</f>
        <v>ПДЗ абсолютной скорости роста общей концентрации горючих газов и водорода, год</v>
      </c>
      <c r="D860" s="49"/>
      <c r="F860" s="49"/>
      <c r="H860" s="49"/>
    </row>
    <row r="861" spans="1:8" ht="15.75" customHeight="1" x14ac:dyDescent="0.25">
      <c r="A861" s="13" t="str">
        <f ca="1">IFERROR(__xludf.DUMMYFUNCTION("""COMPUTED_VALUE"""),"c_tcgh2_roc_abs_year_lim1_manual")</f>
        <v>c_tcgh2_roc_abs_year_lim1_manual</v>
      </c>
      <c r="B861" s="13" t="str">
        <f ca="1">IFERROR(__xludf.DUMMYFUNCTION("""COMPUTED_VALUE"""),"ПДЗ абсолютной скорости роста общей концентрации горючих газов и водорода, год, ручное")</f>
        <v>ПДЗ абсолютной скорости роста общей концентрации горючих газов и водорода, год, ручное</v>
      </c>
      <c r="D861" s="49"/>
      <c r="F861" s="49"/>
      <c r="H861" s="49"/>
    </row>
    <row r="862" spans="1:8" ht="15.75" customHeight="1" x14ac:dyDescent="0.25">
      <c r="A862" s="13" t="str">
        <f ca="1">IFERROR(__xludf.DUMMYFUNCTION("""COMPUTED_VALUE"""),"c_tcgh2_roc_rel_day")</f>
        <v>c_tcgh2_roc_rel_day</v>
      </c>
      <c r="B862" s="13" t="str">
        <f ca="1">IFERROR(__xludf.DUMMYFUNCTION("""COMPUTED_VALUE"""),"Скорость роста общей концентрации горючих газов и водорода относительная, сутки")</f>
        <v>Скорость роста общей концентрации горючих газов и водорода относительная, сутки</v>
      </c>
      <c r="D862" s="49"/>
      <c r="F862" s="49"/>
      <c r="H862" s="49"/>
    </row>
    <row r="863" spans="1:8" ht="15.75" customHeight="1" x14ac:dyDescent="0.25">
      <c r="A863" s="13" t="str">
        <f ca="1">IFERROR(__xludf.DUMMYFUNCTION("""COMPUTED_VALUE"""),"c_tcgh2_roc_rel_day_lim0")</f>
        <v>c_tcgh2_roc_rel_day_lim0</v>
      </c>
      <c r="B863" s="13" t="str">
        <f ca="1">IFERROR(__xludf.DUMMYFUNCTION("""COMPUTED_VALUE"""),"ДЗ относительной скорости роста общей концентрации горючих газов и водорода, день")</f>
        <v>ДЗ относительной скорости роста общей концентрации горючих газов и водорода, день</v>
      </c>
      <c r="D863" s="49"/>
      <c r="F863" s="49"/>
      <c r="H863" s="49"/>
    </row>
    <row r="864" spans="1:8" ht="15.75" customHeight="1" x14ac:dyDescent="0.25">
      <c r="A864" s="13" t="str">
        <f ca="1">IFERROR(__xludf.DUMMYFUNCTION("""COMPUTED_VALUE"""),"c_tcgh2_roc_rel_day_lim0_manual")</f>
        <v>c_tcgh2_roc_rel_day_lim0_manual</v>
      </c>
      <c r="B864" s="13" t="str">
        <f ca="1">IFERROR(__xludf.DUMMYFUNCTION("""COMPUTED_VALUE"""),"ДЗ относительной скорости роста общей концентрации горючих газов и водорода, день, ручное")</f>
        <v>ДЗ относительной скорости роста общей концентрации горючих газов и водорода, день, ручное</v>
      </c>
      <c r="D864" s="49"/>
      <c r="F864" s="49"/>
      <c r="H864" s="49"/>
    </row>
    <row r="865" spans="1:8" ht="15.75" customHeight="1" x14ac:dyDescent="0.25">
      <c r="A865" s="13" t="str">
        <f ca="1">IFERROR(__xludf.DUMMYFUNCTION("""COMPUTED_VALUE"""),"c_tcgh2_roc_rel_day_lim1")</f>
        <v>c_tcgh2_roc_rel_day_lim1</v>
      </c>
      <c r="B865" s="13" t="str">
        <f ca="1">IFERROR(__xludf.DUMMYFUNCTION("""COMPUTED_VALUE"""),"ПДЗ относительной скорости роста общей концентрации горючих газов и водорода, день")</f>
        <v>ПДЗ относительной скорости роста общей концентрации горючих газов и водорода, день</v>
      </c>
      <c r="D865" s="49"/>
      <c r="F865" s="49"/>
      <c r="H865" s="49"/>
    </row>
    <row r="866" spans="1:8" ht="15.75" customHeight="1" x14ac:dyDescent="0.25">
      <c r="A866" s="13" t="str">
        <f ca="1">IFERROR(__xludf.DUMMYFUNCTION("""COMPUTED_VALUE"""),"c_tcgh2_roc_rel_day_lim1_manual")</f>
        <v>c_tcgh2_roc_rel_day_lim1_manual</v>
      </c>
      <c r="B866" s="13" t="str">
        <f ca="1">IFERROR(__xludf.DUMMYFUNCTION("""COMPUTED_VALUE"""),"ПДЗ относительной скорости роста общей концентрации горючих газов и водорода, день, ручное")</f>
        <v>ПДЗ относительной скорости роста общей концентрации горючих газов и водорода, день, ручное</v>
      </c>
      <c r="D866" s="49"/>
      <c r="F866" s="49"/>
      <c r="H866" s="49"/>
    </row>
    <row r="867" spans="1:8" ht="15.75" customHeight="1" x14ac:dyDescent="0.25">
      <c r="A867" s="13" t="str">
        <f ca="1">IFERROR(__xludf.DUMMYFUNCTION("""COMPUTED_VALUE"""),"c_tcgh2_roc_rel_month")</f>
        <v>c_tcgh2_roc_rel_month</v>
      </c>
      <c r="B867" s="13" t="str">
        <f ca="1">IFERROR(__xludf.DUMMYFUNCTION("""COMPUTED_VALUE"""),"Скорость роста общей концентрации горючих газов и водорода относительная, месяц")</f>
        <v>Скорость роста общей концентрации горючих газов и водорода относительная, месяц</v>
      </c>
      <c r="D867" s="49"/>
      <c r="F867" s="49"/>
      <c r="H867" s="49"/>
    </row>
    <row r="868" spans="1:8" ht="15.75" customHeight="1" x14ac:dyDescent="0.25">
      <c r="A868" s="13" t="str">
        <f ca="1">IFERROR(__xludf.DUMMYFUNCTION("""COMPUTED_VALUE"""),"c_tcgh2_roc_rel_month_lim0")</f>
        <v>c_tcgh2_roc_rel_month_lim0</v>
      </c>
      <c r="B868" s="13" t="str">
        <f ca="1">IFERROR(__xludf.DUMMYFUNCTION("""COMPUTED_VALUE"""),"ДЗ относительной скорости роста общей концентрации горючих газов и водорода, месяц")</f>
        <v>ДЗ относительной скорости роста общей концентрации горючих газов и водорода, месяц</v>
      </c>
      <c r="D868" s="49"/>
      <c r="F868" s="49"/>
      <c r="H868" s="49"/>
    </row>
    <row r="869" spans="1:8" ht="15.75" customHeight="1" x14ac:dyDescent="0.25">
      <c r="A869" s="13" t="str">
        <f ca="1">IFERROR(__xludf.DUMMYFUNCTION("""COMPUTED_VALUE"""),"c_tcgh2_roc_rel_month_lim0_manual")</f>
        <v>c_tcgh2_roc_rel_month_lim0_manual</v>
      </c>
      <c r="B869" s="13" t="str">
        <f ca="1">IFERROR(__xludf.DUMMYFUNCTION("""COMPUTED_VALUE"""),"ДЗ относительной скорости роста общей концентрации горючих газов и водорода, месяц, ручное")</f>
        <v>ДЗ относительной скорости роста общей концентрации горючих газов и водорода, месяц, ручное</v>
      </c>
      <c r="D869" s="49"/>
      <c r="F869" s="49"/>
      <c r="H869" s="49"/>
    </row>
    <row r="870" spans="1:8" ht="15.75" customHeight="1" x14ac:dyDescent="0.25">
      <c r="A870" s="13" t="str">
        <f ca="1">IFERROR(__xludf.DUMMYFUNCTION("""COMPUTED_VALUE"""),"c_tcgh2_roc_rel_month_lim1")</f>
        <v>c_tcgh2_roc_rel_month_lim1</v>
      </c>
      <c r="B870" s="13" t="str">
        <f ca="1">IFERROR(__xludf.DUMMYFUNCTION("""COMPUTED_VALUE"""),"ПДЗ относительной скорости роста общей концентрации горючих газов и водорода, месяц")</f>
        <v>ПДЗ относительной скорости роста общей концентрации горючих газов и водорода, месяц</v>
      </c>
      <c r="D870" s="49"/>
      <c r="F870" s="49"/>
      <c r="H870" s="49"/>
    </row>
    <row r="871" spans="1:8" ht="15.75" customHeight="1" x14ac:dyDescent="0.25">
      <c r="A871" s="13" t="str">
        <f ca="1">IFERROR(__xludf.DUMMYFUNCTION("""COMPUTED_VALUE"""),"c_tcgh2_roc_rel_month_lim1_manual")</f>
        <v>c_tcgh2_roc_rel_month_lim1_manual</v>
      </c>
      <c r="B871" s="13" t="str">
        <f ca="1">IFERROR(__xludf.DUMMYFUNCTION("""COMPUTED_VALUE"""),"ПДЗ относительной скорости роста общей концентрации горючих газов и водорода, месяц, ручное")</f>
        <v>ПДЗ относительной скорости роста общей концентрации горючих газов и водорода, месяц, ручное</v>
      </c>
      <c r="D871" s="49"/>
      <c r="F871" s="49"/>
      <c r="H871" s="49"/>
    </row>
    <row r="872" spans="1:8" ht="15.75" customHeight="1" x14ac:dyDescent="0.25">
      <c r="A872" s="13" t="str">
        <f ca="1">IFERROR(__xludf.DUMMYFUNCTION("""COMPUTED_VALUE"""),"c_tcgh2_roc_rel_week")</f>
        <v>c_tcgh2_roc_rel_week</v>
      </c>
      <c r="B872" s="13" t="str">
        <f ca="1">IFERROR(__xludf.DUMMYFUNCTION("""COMPUTED_VALUE"""),"Скорость роста общей концентрации горючих газов и водорода относительная, неделя")</f>
        <v>Скорость роста общей концентрации горючих газов и водорода относительная, неделя</v>
      </c>
      <c r="D872" s="49"/>
      <c r="F872" s="49"/>
      <c r="H872" s="49"/>
    </row>
    <row r="873" spans="1:8" ht="15.75" customHeight="1" x14ac:dyDescent="0.25">
      <c r="A873" s="13" t="str">
        <f ca="1">IFERROR(__xludf.DUMMYFUNCTION("""COMPUTED_VALUE"""),"c_tcgh2_roc_rel_week_lim0")</f>
        <v>c_tcgh2_roc_rel_week_lim0</v>
      </c>
      <c r="B873" s="13" t="str">
        <f ca="1">IFERROR(__xludf.DUMMYFUNCTION("""COMPUTED_VALUE"""),"ДЗ относительной скорости роста общей концентрации горючих газов и водорода, неделя")</f>
        <v>ДЗ относительной скорости роста общей концентрации горючих газов и водорода, неделя</v>
      </c>
      <c r="D873" s="49"/>
      <c r="F873" s="49"/>
      <c r="H873" s="49"/>
    </row>
    <row r="874" spans="1:8" ht="15.75" customHeight="1" x14ac:dyDescent="0.25">
      <c r="A874" s="13" t="str">
        <f ca="1">IFERROR(__xludf.DUMMYFUNCTION("""COMPUTED_VALUE"""),"c_tcgh2_roc_rel_week_lim0_manual")</f>
        <v>c_tcgh2_roc_rel_week_lim0_manual</v>
      </c>
      <c r="B874" s="13" t="str">
        <f ca="1">IFERROR(__xludf.DUMMYFUNCTION("""COMPUTED_VALUE"""),"ДЗ относительной скорости роста общей концентрации горючих газов и водорода, неделя, ручное")</f>
        <v>ДЗ относительной скорости роста общей концентрации горючих газов и водорода, неделя, ручное</v>
      </c>
      <c r="D874" s="49"/>
      <c r="F874" s="49"/>
      <c r="H874" s="49"/>
    </row>
    <row r="875" spans="1:8" ht="15.75" customHeight="1" x14ac:dyDescent="0.25">
      <c r="A875" s="13" t="str">
        <f ca="1">IFERROR(__xludf.DUMMYFUNCTION("""COMPUTED_VALUE"""),"c_tcgh2_roc_rel_week_lim1")</f>
        <v>c_tcgh2_roc_rel_week_lim1</v>
      </c>
      <c r="B875" s="13" t="str">
        <f ca="1">IFERROR(__xludf.DUMMYFUNCTION("""COMPUTED_VALUE"""),"ПДЗ относительной скорости роста общей концентрации горючих газов и водорода, неделя")</f>
        <v>ПДЗ относительной скорости роста общей концентрации горючих газов и водорода, неделя</v>
      </c>
      <c r="D875" s="49"/>
      <c r="F875" s="49"/>
      <c r="H875" s="49"/>
    </row>
    <row r="876" spans="1:8" ht="15.75" customHeight="1" x14ac:dyDescent="0.25">
      <c r="A876" s="13" t="str">
        <f ca="1">IFERROR(__xludf.DUMMYFUNCTION("""COMPUTED_VALUE"""),"c_tcgh2_roc_rel_week_lim1_manual")</f>
        <v>c_tcgh2_roc_rel_week_lim1_manual</v>
      </c>
      <c r="B876" s="13" t="str">
        <f ca="1">IFERROR(__xludf.DUMMYFUNCTION("""COMPUTED_VALUE"""),"ПДЗ относительной скорости роста общей концентрации горючих газов и водорода, неделя, ручное")</f>
        <v>ПДЗ относительной скорости роста общей концентрации горючих газов и водорода, неделя, ручное</v>
      </c>
      <c r="D876" s="49"/>
      <c r="F876" s="49"/>
      <c r="H876" s="49"/>
    </row>
    <row r="877" spans="1:8" ht="15.75" customHeight="1" x14ac:dyDescent="0.25">
      <c r="A877" s="13" t="str">
        <f ca="1">IFERROR(__xludf.DUMMYFUNCTION("""COMPUTED_VALUE"""),"c_tcgh2_roc_rel_year")</f>
        <v>c_tcgh2_roc_rel_year</v>
      </c>
      <c r="B877" s="13" t="str">
        <f ca="1">IFERROR(__xludf.DUMMYFUNCTION("""COMPUTED_VALUE"""),"Скорость роста общей концентрации горючих газов и водорода относительная, год")</f>
        <v>Скорость роста общей концентрации горючих газов и водорода относительная, год</v>
      </c>
      <c r="D877" s="49"/>
      <c r="F877" s="49"/>
      <c r="H877" s="49"/>
    </row>
    <row r="878" spans="1:8" ht="15.75" customHeight="1" x14ac:dyDescent="0.25">
      <c r="A878" s="13" t="str">
        <f ca="1">IFERROR(__xludf.DUMMYFUNCTION("""COMPUTED_VALUE"""),"c_tcgh2_roc_rel_year_lim0")</f>
        <v>c_tcgh2_roc_rel_year_lim0</v>
      </c>
      <c r="B878" s="13" t="str">
        <f ca="1">IFERROR(__xludf.DUMMYFUNCTION("""COMPUTED_VALUE"""),"ДЗ относительной скорости роста общей концентрации горючих газов и водорода, год")</f>
        <v>ДЗ относительной скорости роста общей концентрации горючих газов и водорода, год</v>
      </c>
      <c r="D878" s="49"/>
      <c r="F878" s="49"/>
      <c r="H878" s="49"/>
    </row>
    <row r="879" spans="1:8" ht="15.75" customHeight="1" x14ac:dyDescent="0.25">
      <c r="A879" s="13" t="str">
        <f ca="1">IFERROR(__xludf.DUMMYFUNCTION("""COMPUTED_VALUE"""),"c_tcgh2_roc_rel_year_lim0_manual")</f>
        <v>c_tcgh2_roc_rel_year_lim0_manual</v>
      </c>
      <c r="B879" s="13" t="str">
        <f ca="1">IFERROR(__xludf.DUMMYFUNCTION("""COMPUTED_VALUE"""),"ДЗ относительной скорости роста общей концентрации горючих газов и водорода, год, ручное")</f>
        <v>ДЗ относительной скорости роста общей концентрации горючих газов и водорода, год, ручное</v>
      </c>
      <c r="D879" s="49"/>
      <c r="F879" s="49"/>
      <c r="H879" s="49"/>
    </row>
    <row r="880" spans="1:8" ht="15.75" customHeight="1" x14ac:dyDescent="0.25">
      <c r="A880" s="13" t="str">
        <f ca="1">IFERROR(__xludf.DUMMYFUNCTION("""COMPUTED_VALUE"""),"c_tcgh2_roc_rel_year_lim1")</f>
        <v>c_tcgh2_roc_rel_year_lim1</v>
      </c>
      <c r="B880" s="13" t="str">
        <f ca="1">IFERROR(__xludf.DUMMYFUNCTION("""COMPUTED_VALUE"""),"ПДЗ относительной скорости роста общей концентрации горючих газов и водорода, год")</f>
        <v>ПДЗ относительной скорости роста общей концентрации горючих газов и водорода, год</v>
      </c>
      <c r="D880" s="49"/>
      <c r="F880" s="49"/>
      <c r="H880" s="49"/>
    </row>
    <row r="881" spans="1:8" ht="15.75" customHeight="1" x14ac:dyDescent="0.25">
      <c r="A881" s="13" t="str">
        <f ca="1">IFERROR(__xludf.DUMMYFUNCTION("""COMPUTED_VALUE"""),"c_tcgh2_roc_rel_year_lim1_manual")</f>
        <v>c_tcgh2_roc_rel_year_lim1_manual</v>
      </c>
      <c r="B881" s="13" t="str">
        <f ca="1">IFERROR(__xludf.DUMMYFUNCTION("""COMPUTED_VALUE"""),"ПДЗ относительной скорости роста общей концентрации горючих газов и водорода, год, ручное")</f>
        <v>ПДЗ относительной скорости роста общей концентрации горючих газов и водорода, год, ручное</v>
      </c>
      <c r="D881" s="49"/>
      <c r="F881" s="49"/>
      <c r="H881" s="49"/>
    </row>
    <row r="882" spans="1:8" ht="15.75" customHeight="1" x14ac:dyDescent="0.25">
      <c r="A882" s="13" t="str">
        <f ca="1">IFERROR(__xludf.DUMMYFUNCTION("""COMPUTED_VALUE"""),"c_tdcg")</f>
        <v>c_tdcg</v>
      </c>
      <c r="B882" s="13" t="str">
        <f ca="1">IFERROR(__xludf.DUMMYFUNCTION("""COMPUTED_VALUE"""),"Общая концентрация горючих газов и монооксида углерода")</f>
        <v>Общая концентрация горючих газов и монооксида углерода</v>
      </c>
      <c r="D882" s="49"/>
      <c r="F882" s="49"/>
      <c r="H882" s="49"/>
    </row>
    <row r="883" spans="1:8" ht="15.75" customHeight="1" x14ac:dyDescent="0.25">
      <c r="A883" s="13" t="str">
        <f ca="1">IFERROR(__xludf.DUMMYFUNCTION("""COMPUTED_VALUE"""),"c_tdcg_calc")</f>
        <v>c_tdcg_calc</v>
      </c>
      <c r="B883" s="13" t="str">
        <f ca="1">IFERROR(__xludf.DUMMYFUNCTION("""COMPUTED_VALUE"""),"Общая концентрация горючих газов и монооксида углерода, расчётная")</f>
        <v>Общая концентрация горючих газов и монооксида углерода, расчётная</v>
      </c>
      <c r="D883" s="49"/>
      <c r="F883" s="49"/>
      <c r="H883" s="49"/>
    </row>
    <row r="884" spans="1:8" ht="15.75" customHeight="1" x14ac:dyDescent="0.25">
      <c r="A884" s="13" t="str">
        <f ca="1">IFERROR(__xludf.DUMMYFUNCTION("""COMPUTED_VALUE"""),"c_tdcg_res")</f>
        <v>c_tdcg_res</v>
      </c>
      <c r="B884" s="13" t="str">
        <f ca="1">IFERROR(__xludf.DUMMYFUNCTION("""COMPUTED_VALUE"""),"Общая концентрация горючих газов и монооксида углерода, результирующая")</f>
        <v>Общая концентрация горючих газов и монооксида углерода, результирующая</v>
      </c>
      <c r="D884" s="49"/>
      <c r="F884" s="49"/>
      <c r="H884" s="49"/>
    </row>
    <row r="885" spans="1:8" ht="15.75" customHeight="1" x14ac:dyDescent="0.25">
      <c r="A885" s="13" t="str">
        <f ca="1">IFERROR(__xludf.DUMMYFUNCTION("""COMPUTED_VALUE"""),"c_tdcg_roc_abs_day")</f>
        <v>c_tdcg_roc_abs_day</v>
      </c>
      <c r="B885" s="13" t="str">
        <f ca="1">IFERROR(__xludf.DUMMYFUNCTION("""COMPUTED_VALUE"""),"Скорость роста общей концентрации горючих газов и монооксида углерода абсолютная, сутки")</f>
        <v>Скорость роста общей концентрации горючих газов и монооксида углерода абсолютная, сутки</v>
      </c>
      <c r="D885" s="49"/>
      <c r="F885" s="49"/>
      <c r="H885" s="49"/>
    </row>
    <row r="886" spans="1:8" ht="15.75" customHeight="1" x14ac:dyDescent="0.25">
      <c r="A886" s="13" t="str">
        <f ca="1">IFERROR(__xludf.DUMMYFUNCTION("""COMPUTED_VALUE"""),"c_tdcg_roc_abs_month")</f>
        <v>c_tdcg_roc_abs_month</v>
      </c>
      <c r="B886" s="13" t="str">
        <f ca="1">IFERROR(__xludf.DUMMYFUNCTION("""COMPUTED_VALUE"""),"Скорость роста общей концентрации горючих газов и монооксида углерода абсолютная, месяц")</f>
        <v>Скорость роста общей концентрации горючих газов и монооксида углерода абсолютная, месяц</v>
      </c>
      <c r="D886" s="49"/>
      <c r="F886" s="49"/>
      <c r="H886" s="49"/>
    </row>
    <row r="887" spans="1:8" ht="15.75" customHeight="1" x14ac:dyDescent="0.25">
      <c r="A887" s="13" t="str">
        <f ca="1">IFERROR(__xludf.DUMMYFUNCTION("""COMPUTED_VALUE"""),"c_tdcg_roc_abs_week")</f>
        <v>c_tdcg_roc_abs_week</v>
      </c>
      <c r="B887" s="13" t="str">
        <f ca="1">IFERROR(__xludf.DUMMYFUNCTION("""COMPUTED_VALUE"""),"Скорость роста общей концентрации горючих газов и монооксида углерода абсолютная, неделя")</f>
        <v>Скорость роста общей концентрации горючих газов и монооксида углерода абсолютная, неделя</v>
      </c>
      <c r="D887" s="49"/>
      <c r="F887" s="49"/>
      <c r="H887" s="49"/>
    </row>
    <row r="888" spans="1:8" ht="15.75" customHeight="1" x14ac:dyDescent="0.25">
      <c r="A888" s="13" t="str">
        <f ca="1">IFERROR(__xludf.DUMMYFUNCTION("""COMPUTED_VALUE"""),"c_tdcg_roc_abs_year")</f>
        <v>c_tdcg_roc_abs_year</v>
      </c>
      <c r="B888" s="13" t="str">
        <f ca="1">IFERROR(__xludf.DUMMYFUNCTION("""COMPUTED_VALUE"""),"Скорость роста общей концентрации горючих газов и монооксида углерода абсолютная, год")</f>
        <v>Скорость роста общей концентрации горючих газов и монооксида углерода абсолютная, год</v>
      </c>
      <c r="D888" s="49"/>
      <c r="F888" s="49"/>
      <c r="H888" s="49"/>
    </row>
    <row r="889" spans="1:8" ht="15.75" customHeight="1" x14ac:dyDescent="0.25">
      <c r="A889" s="13" t="str">
        <f ca="1">IFERROR(__xludf.DUMMYFUNCTION("""COMPUTED_VALUE"""),"c_tdcg_roc_rel_day")</f>
        <v>c_tdcg_roc_rel_day</v>
      </c>
      <c r="B889" s="13" t="str">
        <f ca="1">IFERROR(__xludf.DUMMYFUNCTION("""COMPUTED_VALUE"""),"Скорость роста общей концентрации горючих газов и монооксида углерода относительная, сутки")</f>
        <v>Скорость роста общей концентрации горючих газов и монооксида углерода относительная, сутки</v>
      </c>
      <c r="D889" s="49"/>
      <c r="F889" s="49"/>
      <c r="H889" s="49"/>
    </row>
    <row r="890" spans="1:8" ht="15.75" customHeight="1" x14ac:dyDescent="0.25">
      <c r="A890" s="13" t="str">
        <f ca="1">IFERROR(__xludf.DUMMYFUNCTION("""COMPUTED_VALUE"""),"c_tdcg_roc_rel_month")</f>
        <v>c_tdcg_roc_rel_month</v>
      </c>
      <c r="B890" s="13" t="str">
        <f ca="1">IFERROR(__xludf.DUMMYFUNCTION("""COMPUTED_VALUE"""),"Скорость роста общей концентрации горючих газов и монооксида углерода относительная, месяц")</f>
        <v>Скорость роста общей концентрации горючих газов и монооксида углерода относительная, месяц</v>
      </c>
      <c r="D890" s="49"/>
      <c r="F890" s="49"/>
      <c r="H890" s="49"/>
    </row>
    <row r="891" spans="1:8" ht="15.75" customHeight="1" x14ac:dyDescent="0.25">
      <c r="A891" s="13" t="str">
        <f ca="1">IFERROR(__xludf.DUMMYFUNCTION("""COMPUTED_VALUE"""),"c_tdcg_roc_rel_week")</f>
        <v>c_tdcg_roc_rel_week</v>
      </c>
      <c r="B891" s="13" t="str">
        <f ca="1">IFERROR(__xludf.DUMMYFUNCTION("""COMPUTED_VALUE"""),"Скорость роста общей концентрации горючих газов и монооксида углерода относительная, неделя")</f>
        <v>Скорость роста общей концентрации горючих газов и монооксида углерода относительная, неделя</v>
      </c>
      <c r="D891" s="49"/>
      <c r="F891" s="49"/>
      <c r="H891" s="49"/>
    </row>
    <row r="892" spans="1:8" ht="15.75" customHeight="1" x14ac:dyDescent="0.25">
      <c r="A892" s="13" t="str">
        <f ca="1">IFERROR(__xludf.DUMMYFUNCTION("""COMPUTED_VALUE"""),"c_tdcg_roc_rel_year")</f>
        <v>c_tdcg_roc_rel_year</v>
      </c>
      <c r="B892" s="13" t="str">
        <f ca="1">IFERROR(__xludf.DUMMYFUNCTION("""COMPUTED_VALUE"""),"Скорость роста общей концентрации горючих газов и монооксида углерода относительная, год")</f>
        <v>Скорость роста общей концентрации горючих газов и монооксида углерода относительная, год</v>
      </c>
      <c r="D892" s="49"/>
      <c r="F892" s="49"/>
      <c r="H892" s="49"/>
    </row>
    <row r="893" spans="1:8" ht="15.75" customHeight="1" x14ac:dyDescent="0.25">
      <c r="A893" s="13" t="str">
        <f ca="1">IFERROR(__xludf.DUMMYFUNCTION("""COMPUTED_VALUE"""),"c_tg")</f>
        <v>c_tg</v>
      </c>
      <c r="B893" s="13" t="str">
        <f ca="1">IFERROR(__xludf.DUMMYFUNCTION("""COMPUTED_VALUE"""),"Общая концентрация растворённых газов")</f>
        <v>Общая концентрация растворённых газов</v>
      </c>
      <c r="D893" s="49"/>
      <c r="F893" s="49"/>
      <c r="H893" s="49"/>
    </row>
    <row r="894" spans="1:8" ht="15.75" customHeight="1" x14ac:dyDescent="0.25">
      <c r="A894" s="13" t="str">
        <f ca="1">IFERROR(__xludf.DUMMYFUNCTION("""COMPUTED_VALUE"""),"c_tg_calc")</f>
        <v>c_tg_calc</v>
      </c>
      <c r="B894" s="13" t="str">
        <f ca="1">IFERROR(__xludf.DUMMYFUNCTION("""COMPUTED_VALUE"""),"Общая концентрация растворённых газов, расчётная")</f>
        <v>Общая концентрация растворённых газов, расчётная</v>
      </c>
      <c r="D894" s="49"/>
      <c r="F894" s="49"/>
      <c r="H894" s="49"/>
    </row>
    <row r="895" spans="1:8" ht="15.75" customHeight="1" x14ac:dyDescent="0.25">
      <c r="A895" s="13" t="str">
        <f ca="1">IFERROR(__xludf.DUMMYFUNCTION("""COMPUTED_VALUE"""),"c_tg_res")</f>
        <v>c_tg_res</v>
      </c>
      <c r="B895" s="13" t="str">
        <f ca="1">IFERROR(__xludf.DUMMYFUNCTION("""COMPUTED_VALUE"""),"Общая концентрация растворённых газов, результирующая")</f>
        <v>Общая концентрация растворённых газов, результирующая</v>
      </c>
      <c r="D895" s="49"/>
      <c r="F895" s="49"/>
      <c r="H895" s="49"/>
    </row>
    <row r="896" spans="1:8" ht="15.75" customHeight="1" x14ac:dyDescent="0.25">
      <c r="A896" s="13" t="str">
        <f ca="1">IFERROR(__xludf.DUMMYFUNCTION("""COMPUTED_VALUE"""),"c_tg_roc_abs_day")</f>
        <v>c_tg_roc_abs_day</v>
      </c>
      <c r="B896" s="13" t="str">
        <f ca="1">IFERROR(__xludf.DUMMYFUNCTION("""COMPUTED_VALUE"""),"Скорость роста общей концентрации растворённых газов абсолютная, сутки")</f>
        <v>Скорость роста общей концентрации растворённых газов абсолютная, сутки</v>
      </c>
      <c r="D896" s="49"/>
      <c r="F896" s="49"/>
      <c r="H896" s="49"/>
    </row>
    <row r="897" spans="1:8" ht="15.75" customHeight="1" x14ac:dyDescent="0.25">
      <c r="A897" s="13" t="str">
        <f ca="1">IFERROR(__xludf.DUMMYFUNCTION("""COMPUTED_VALUE"""),"c_tg_roc_abs_month")</f>
        <v>c_tg_roc_abs_month</v>
      </c>
      <c r="B897" s="13" t="str">
        <f ca="1">IFERROR(__xludf.DUMMYFUNCTION("""COMPUTED_VALUE"""),"Скорость роста общей концентрации растворённых газов абсолютная, месяц")</f>
        <v>Скорость роста общей концентрации растворённых газов абсолютная, месяц</v>
      </c>
      <c r="D897" s="49"/>
      <c r="F897" s="49"/>
      <c r="H897" s="49"/>
    </row>
    <row r="898" spans="1:8" ht="15.75" customHeight="1" x14ac:dyDescent="0.25">
      <c r="A898" s="13" t="str">
        <f ca="1">IFERROR(__xludf.DUMMYFUNCTION("""COMPUTED_VALUE"""),"c_tg_roc_abs_week")</f>
        <v>c_tg_roc_abs_week</v>
      </c>
      <c r="B898" s="13" t="str">
        <f ca="1">IFERROR(__xludf.DUMMYFUNCTION("""COMPUTED_VALUE"""),"Скорость роста общей концентрации растворённых газов абсолютная, неделя")</f>
        <v>Скорость роста общей концентрации растворённых газов абсолютная, неделя</v>
      </c>
      <c r="D898" s="49"/>
      <c r="F898" s="49"/>
      <c r="H898" s="49"/>
    </row>
    <row r="899" spans="1:8" ht="15.75" customHeight="1" x14ac:dyDescent="0.25">
      <c r="A899" s="13" t="str">
        <f ca="1">IFERROR(__xludf.DUMMYFUNCTION("""COMPUTED_VALUE"""),"c_tg_roc_abs_year")</f>
        <v>c_tg_roc_abs_year</v>
      </c>
      <c r="B899" s="13" t="str">
        <f ca="1">IFERROR(__xludf.DUMMYFUNCTION("""COMPUTED_VALUE"""),"Скорость роста общей концентрации растворённых газов абсолютная, год")</f>
        <v>Скорость роста общей концентрации растворённых газов абсолютная, год</v>
      </c>
      <c r="D899" s="49"/>
      <c r="F899" s="49"/>
      <c r="H899" s="49"/>
    </row>
    <row r="900" spans="1:8" ht="15.75" customHeight="1" x14ac:dyDescent="0.25">
      <c r="A900" s="13" t="str">
        <f ca="1">IFERROR(__xludf.DUMMYFUNCTION("""COMPUTED_VALUE"""),"c_tg_roc_rel_day")</f>
        <v>c_tg_roc_rel_day</v>
      </c>
      <c r="B900" s="13" t="str">
        <f ca="1">IFERROR(__xludf.DUMMYFUNCTION("""COMPUTED_VALUE"""),"Скорость роста общей концентрации растворённых газов относительная, сутки")</f>
        <v>Скорость роста общей концентрации растворённых газов относительная, сутки</v>
      </c>
      <c r="D900" s="49"/>
      <c r="F900" s="49"/>
      <c r="H900" s="49"/>
    </row>
    <row r="901" spans="1:8" ht="15.75" customHeight="1" x14ac:dyDescent="0.25">
      <c r="A901" s="13" t="str">
        <f ca="1">IFERROR(__xludf.DUMMYFUNCTION("""COMPUTED_VALUE"""),"c_tg_roc_rel_month")</f>
        <v>c_tg_roc_rel_month</v>
      </c>
      <c r="B901" s="13" t="str">
        <f ca="1">IFERROR(__xludf.DUMMYFUNCTION("""COMPUTED_VALUE"""),"Скорость роста общей концентрации растворённых газов относительная, месяц")</f>
        <v>Скорость роста общей концентрации растворённых газов относительная, месяц</v>
      </c>
      <c r="D901" s="49"/>
      <c r="F901" s="49"/>
      <c r="H901" s="49"/>
    </row>
    <row r="902" spans="1:8" ht="15.75" customHeight="1" x14ac:dyDescent="0.25">
      <c r="A902" s="13" t="str">
        <f ca="1">IFERROR(__xludf.DUMMYFUNCTION("""COMPUTED_VALUE"""),"c_tg_roc_rel_week")</f>
        <v>c_tg_roc_rel_week</v>
      </c>
      <c r="B902" s="13" t="str">
        <f ca="1">IFERROR(__xludf.DUMMYFUNCTION("""COMPUTED_VALUE"""),"Скорость роста общей концентрации растворённых газов относительная, неделя")</f>
        <v>Скорость роста общей концентрации растворённых газов относительная, неделя</v>
      </c>
      <c r="D902" s="49"/>
      <c r="F902" s="49"/>
      <c r="H902" s="49"/>
    </row>
    <row r="903" spans="1:8" ht="15.75" customHeight="1" x14ac:dyDescent="0.25">
      <c r="A903" s="13" t="str">
        <f ca="1">IFERROR(__xludf.DUMMYFUNCTION("""COMPUTED_VALUE"""),"c_tg_roc_rel_year")</f>
        <v>c_tg_roc_rel_year</v>
      </c>
      <c r="B903" s="13" t="str">
        <f ca="1">IFERROR(__xludf.DUMMYFUNCTION("""COMPUTED_VALUE"""),"Скорость роста общей концентрации растворённых газов относительная, год")</f>
        <v>Скорость роста общей концентрации растворённых газов относительная, год</v>
      </c>
      <c r="D903" s="49"/>
      <c r="F903" s="49"/>
      <c r="H903" s="49"/>
    </row>
    <row r="904" spans="1:8" ht="15.75" customHeight="1" x14ac:dyDescent="0.25">
      <c r="A904" s="13" t="str">
        <f ca="1">IFERROR(__xludf.DUMMYFUNCTION("""COMPUTED_VALUE"""),"c_thg")</f>
        <v>c_thg</v>
      </c>
      <c r="B904" s="13" t="str">
        <f ca="1">IFERROR(__xludf.DUMMYFUNCTION("""COMPUTED_VALUE"""),"Общая концентрация теплового газа")</f>
        <v>Общая концентрация теплового газа</v>
      </c>
      <c r="D904" s="49"/>
      <c r="F904" s="49"/>
      <c r="H904" s="49"/>
    </row>
    <row r="905" spans="1:8" ht="15.75" customHeight="1" x14ac:dyDescent="0.25">
      <c r="A905" s="13" t="str">
        <f ca="1">IFERROR(__xludf.DUMMYFUNCTION("""COMPUTED_VALUE"""),"c_thg_calc")</f>
        <v>c_thg_calc</v>
      </c>
      <c r="B905" s="13" t="str">
        <f ca="1">IFERROR(__xludf.DUMMYFUNCTION("""COMPUTED_VALUE"""),"Общая концентрация теплового газа, расчётная")</f>
        <v>Общая концентрация теплового газа, расчётная</v>
      </c>
      <c r="D905" s="49"/>
      <c r="F905" s="49"/>
      <c r="H905" s="49"/>
    </row>
    <row r="906" spans="1:8" ht="15.75" customHeight="1" x14ac:dyDescent="0.25">
      <c r="A906" s="13" t="str">
        <f ca="1">IFERROR(__xludf.DUMMYFUNCTION("""COMPUTED_VALUE"""),"c_thg_res")</f>
        <v>c_thg_res</v>
      </c>
      <c r="B906" s="13" t="str">
        <f ca="1">IFERROR(__xludf.DUMMYFUNCTION("""COMPUTED_VALUE"""),"Общая концентрация теплового газа, результирующая")</f>
        <v>Общая концентрация теплового газа, результирующая</v>
      </c>
      <c r="D906" s="49"/>
      <c r="F906" s="49"/>
      <c r="H906" s="49"/>
    </row>
    <row r="907" spans="1:8" ht="15.75" customHeight="1" x14ac:dyDescent="0.25">
      <c r="A907" s="13" t="str">
        <f ca="1">IFERROR(__xludf.DUMMYFUNCTION("""COMPUTED_VALUE"""),"c_thg_roc_abs_day")</f>
        <v>c_thg_roc_abs_day</v>
      </c>
      <c r="B907" s="13" t="str">
        <f ca="1">IFERROR(__xludf.DUMMYFUNCTION("""COMPUTED_VALUE"""),"Скорость роста общей концентрации теплового газа абсолютная, сутки")</f>
        <v>Скорость роста общей концентрации теплового газа абсолютная, сутки</v>
      </c>
      <c r="D907" s="49"/>
      <c r="F907" s="49"/>
      <c r="H907" s="49"/>
    </row>
    <row r="908" spans="1:8" ht="15.75" customHeight="1" x14ac:dyDescent="0.25">
      <c r="A908" s="13" t="str">
        <f ca="1">IFERROR(__xludf.DUMMYFUNCTION("""COMPUTED_VALUE"""),"c_thg_roc_abs_month")</f>
        <v>c_thg_roc_abs_month</v>
      </c>
      <c r="B908" s="13" t="str">
        <f ca="1">IFERROR(__xludf.DUMMYFUNCTION("""COMPUTED_VALUE"""),"Скорость роста общей концентрации теплового газа абсолютная, месяц")</f>
        <v>Скорость роста общей концентрации теплового газа абсолютная, месяц</v>
      </c>
      <c r="D908" s="49"/>
      <c r="F908" s="49"/>
      <c r="H908" s="49"/>
    </row>
    <row r="909" spans="1:8" ht="15.75" customHeight="1" x14ac:dyDescent="0.25">
      <c r="A909" s="13" t="str">
        <f ca="1">IFERROR(__xludf.DUMMYFUNCTION("""COMPUTED_VALUE"""),"c_thg_roc_abs_week")</f>
        <v>c_thg_roc_abs_week</v>
      </c>
      <c r="B909" s="13" t="str">
        <f ca="1">IFERROR(__xludf.DUMMYFUNCTION("""COMPUTED_VALUE"""),"Скорость роста общей концентрации теплового газа абсолютная, неделя")</f>
        <v>Скорость роста общей концентрации теплового газа абсолютная, неделя</v>
      </c>
      <c r="D909" s="49"/>
      <c r="F909" s="49"/>
      <c r="H909" s="49"/>
    </row>
    <row r="910" spans="1:8" ht="15.75" customHeight="1" x14ac:dyDescent="0.25">
      <c r="A910" s="13" t="str">
        <f ca="1">IFERROR(__xludf.DUMMYFUNCTION("""COMPUTED_VALUE"""),"c_thg_roc_abs_year")</f>
        <v>c_thg_roc_abs_year</v>
      </c>
      <c r="B910" s="13" t="str">
        <f ca="1">IFERROR(__xludf.DUMMYFUNCTION("""COMPUTED_VALUE"""),"Скорость роста общей концентрации теплового газа абсолютная, год")</f>
        <v>Скорость роста общей концентрации теплового газа абсолютная, год</v>
      </c>
      <c r="D910" s="49"/>
      <c r="F910" s="49"/>
      <c r="H910" s="49"/>
    </row>
    <row r="911" spans="1:8" ht="15.75" customHeight="1" x14ac:dyDescent="0.25">
      <c r="A911" s="13" t="str">
        <f ca="1">IFERROR(__xludf.DUMMYFUNCTION("""COMPUTED_VALUE"""),"c_thg_roc_rel_day")</f>
        <v>c_thg_roc_rel_day</v>
      </c>
      <c r="B911" s="13" t="str">
        <f ca="1">IFERROR(__xludf.DUMMYFUNCTION("""COMPUTED_VALUE"""),"Скорость роста общей концентрации теплового газа относительная, сутки")</f>
        <v>Скорость роста общей концентрации теплового газа относительная, сутки</v>
      </c>
      <c r="D911" s="49"/>
      <c r="F911" s="49"/>
      <c r="H911" s="49"/>
    </row>
    <row r="912" spans="1:8" ht="15.75" customHeight="1" x14ac:dyDescent="0.25">
      <c r="A912" s="13" t="str">
        <f ca="1">IFERROR(__xludf.DUMMYFUNCTION("""COMPUTED_VALUE"""),"c_thg_roc_rel_month")</f>
        <v>c_thg_roc_rel_month</v>
      </c>
      <c r="B912" s="13" t="str">
        <f ca="1">IFERROR(__xludf.DUMMYFUNCTION("""COMPUTED_VALUE"""),"Скорость роста общей концентрации теплового газа относительная, месяц")</f>
        <v>Скорость роста общей концентрации теплового газа относительная, месяц</v>
      </c>
      <c r="D912" s="49"/>
      <c r="F912" s="49"/>
      <c r="H912" s="49"/>
    </row>
    <row r="913" spans="1:8" ht="15.75" customHeight="1" x14ac:dyDescent="0.25">
      <c r="A913" s="13" t="str">
        <f ca="1">IFERROR(__xludf.DUMMYFUNCTION("""COMPUTED_VALUE"""),"c_thg_roc_rel_week")</f>
        <v>c_thg_roc_rel_week</v>
      </c>
      <c r="B913" s="13" t="str">
        <f ca="1">IFERROR(__xludf.DUMMYFUNCTION("""COMPUTED_VALUE"""),"Скорость роста общей концентрации теплового газа относительная, неделя")</f>
        <v>Скорость роста общей концентрации теплового газа относительная, неделя</v>
      </c>
      <c r="D913" s="49"/>
      <c r="F913" s="49"/>
      <c r="H913" s="49"/>
    </row>
    <row r="914" spans="1:8" ht="15.75" customHeight="1" x14ac:dyDescent="0.25">
      <c r="A914" s="13" t="str">
        <f ca="1">IFERROR(__xludf.DUMMYFUNCTION("""COMPUTED_VALUE"""),"c_thg_roc_rel_year")</f>
        <v>c_thg_roc_rel_year</v>
      </c>
      <c r="B914" s="13" t="str">
        <f ca="1">IFERROR(__xludf.DUMMYFUNCTION("""COMPUTED_VALUE"""),"Скорость роста общей концентрации теплового газа относительная, год")</f>
        <v>Скорость роста общей концентрации теплового газа относительная, год</v>
      </c>
      <c r="D914" s="49"/>
      <c r="F914" s="49"/>
      <c r="H914" s="49"/>
    </row>
    <row r="915" spans="1:8" ht="15.75" customHeight="1" x14ac:dyDescent="0.25">
      <c r="A915" s="13" t="str">
        <f ca="1">IFERROR(__xludf.DUMMYFUNCTION("""COMPUTED_VALUE"""),"coeff_load")</f>
        <v>coeff_load</v>
      </c>
      <c r="B915" s="13" t="str">
        <f ca="1">IFERROR(__xludf.DUMMYFUNCTION("""COMPUTED_VALUE"""),"Коэффициент нагрузки")</f>
        <v>Коэффициент нагрузки</v>
      </c>
      <c r="D915" s="49"/>
      <c r="F915" s="49"/>
      <c r="H915" s="49"/>
    </row>
    <row r="916" spans="1:8" ht="15.75" customHeight="1" x14ac:dyDescent="0.25">
      <c r="A916" s="13" t="str">
        <f ca="1">IFERROR(__xludf.DUMMYFUNCTION("""COMPUTED_VALUE"""),"condition")</f>
        <v>condition</v>
      </c>
      <c r="B916" s="13" t="str">
        <f ca="1">IFERROR(__xludf.DUMMYFUNCTION("""COMPUTED_VALUE"""),"Состояние")</f>
        <v>Состояние</v>
      </c>
      <c r="D916" s="49"/>
      <c r="F916" s="49"/>
      <c r="H916" s="49"/>
    </row>
    <row r="917" spans="1:8" ht="15.75" customHeight="1" x14ac:dyDescent="0.25">
      <c r="A917" s="13" t="str">
        <f ca="1">IFERROR(__xludf.DUMMYFUNCTION("""COMPUTED_VALUE"""),"cooling_alarm_circuit_emergency_off")</f>
        <v>cooling_alarm_circuit_emergency_off</v>
      </c>
      <c r="B917" s="13" t="str">
        <f ca="1">IFERROR(__xludf.DUMMYFUNCTION("""COMPUTED_VALUE"""),"Аварийно отключена цепь сигнализации ШАОТ")</f>
        <v>Аварийно отключена цепь сигнализации ШАОТ</v>
      </c>
      <c r="D917" s="49"/>
      <c r="F917" s="49"/>
      <c r="H917" s="49"/>
    </row>
    <row r="918" spans="1:8" ht="15.75" customHeight="1" x14ac:dyDescent="0.25">
      <c r="A918" s="13" t="str">
        <f ca="1">IFERROR(__xludf.DUMMYFUNCTION("""COMPUTED_VALUE"""),"cooling_auto_control_on")</f>
        <v>cooling_auto_control_on</v>
      </c>
      <c r="B918" s="13" t="str">
        <f ca="1">IFERROR(__xludf.DUMMYFUNCTION("""COMPUTED_VALUE"""),"Включен режим автоматического управления системой охлаждения")</f>
        <v>Включен режим автоматического управления системой охлаждения</v>
      </c>
      <c r="D918" s="49"/>
      <c r="F918" s="49"/>
      <c r="H918" s="49"/>
    </row>
    <row r="919" spans="1:8" ht="15.75" customHeight="1" x14ac:dyDescent="0.25">
      <c r="A919" s="13" t="str">
        <f ca="1">IFERROR(__xludf.DUMMYFUNCTION("""COMPUTED_VALUE"""),"cooling_control_circuit_emergency_off")</f>
        <v>cooling_control_circuit_emergency_off</v>
      </c>
      <c r="B919" s="13" t="str">
        <f ca="1">IFERROR(__xludf.DUMMYFUNCTION("""COMPUTED_VALUE"""),"Аварийно отключена цепь управления ШАОТ")</f>
        <v>Аварийно отключена цепь управления ШАОТ</v>
      </c>
      <c r="D919" s="49"/>
      <c r="F919" s="49"/>
      <c r="H919" s="49"/>
    </row>
    <row r="920" spans="1:8" ht="15.75" customHeight="1" x14ac:dyDescent="0.25">
      <c r="A920" s="13" t="str">
        <f ca="1">IFERROR(__xludf.DUMMYFUNCTION("""COMPUTED_VALUE"""),"cooling_efficiency")</f>
        <v>cooling_efficiency</v>
      </c>
      <c r="B920" s="13" t="str">
        <f ca="1">IFERROR(__xludf.DUMMYFUNCTION("""COMPUTED_VALUE"""),"Эффективность охлаждения")</f>
        <v>Эффективность охлаждения</v>
      </c>
      <c r="D920" s="49"/>
      <c r="F920" s="49"/>
      <c r="H920" s="49"/>
    </row>
    <row r="921" spans="1:8" ht="15.75" customHeight="1" x14ac:dyDescent="0.25">
      <c r="A921" s="13" t="str">
        <f ca="1">IFERROR(__xludf.DUMMYFUNCTION("""COMPUTED_VALUE"""),"cooling_efficiency_lim0")</f>
        <v>cooling_efficiency_lim0</v>
      </c>
      <c r="B921" s="13" t="str">
        <f ca="1">IFERROR(__xludf.DUMMYFUNCTION("""COMPUTED_VALUE"""),"ДЗ эффективности охлаждения")</f>
        <v>ДЗ эффективности охлаждения</v>
      </c>
      <c r="D921" s="49"/>
      <c r="F921" s="49"/>
      <c r="H921" s="49"/>
    </row>
    <row r="922" spans="1:8" ht="15.75" customHeight="1" x14ac:dyDescent="0.25">
      <c r="A922" s="13" t="str">
        <f ca="1">IFERROR(__xludf.DUMMYFUNCTION("""COMPUTED_VALUE"""),"cooling_efficiency_lim1")</f>
        <v>cooling_efficiency_lim1</v>
      </c>
      <c r="B922" s="13" t="str">
        <f ca="1">IFERROR(__xludf.DUMMYFUNCTION("""COMPUTED_VALUE"""),"ПДЗ эффективности охлаждения")</f>
        <v>ПДЗ эффективности охлаждения</v>
      </c>
      <c r="D922" s="49"/>
      <c r="F922" s="49"/>
      <c r="H922" s="49"/>
    </row>
    <row r="923" spans="1:8" ht="15.75" customHeight="1" x14ac:dyDescent="0.25">
      <c r="A923" s="13" t="str">
        <f ca="1">IFERROR(__xludf.DUMMYFUNCTION("""COMPUTED_VALUE"""),"cooling_fan_1_on")</f>
        <v>cooling_fan_1_on</v>
      </c>
      <c r="B923" s="13" t="str">
        <f ca="1">IFERROR(__xludf.DUMMYFUNCTION("""COMPUTED_VALUE"""),"Вентилятор охладителя 1 включен")</f>
        <v>Вентилятор охладителя 1 включен</v>
      </c>
      <c r="D923" s="49"/>
      <c r="F923" s="49"/>
      <c r="H923" s="49"/>
    </row>
    <row r="924" spans="1:8" ht="15.75" customHeight="1" x14ac:dyDescent="0.25">
      <c r="A924" s="13" t="str">
        <f ca="1">IFERROR(__xludf.DUMMYFUNCTION("""COMPUTED_VALUE"""),"cooling_fan_2_on")</f>
        <v>cooling_fan_2_on</v>
      </c>
      <c r="B924" s="13" t="str">
        <f ca="1">IFERROR(__xludf.DUMMYFUNCTION("""COMPUTED_VALUE"""),"Вентилятор охладителя 2 включен")</f>
        <v>Вентилятор охладителя 2 включен</v>
      </c>
      <c r="D924" s="49"/>
      <c r="F924" s="49"/>
      <c r="H924" s="49"/>
    </row>
    <row r="925" spans="1:8" ht="15.75" customHeight="1" x14ac:dyDescent="0.25">
      <c r="A925" s="13" t="str">
        <f ca="1">IFERROR(__xludf.DUMMYFUNCTION("""COMPUTED_VALUE"""),"cooling_fan_3_on")</f>
        <v>cooling_fan_3_on</v>
      </c>
      <c r="B925" s="13" t="str">
        <f ca="1">IFERROR(__xludf.DUMMYFUNCTION("""COMPUTED_VALUE"""),"Вентилятор охладителя 3 включен")</f>
        <v>Вентилятор охладителя 3 включен</v>
      </c>
      <c r="D925" s="49"/>
      <c r="F925" s="49"/>
      <c r="H925" s="49"/>
    </row>
    <row r="926" spans="1:8" ht="15.75" customHeight="1" x14ac:dyDescent="0.25">
      <c r="A926" s="13" t="str">
        <f ca="1">IFERROR(__xludf.DUMMYFUNCTION("""COMPUTED_VALUE"""),"cooling_fan_4_on")</f>
        <v>cooling_fan_4_on</v>
      </c>
      <c r="B926" s="13" t="str">
        <f ca="1">IFERROR(__xludf.DUMMYFUNCTION("""COMPUTED_VALUE"""),"Вентилятор охладителя 4 включен")</f>
        <v>Вентилятор охладителя 4 включен</v>
      </c>
      <c r="D926" s="49"/>
      <c r="F926" s="49"/>
      <c r="H926" s="49"/>
    </row>
    <row r="927" spans="1:8" ht="15.75" customHeight="1" x14ac:dyDescent="0.25">
      <c r="A927" s="13" t="str">
        <f ca="1">IFERROR(__xludf.DUMMYFUNCTION("""COMPUTED_VALUE"""),"cooling_fan_hours_counter_1")</f>
        <v>cooling_fan_hours_counter_1</v>
      </c>
      <c r="B927" s="13" t="str">
        <f ca="1">IFERROR(__xludf.DUMMYFUNCTION("""COMPUTED_VALUE"""),"Число отработанных часов вентилятора охладителя 1")</f>
        <v>Число отработанных часов вентилятора охладителя 1</v>
      </c>
      <c r="D927" s="49"/>
      <c r="F927" s="49"/>
      <c r="H927" s="49"/>
    </row>
    <row r="928" spans="1:8" ht="15.75" customHeight="1" x14ac:dyDescent="0.25">
      <c r="A928" s="13" t="str">
        <f ca="1">IFERROR(__xludf.DUMMYFUNCTION("""COMPUTED_VALUE"""),"cooling_fan_hours_counter_2")</f>
        <v>cooling_fan_hours_counter_2</v>
      </c>
      <c r="B928" s="13" t="str">
        <f ca="1">IFERROR(__xludf.DUMMYFUNCTION("""COMPUTED_VALUE"""),"Число отработанных часов вентилятора охладителя 2")</f>
        <v>Число отработанных часов вентилятора охладителя 2</v>
      </c>
      <c r="D928" s="49"/>
      <c r="F928" s="49"/>
      <c r="H928" s="49"/>
    </row>
    <row r="929" spans="1:8" ht="15.75" customHeight="1" x14ac:dyDescent="0.25">
      <c r="A929" s="13" t="str">
        <f ca="1">IFERROR(__xludf.DUMMYFUNCTION("""COMPUTED_VALUE"""),"cooling_fan_hours_counter_3")</f>
        <v>cooling_fan_hours_counter_3</v>
      </c>
      <c r="B929" s="13" t="str">
        <f ca="1">IFERROR(__xludf.DUMMYFUNCTION("""COMPUTED_VALUE"""),"Число отработанных часов вентилятора охладителя 3")</f>
        <v>Число отработанных часов вентилятора охладителя 3</v>
      </c>
      <c r="D929" s="49"/>
      <c r="F929" s="49"/>
      <c r="H929" s="49"/>
    </row>
    <row r="930" spans="1:8" ht="15.75" customHeight="1" x14ac:dyDescent="0.25">
      <c r="A930" s="13" t="str">
        <f ca="1">IFERROR(__xludf.DUMMYFUNCTION("""COMPUTED_VALUE"""),"cooling_fan_hours_counter_4")</f>
        <v>cooling_fan_hours_counter_4</v>
      </c>
      <c r="B930" s="13" t="str">
        <f ca="1">IFERROR(__xludf.DUMMYFUNCTION("""COMPUTED_VALUE"""),"Число отработанных часов вентилятора охладителя 4")</f>
        <v>Число отработанных часов вентилятора охладителя 4</v>
      </c>
      <c r="D930" s="49"/>
      <c r="F930" s="49"/>
      <c r="H930" s="49"/>
    </row>
    <row r="931" spans="1:8" ht="15.75" customHeight="1" x14ac:dyDescent="0.25">
      <c r="A931" s="13" t="str">
        <f ca="1">IFERROR(__xludf.DUMMYFUNCTION("""COMPUTED_VALUE"""),"cooling_fan_starts_counter_1")</f>
        <v>cooling_fan_starts_counter_1</v>
      </c>
      <c r="B931" s="13" t="str">
        <f ca="1">IFERROR(__xludf.DUMMYFUNCTION("""COMPUTED_VALUE"""),"Число пусков вентилятора охладителя 1")</f>
        <v>Число пусков вентилятора охладителя 1</v>
      </c>
      <c r="D931" s="49"/>
      <c r="F931" s="49"/>
      <c r="H931" s="49"/>
    </row>
    <row r="932" spans="1:8" ht="15.75" customHeight="1" x14ac:dyDescent="0.25">
      <c r="A932" s="13" t="str">
        <f ca="1">IFERROR(__xludf.DUMMYFUNCTION("""COMPUTED_VALUE"""),"cooling_fan_starts_counter_2")</f>
        <v>cooling_fan_starts_counter_2</v>
      </c>
      <c r="B932" s="13" t="str">
        <f ca="1">IFERROR(__xludf.DUMMYFUNCTION("""COMPUTED_VALUE"""),"Число пусков вентилятора охладителя 2")</f>
        <v>Число пусков вентилятора охладителя 2</v>
      </c>
      <c r="D932" s="49"/>
      <c r="F932" s="49"/>
      <c r="H932" s="49"/>
    </row>
    <row r="933" spans="1:8" ht="15.75" customHeight="1" x14ac:dyDescent="0.25">
      <c r="A933" s="13" t="str">
        <f ca="1">IFERROR(__xludf.DUMMYFUNCTION("""COMPUTED_VALUE"""),"cooling_fan_starts_counter_3")</f>
        <v>cooling_fan_starts_counter_3</v>
      </c>
      <c r="B933" s="13" t="str">
        <f ca="1">IFERROR(__xludf.DUMMYFUNCTION("""COMPUTED_VALUE"""),"Число пусков вентилятора охладителя 3")</f>
        <v>Число пусков вентилятора охладителя 3</v>
      </c>
      <c r="D933" s="49"/>
      <c r="F933" s="49"/>
      <c r="H933" s="49"/>
    </row>
    <row r="934" spans="1:8" ht="15.75" customHeight="1" x14ac:dyDescent="0.25">
      <c r="A934" s="13" t="str">
        <f ca="1">IFERROR(__xludf.DUMMYFUNCTION("""COMPUTED_VALUE"""),"cooling_fan_starts_counter_4")</f>
        <v>cooling_fan_starts_counter_4</v>
      </c>
      <c r="B934" s="13" t="str">
        <f ca="1">IFERROR(__xludf.DUMMYFUNCTION("""COMPUTED_VALUE"""),"Число пусков вентилятора охладителя 4")</f>
        <v>Число пусков вентилятора охладителя 4</v>
      </c>
      <c r="D934" s="49"/>
      <c r="F934" s="49"/>
      <c r="H934" s="49"/>
    </row>
    <row r="935" spans="1:8" ht="15.75" customHeight="1" x14ac:dyDescent="0.25">
      <c r="A935" s="13" t="str">
        <f ca="1">IFERROR(__xludf.DUMMYFUNCTION("""COMPUTED_VALUE"""),"cooling_heatflow_1")</f>
        <v>cooling_heatflow_1</v>
      </c>
      <c r="B935" s="13" t="str">
        <f ca="1">IFERROR(__xludf.DUMMYFUNCTION("""COMPUTED_VALUE"""),"Тепловой поток охладителя 1")</f>
        <v>Тепловой поток охладителя 1</v>
      </c>
      <c r="D935" s="49"/>
      <c r="F935" s="49"/>
      <c r="H935" s="49"/>
    </row>
    <row r="936" spans="1:8" ht="15.75" customHeight="1" x14ac:dyDescent="0.25">
      <c r="A936" s="13" t="str">
        <f ca="1">IFERROR(__xludf.DUMMYFUNCTION("""COMPUTED_VALUE"""),"cooling_heatflow_2")</f>
        <v>cooling_heatflow_2</v>
      </c>
      <c r="B936" s="13" t="str">
        <f ca="1">IFERROR(__xludf.DUMMYFUNCTION("""COMPUTED_VALUE"""),"Тепловой поток охладителя 2")</f>
        <v>Тепловой поток охладителя 2</v>
      </c>
      <c r="D936" s="49"/>
      <c r="F936" s="49"/>
      <c r="H936" s="49"/>
    </row>
    <row r="937" spans="1:8" ht="15.75" customHeight="1" x14ac:dyDescent="0.25">
      <c r="A937" s="13" t="str">
        <f ca="1">IFERROR(__xludf.DUMMYFUNCTION("""COMPUTED_VALUE"""),"cooling_heatflow_3")</f>
        <v>cooling_heatflow_3</v>
      </c>
      <c r="B937" s="13" t="str">
        <f ca="1">IFERROR(__xludf.DUMMYFUNCTION("""COMPUTED_VALUE"""),"Тепловой поток охладителя 3")</f>
        <v>Тепловой поток охладителя 3</v>
      </c>
      <c r="D937" s="49"/>
      <c r="F937" s="49"/>
      <c r="H937" s="49"/>
    </row>
    <row r="938" spans="1:8" ht="15.75" customHeight="1" x14ac:dyDescent="0.25">
      <c r="A938" s="13" t="str">
        <f ca="1">IFERROR(__xludf.DUMMYFUNCTION("""COMPUTED_VALUE"""),"cooling_heatflow_4")</f>
        <v>cooling_heatflow_4</v>
      </c>
      <c r="B938" s="13" t="str">
        <f ca="1">IFERROR(__xludf.DUMMYFUNCTION("""COMPUTED_VALUE"""),"Тепловой поток охладителя 4")</f>
        <v>Тепловой поток охладителя 4</v>
      </c>
      <c r="D938" s="49"/>
      <c r="F938" s="49"/>
      <c r="H938" s="49"/>
    </row>
    <row r="939" spans="1:8" ht="15.75" customHeight="1" x14ac:dyDescent="0.25">
      <c r="A939" s="13" t="str">
        <f ca="1">IFERROR(__xludf.DUMMYFUNCTION("""COMPUTED_VALUE"""),"cooling_power_emergency_off")</f>
        <v>cooling_power_emergency_off</v>
      </c>
      <c r="B939" s="13" t="str">
        <f ca="1">IFERROR(__xludf.DUMMYFUNCTION("""COMPUTED_VALUE"""),"Аварийно отключен основной и резервный источники питания ШАОТ")</f>
        <v>Аварийно отключен основной и резервный источники питания ШАОТ</v>
      </c>
      <c r="D939" s="49"/>
      <c r="F939" s="49"/>
      <c r="H939" s="49"/>
    </row>
    <row r="940" spans="1:8" ht="15.75" customHeight="1" x14ac:dyDescent="0.25">
      <c r="A940" s="13" t="str">
        <f ca="1">IFERROR(__xludf.DUMMYFUNCTION("""COMPUTED_VALUE"""),"cooling_pump_1_off")</f>
        <v>cooling_pump_1_off</v>
      </c>
      <c r="B940" s="13" t="str">
        <f ca="1">IFERROR(__xludf.DUMMYFUNCTION("""COMPUTED_VALUE"""),"Маслонасос 1 отключен")</f>
        <v>Маслонасос 1 отключен</v>
      </c>
      <c r="D940" s="49"/>
      <c r="F940" s="49"/>
      <c r="H940" s="49"/>
    </row>
    <row r="941" spans="1:8" ht="15.75" customHeight="1" x14ac:dyDescent="0.25">
      <c r="A941" s="13" t="str">
        <f ca="1">IFERROR(__xludf.DUMMYFUNCTION("""COMPUTED_VALUE"""),"cooling_pump_1_on")</f>
        <v>cooling_pump_1_on</v>
      </c>
      <c r="B941" s="13" t="str">
        <f ca="1">IFERROR(__xludf.DUMMYFUNCTION("""COMPUTED_VALUE"""),"Маслонасос 1 включен")</f>
        <v>Маслонасос 1 включен</v>
      </c>
      <c r="D941" s="49"/>
      <c r="F941" s="49"/>
      <c r="H941" s="49"/>
    </row>
    <row r="942" spans="1:8" ht="15.75" customHeight="1" x14ac:dyDescent="0.25">
      <c r="A942" s="13" t="str">
        <f ca="1">IFERROR(__xludf.DUMMYFUNCTION("""COMPUTED_VALUE"""),"cooling_pump_2_off")</f>
        <v>cooling_pump_2_off</v>
      </c>
      <c r="B942" s="13" t="str">
        <f ca="1">IFERROR(__xludf.DUMMYFUNCTION("""COMPUTED_VALUE"""),"Маслонасос 2 отключен")</f>
        <v>Маслонасос 2 отключен</v>
      </c>
      <c r="D942" s="49"/>
      <c r="F942" s="49"/>
      <c r="H942" s="49"/>
    </row>
    <row r="943" spans="1:8" ht="15.75" customHeight="1" x14ac:dyDescent="0.25">
      <c r="A943" s="13" t="str">
        <f ca="1">IFERROR(__xludf.DUMMYFUNCTION("""COMPUTED_VALUE"""),"cooling_pump_2_on")</f>
        <v>cooling_pump_2_on</v>
      </c>
      <c r="B943" s="13" t="str">
        <f ca="1">IFERROR(__xludf.DUMMYFUNCTION("""COMPUTED_VALUE"""),"Маслонасос 2 включен")</f>
        <v>Маслонасос 2 включен</v>
      </c>
      <c r="D943" s="49"/>
      <c r="F943" s="49"/>
      <c r="H943" s="49"/>
    </row>
    <row r="944" spans="1:8" ht="15.75" customHeight="1" x14ac:dyDescent="0.25">
      <c r="A944" s="13" t="str">
        <f ca="1">IFERROR(__xludf.DUMMYFUNCTION("""COMPUTED_VALUE"""),"cooling_pump_3_off")</f>
        <v>cooling_pump_3_off</v>
      </c>
      <c r="B944" s="13" t="str">
        <f ca="1">IFERROR(__xludf.DUMMYFUNCTION("""COMPUTED_VALUE"""),"Маслонасос 3 отключен")</f>
        <v>Маслонасос 3 отключен</v>
      </c>
      <c r="D944" s="49"/>
      <c r="F944" s="49"/>
      <c r="H944" s="49"/>
    </row>
    <row r="945" spans="1:8" ht="15.75" customHeight="1" x14ac:dyDescent="0.25">
      <c r="A945" s="13" t="str">
        <f ca="1">IFERROR(__xludf.DUMMYFUNCTION("""COMPUTED_VALUE"""),"cooling_pump_3_on")</f>
        <v>cooling_pump_3_on</v>
      </c>
      <c r="B945" s="13" t="str">
        <f ca="1">IFERROR(__xludf.DUMMYFUNCTION("""COMPUTED_VALUE"""),"Маслонасос 3 включен")</f>
        <v>Маслонасос 3 включен</v>
      </c>
      <c r="D945" s="49"/>
      <c r="F945" s="49"/>
      <c r="H945" s="49"/>
    </row>
    <row r="946" spans="1:8" ht="15.75" customHeight="1" x14ac:dyDescent="0.25">
      <c r="A946" s="13" t="str">
        <f ca="1">IFERROR(__xludf.DUMMYFUNCTION("""COMPUTED_VALUE"""),"cooling_pump_4_off")</f>
        <v>cooling_pump_4_off</v>
      </c>
      <c r="B946" s="13" t="str">
        <f ca="1">IFERROR(__xludf.DUMMYFUNCTION("""COMPUTED_VALUE"""),"Маслонасос 4 отключен")</f>
        <v>Маслонасос 4 отключен</v>
      </c>
      <c r="D946" s="49"/>
      <c r="F946" s="49"/>
      <c r="H946" s="49"/>
    </row>
    <row r="947" spans="1:8" ht="15.75" customHeight="1" x14ac:dyDescent="0.25">
      <c r="A947" s="13" t="str">
        <f ca="1">IFERROR(__xludf.DUMMYFUNCTION("""COMPUTED_VALUE"""),"cooling_pump_4_on")</f>
        <v>cooling_pump_4_on</v>
      </c>
      <c r="B947" s="13" t="str">
        <f ca="1">IFERROR(__xludf.DUMMYFUNCTION("""COMPUTED_VALUE"""),"Маслонасос 4 включен")</f>
        <v>Маслонасос 4 включен</v>
      </c>
      <c r="D947" s="49"/>
      <c r="F947" s="49"/>
      <c r="H947" s="49"/>
    </row>
    <row r="948" spans="1:8" ht="15.75" customHeight="1" x14ac:dyDescent="0.25">
      <c r="A948" s="13" t="str">
        <f ca="1">IFERROR(__xludf.DUMMYFUNCTION("""COMPUTED_VALUE"""),"cooling_pump_hours_counter_1")</f>
        <v>cooling_pump_hours_counter_1</v>
      </c>
      <c r="B948" s="13" t="str">
        <f ca="1">IFERROR(__xludf.DUMMYFUNCTION("""COMPUTED_VALUE"""),"Число отработанных часов насоса охладителя 1")</f>
        <v>Число отработанных часов насоса охладителя 1</v>
      </c>
      <c r="D948" s="49"/>
      <c r="F948" s="49"/>
      <c r="H948" s="49"/>
    </row>
    <row r="949" spans="1:8" ht="15.75" customHeight="1" x14ac:dyDescent="0.25">
      <c r="A949" s="13" t="str">
        <f ca="1">IFERROR(__xludf.DUMMYFUNCTION("""COMPUTED_VALUE"""),"cooling_pump_hours_counter_2")</f>
        <v>cooling_pump_hours_counter_2</v>
      </c>
      <c r="B949" s="13" t="str">
        <f ca="1">IFERROR(__xludf.DUMMYFUNCTION("""COMPUTED_VALUE"""),"Число отработанных часов насоса охладителя 2")</f>
        <v>Число отработанных часов насоса охладителя 2</v>
      </c>
      <c r="D949" s="49"/>
      <c r="F949" s="49"/>
      <c r="H949" s="49"/>
    </row>
    <row r="950" spans="1:8" ht="15.75" customHeight="1" x14ac:dyDescent="0.25">
      <c r="A950" s="13" t="str">
        <f ca="1">IFERROR(__xludf.DUMMYFUNCTION("""COMPUTED_VALUE"""),"cooling_pump_hours_counter_3")</f>
        <v>cooling_pump_hours_counter_3</v>
      </c>
      <c r="B950" s="13" t="str">
        <f ca="1">IFERROR(__xludf.DUMMYFUNCTION("""COMPUTED_VALUE"""),"Число отработанных часов насоса охладителя 3")</f>
        <v>Число отработанных часов насоса охладителя 3</v>
      </c>
      <c r="D950" s="49"/>
      <c r="F950" s="49"/>
      <c r="H950" s="49"/>
    </row>
    <row r="951" spans="1:8" ht="15.75" customHeight="1" x14ac:dyDescent="0.25">
      <c r="A951" s="13" t="str">
        <f ca="1">IFERROR(__xludf.DUMMYFUNCTION("""COMPUTED_VALUE"""),"cooling_pump_hours_counter_4")</f>
        <v>cooling_pump_hours_counter_4</v>
      </c>
      <c r="B951" s="13" t="str">
        <f ca="1">IFERROR(__xludf.DUMMYFUNCTION("""COMPUTED_VALUE"""),"Число отработанных часов насоса охладителя 4")</f>
        <v>Число отработанных часов насоса охладителя 4</v>
      </c>
      <c r="D951" s="49"/>
      <c r="F951" s="49"/>
      <c r="H951" s="49"/>
    </row>
    <row r="952" spans="1:8" ht="15.75" customHeight="1" x14ac:dyDescent="0.25">
      <c r="A952" s="13" t="str">
        <f ca="1">IFERROR(__xludf.DUMMYFUNCTION("""COMPUTED_VALUE"""),"cooling_pump_standby_off")</f>
        <v>cooling_pump_standby_off</v>
      </c>
      <c r="B952" s="13" t="str">
        <f ca="1">IFERROR(__xludf.DUMMYFUNCTION("""COMPUTED_VALUE"""),"Резервный маслонасос отключен")</f>
        <v>Резервный маслонасос отключен</v>
      </c>
      <c r="D952" s="49"/>
      <c r="F952" s="49"/>
      <c r="H952" s="49"/>
    </row>
    <row r="953" spans="1:8" ht="15.75" customHeight="1" x14ac:dyDescent="0.25">
      <c r="A953" s="13" t="str">
        <f ca="1">IFERROR(__xludf.DUMMYFUNCTION("""COMPUTED_VALUE"""),"cooling_pump_standby_on")</f>
        <v>cooling_pump_standby_on</v>
      </c>
      <c r="B953" s="13" t="str">
        <f ca="1">IFERROR(__xludf.DUMMYFUNCTION("""COMPUTED_VALUE"""),"Резервный маслонасос включен")</f>
        <v>Резервный маслонасос включен</v>
      </c>
      <c r="D953" s="49"/>
      <c r="F953" s="49"/>
      <c r="H953" s="49"/>
    </row>
    <row r="954" spans="1:8" ht="15.75" customHeight="1" x14ac:dyDescent="0.25">
      <c r="A954" s="13" t="str">
        <f ca="1">IFERROR(__xludf.DUMMYFUNCTION("""COMPUTED_VALUE"""),"cooling_pump_start_and_normal_off")</f>
        <v>cooling_pump_start_and_normal_off</v>
      </c>
      <c r="B954" s="13" t="str">
        <f ca="1">IFERROR(__xludf.DUMMYFUNCTION("""COMPUTED_VALUE"""),"Отключен пусковой и все рабочие насосы маслоохладителей")</f>
        <v>Отключен пусковой и все рабочие насосы маслоохладителей</v>
      </c>
      <c r="D954" s="49"/>
      <c r="F954" s="49"/>
      <c r="H954" s="49"/>
    </row>
    <row r="955" spans="1:8" ht="15.75" customHeight="1" x14ac:dyDescent="0.25">
      <c r="A955" s="13" t="str">
        <f ca="1">IFERROR(__xludf.DUMMYFUNCTION("""COMPUTED_VALUE"""),"cooling_pump_start_off")</f>
        <v>cooling_pump_start_off</v>
      </c>
      <c r="B955" s="13" t="str">
        <f ca="1">IFERROR(__xludf.DUMMYFUNCTION("""COMPUTED_VALUE"""),"Пусковой маслонасос отключен")</f>
        <v>Пусковой маслонасос отключен</v>
      </c>
      <c r="D955" s="49"/>
      <c r="F955" s="49"/>
      <c r="H955" s="49"/>
    </row>
    <row r="956" spans="1:8" ht="15.75" customHeight="1" x14ac:dyDescent="0.25">
      <c r="A956" s="13" t="str">
        <f ca="1">IFERROR(__xludf.DUMMYFUNCTION("""COMPUTED_VALUE"""),"cooling_pump_start_off_failture")</f>
        <v>cooling_pump_start_off_failture</v>
      </c>
      <c r="B956" s="13" t="str">
        <f ca="1">IFERROR(__xludf.DUMMYFUNCTION("""COMPUTED_VALUE"""),"Не отключен пусковой насос при работающих рабочих насосах маслоохладителей")</f>
        <v>Не отключен пусковой насос при работающих рабочих насосах маслоохладителей</v>
      </c>
      <c r="D956" s="49"/>
      <c r="F956" s="49"/>
      <c r="H956" s="49"/>
    </row>
    <row r="957" spans="1:8" ht="15.75" customHeight="1" x14ac:dyDescent="0.25">
      <c r="A957" s="13" t="str">
        <f ca="1">IFERROR(__xludf.DUMMYFUNCTION("""COMPUTED_VALUE"""),"cooling_pump_start_on")</f>
        <v>cooling_pump_start_on</v>
      </c>
      <c r="B957" s="13" t="str">
        <f ca="1">IFERROR(__xludf.DUMMYFUNCTION("""COMPUTED_VALUE"""),"Пусковой маслонасос включен")</f>
        <v>Пусковой маслонасос включен</v>
      </c>
      <c r="D957" s="49"/>
      <c r="F957" s="49"/>
      <c r="H957" s="49"/>
    </row>
    <row r="958" spans="1:8" ht="15.75" customHeight="1" x14ac:dyDescent="0.25">
      <c r="A958" s="13" t="str">
        <f ca="1">IFERROR(__xludf.DUMMYFUNCTION("""COMPUTED_VALUE"""),"cooling_pump_starts_counter_1")</f>
        <v>cooling_pump_starts_counter_1</v>
      </c>
      <c r="B958" s="13" t="str">
        <f ca="1">IFERROR(__xludf.DUMMYFUNCTION("""COMPUTED_VALUE"""),"Число пусков маслонасоса охладителя 1")</f>
        <v>Число пусков маслонасоса охладителя 1</v>
      </c>
      <c r="D958" s="49"/>
      <c r="F958" s="49"/>
      <c r="H958" s="49"/>
    </row>
    <row r="959" spans="1:8" ht="15.75" customHeight="1" x14ac:dyDescent="0.25">
      <c r="A959" s="13" t="str">
        <f ca="1">IFERROR(__xludf.DUMMYFUNCTION("""COMPUTED_VALUE"""),"cooling_pump_starts_counter_2")</f>
        <v>cooling_pump_starts_counter_2</v>
      </c>
      <c r="B959" s="13" t="str">
        <f ca="1">IFERROR(__xludf.DUMMYFUNCTION("""COMPUTED_VALUE"""),"Число пусков маслонасоса охладителя 2")</f>
        <v>Число пусков маслонасоса охладителя 2</v>
      </c>
      <c r="D959" s="49"/>
      <c r="F959" s="49"/>
      <c r="H959" s="49"/>
    </row>
    <row r="960" spans="1:8" ht="15.75" customHeight="1" x14ac:dyDescent="0.25">
      <c r="A960" s="13" t="str">
        <f ca="1">IFERROR(__xludf.DUMMYFUNCTION("""COMPUTED_VALUE"""),"cooling_pump_starts_counter_3")</f>
        <v>cooling_pump_starts_counter_3</v>
      </c>
      <c r="B960" s="13" t="str">
        <f ca="1">IFERROR(__xludf.DUMMYFUNCTION("""COMPUTED_VALUE"""),"Число пусков маслонасоса охладителя 3")</f>
        <v>Число пусков маслонасоса охладителя 3</v>
      </c>
      <c r="D960" s="49"/>
      <c r="F960" s="49"/>
      <c r="H960" s="49"/>
    </row>
    <row r="961" spans="1:8" ht="15.75" customHeight="1" x14ac:dyDescent="0.25">
      <c r="A961" s="13" t="str">
        <f ca="1">IFERROR(__xludf.DUMMYFUNCTION("""COMPUTED_VALUE"""),"cooling_pump_starts_counter_4")</f>
        <v>cooling_pump_starts_counter_4</v>
      </c>
      <c r="B961" s="13" t="str">
        <f ca="1">IFERROR(__xludf.DUMMYFUNCTION("""COMPUTED_VALUE"""),"Число пусков маслонасоса охладителя 4")</f>
        <v>Число пусков маслонасоса охладителя 4</v>
      </c>
      <c r="D961" s="49"/>
      <c r="F961" s="49"/>
      <c r="H961" s="49"/>
    </row>
    <row r="962" spans="1:8" ht="15.75" customHeight="1" x14ac:dyDescent="0.25">
      <c r="A962" s="13" t="str">
        <f ca="1">IFERROR(__xludf.DUMMYFUNCTION("""COMPUTED_VALUE"""),"cooling_reserve_power_on")</f>
        <v>cooling_reserve_power_on</v>
      </c>
      <c r="B962" s="13" t="str">
        <f ca="1">IFERROR(__xludf.DUMMYFUNCTION("""COMPUTED_VALUE"""),"Включен резервный источник питания")</f>
        <v>Включен резервный источник питания</v>
      </c>
      <c r="D962" s="49"/>
      <c r="F962" s="49"/>
      <c r="H962" s="49"/>
    </row>
    <row r="963" spans="1:8" ht="15.75" customHeight="1" x14ac:dyDescent="0.25">
      <c r="A963" s="13" t="str">
        <f ca="1">IFERROR(__xludf.DUMMYFUNCTION("""COMPUTED_VALUE"""),"cooling_t_in_1")</f>
        <v>cooling_t_in_1</v>
      </c>
      <c r="B963" s="13" t="str">
        <f ca="1">IFERROR(__xludf.DUMMYFUNCTION("""COMPUTED_VALUE"""),"Температура на входе охладителя 1")</f>
        <v>Температура на входе охладителя 1</v>
      </c>
      <c r="D963" s="49"/>
      <c r="F963" s="49"/>
      <c r="H963" s="49"/>
    </row>
    <row r="964" spans="1:8" ht="15.75" customHeight="1" x14ac:dyDescent="0.25">
      <c r="A964" s="13" t="str">
        <f ca="1">IFERROR(__xludf.DUMMYFUNCTION("""COMPUTED_VALUE"""),"cooling_t_in_2")</f>
        <v>cooling_t_in_2</v>
      </c>
      <c r="B964" s="13" t="str">
        <f ca="1">IFERROR(__xludf.DUMMYFUNCTION("""COMPUTED_VALUE"""),"Температура на входе охладителя 2")</f>
        <v>Температура на входе охладителя 2</v>
      </c>
      <c r="D964" s="49"/>
      <c r="F964" s="49"/>
      <c r="H964" s="49"/>
    </row>
    <row r="965" spans="1:8" ht="15.75" customHeight="1" x14ac:dyDescent="0.25">
      <c r="A965" s="13" t="str">
        <f ca="1">IFERROR(__xludf.DUMMYFUNCTION("""COMPUTED_VALUE"""),"cooling_t_in_3")</f>
        <v>cooling_t_in_3</v>
      </c>
      <c r="B965" s="13" t="str">
        <f ca="1">IFERROR(__xludf.DUMMYFUNCTION("""COMPUTED_VALUE"""),"Температура на входе охладителя 3")</f>
        <v>Температура на входе охладителя 3</v>
      </c>
      <c r="D965" s="49"/>
      <c r="F965" s="49"/>
      <c r="H965" s="49"/>
    </row>
    <row r="966" spans="1:8" ht="15.75" customHeight="1" x14ac:dyDescent="0.25">
      <c r="A966" s="13" t="str">
        <f ca="1">IFERROR(__xludf.DUMMYFUNCTION("""COMPUTED_VALUE"""),"cooling_t_in_4")</f>
        <v>cooling_t_in_4</v>
      </c>
      <c r="B966" s="13" t="str">
        <f ca="1">IFERROR(__xludf.DUMMYFUNCTION("""COMPUTED_VALUE"""),"Температура на входе охладителя 4")</f>
        <v>Температура на входе охладителя 4</v>
      </c>
      <c r="D966" s="49"/>
      <c r="F966" s="49"/>
      <c r="H966" s="49"/>
    </row>
    <row r="967" spans="1:8" ht="15.75" customHeight="1" x14ac:dyDescent="0.25">
      <c r="A967" s="13" t="str">
        <f ca="1">IFERROR(__xludf.DUMMYFUNCTION("""COMPUTED_VALUE"""),"cooling_t_out_1")</f>
        <v>cooling_t_out_1</v>
      </c>
      <c r="B967" s="13" t="str">
        <f ca="1">IFERROR(__xludf.DUMMYFUNCTION("""COMPUTED_VALUE"""),"Температура на выходе охладителя 1")</f>
        <v>Температура на выходе охладителя 1</v>
      </c>
      <c r="D967" s="49"/>
      <c r="F967" s="49"/>
      <c r="H967" s="49"/>
    </row>
    <row r="968" spans="1:8" ht="15.75" customHeight="1" x14ac:dyDescent="0.25">
      <c r="A968" s="13" t="str">
        <f ca="1">IFERROR(__xludf.DUMMYFUNCTION("""COMPUTED_VALUE"""),"cooling_t_out_2")</f>
        <v>cooling_t_out_2</v>
      </c>
      <c r="B968" s="13" t="str">
        <f ca="1">IFERROR(__xludf.DUMMYFUNCTION("""COMPUTED_VALUE"""),"Температура на выходе охладителя 2")</f>
        <v>Температура на выходе охладителя 2</v>
      </c>
      <c r="D968" s="49"/>
      <c r="F968" s="49"/>
      <c r="H968" s="49"/>
    </row>
    <row r="969" spans="1:8" ht="15.75" customHeight="1" x14ac:dyDescent="0.25">
      <c r="A969" s="13" t="str">
        <f ca="1">IFERROR(__xludf.DUMMYFUNCTION("""COMPUTED_VALUE"""),"cooling_t_out_3")</f>
        <v>cooling_t_out_3</v>
      </c>
      <c r="B969" s="13" t="str">
        <f ca="1">IFERROR(__xludf.DUMMYFUNCTION("""COMPUTED_VALUE"""),"Температура на выходе охладителя 3")</f>
        <v>Температура на выходе охладителя 3</v>
      </c>
      <c r="D969" s="49"/>
      <c r="F969" s="49"/>
      <c r="H969" s="49"/>
    </row>
    <row r="970" spans="1:8" ht="15.75" customHeight="1" x14ac:dyDescent="0.25">
      <c r="A970" s="13" t="str">
        <f ca="1">IFERROR(__xludf.DUMMYFUNCTION("""COMPUTED_VALUE"""),"cooling_t_out_4")</f>
        <v>cooling_t_out_4</v>
      </c>
      <c r="B970" s="13" t="str">
        <f ca="1">IFERROR(__xludf.DUMMYFUNCTION("""COMPUTED_VALUE"""),"Температура на выходе охладителя 4")</f>
        <v>Температура на выходе охладителя 4</v>
      </c>
      <c r="D970" s="49"/>
      <c r="F970" s="49"/>
      <c r="H970" s="49"/>
    </row>
    <row r="971" spans="1:8" ht="15.75" customHeight="1" x14ac:dyDescent="0.25">
      <c r="A971" s="13" t="str">
        <f ca="1">IFERROR(__xludf.DUMMYFUNCTION("""COMPUTED_VALUE"""),"cos_phi_pa_hv")</f>
        <v>cos_phi_pa_hv</v>
      </c>
      <c r="B971" s="13" t="str">
        <f ca="1">IFERROR(__xludf.DUMMYFUNCTION("""COMPUTED_VALUE"""),"cosφ ВН: Фаза A")</f>
        <v>cosφ ВН: Фаза A</v>
      </c>
      <c r="D971" s="49"/>
      <c r="F971" s="49"/>
      <c r="H971" s="49"/>
    </row>
    <row r="972" spans="1:8" ht="15.75" customHeight="1" x14ac:dyDescent="0.25">
      <c r="A972" s="13" t="str">
        <f ca="1">IFERROR(__xludf.DUMMYFUNCTION("""COMPUTED_VALUE"""),"cos_phi_pb_hv")</f>
        <v>cos_phi_pb_hv</v>
      </c>
      <c r="B972" s="13" t="str">
        <f ca="1">IFERROR(__xludf.DUMMYFUNCTION("""COMPUTED_VALUE"""),"cosφ ВН: Фаза B")</f>
        <v>cosφ ВН: Фаза B</v>
      </c>
      <c r="D972" s="49"/>
      <c r="F972" s="49"/>
      <c r="H972" s="49"/>
    </row>
    <row r="973" spans="1:8" ht="15.75" customHeight="1" x14ac:dyDescent="0.25">
      <c r="A973" s="13" t="str">
        <f ca="1">IFERROR(__xludf.DUMMYFUNCTION("""COMPUTED_VALUE"""),"cos_phi_pc_hv")</f>
        <v>cos_phi_pc_hv</v>
      </c>
      <c r="B973" s="13" t="str">
        <f ca="1">IFERROR(__xludf.DUMMYFUNCTION("""COMPUTED_VALUE"""),"cosφ ВН: Фаза C")</f>
        <v>cosφ ВН: Фаза C</v>
      </c>
      <c r="D973" s="49"/>
      <c r="F973" s="49"/>
      <c r="H973" s="49"/>
    </row>
    <row r="974" spans="1:8" ht="15.75" customHeight="1" x14ac:dyDescent="0.25">
      <c r="A974" s="13" t="str">
        <f ca="1">IFERROR(__xludf.DUMMYFUNCTION("""COMPUTED_VALUE"""),"counter_overvoltage_1025")</f>
        <v>counter_overvoltage_1025</v>
      </c>
      <c r="B974" s="13" t="str">
        <f ca="1">IFERROR(__xludf.DUMMYFUNCTION("""COMPUTED_VALUE"""),"Счётчик перенапряжений кратностью 1,025")</f>
        <v>Счётчик перенапряжений кратностью 1,025</v>
      </c>
      <c r="D974" s="49"/>
      <c r="F974" s="49"/>
      <c r="H974" s="49"/>
    </row>
    <row r="975" spans="1:8" ht="15.75" customHeight="1" x14ac:dyDescent="0.25">
      <c r="A975" s="13" t="str">
        <f ca="1">IFERROR(__xludf.DUMMYFUNCTION("""COMPUTED_VALUE"""),"counter_overvoltage_105")</f>
        <v>counter_overvoltage_105</v>
      </c>
      <c r="B975" s="13" t="str">
        <f ca="1">IFERROR(__xludf.DUMMYFUNCTION("""COMPUTED_VALUE"""),"Счётчик перенапряжений кратностью 1,05")</f>
        <v>Счётчик перенапряжений кратностью 1,05</v>
      </c>
      <c r="D975" s="49"/>
      <c r="F975" s="49"/>
      <c r="H975" s="49"/>
    </row>
    <row r="976" spans="1:8" ht="15.75" customHeight="1" x14ac:dyDescent="0.25">
      <c r="A976" s="13" t="str">
        <f ca="1">IFERROR(__xludf.DUMMYFUNCTION("""COMPUTED_VALUE"""),"counter_overvoltage_1075")</f>
        <v>counter_overvoltage_1075</v>
      </c>
      <c r="B976" s="13" t="str">
        <f ca="1">IFERROR(__xludf.DUMMYFUNCTION("""COMPUTED_VALUE"""),"Счётчик перенапряжений кратностью 1,075")</f>
        <v>Счётчик перенапряжений кратностью 1,075</v>
      </c>
      <c r="D976" s="49"/>
      <c r="F976" s="49"/>
      <c r="H976" s="49"/>
    </row>
    <row r="977" spans="1:8" ht="15.75" customHeight="1" x14ac:dyDescent="0.25">
      <c r="A977" s="13" t="str">
        <f ca="1">IFERROR(__xludf.DUMMYFUNCTION("""COMPUTED_VALUE"""),"counter_overvoltage_110")</f>
        <v>counter_overvoltage_110</v>
      </c>
      <c r="B977" s="13" t="str">
        <f ca="1">IFERROR(__xludf.DUMMYFUNCTION("""COMPUTED_VALUE"""),"Счётчик перенапряжений кратностью 1,10")</f>
        <v>Счётчик перенапряжений кратностью 1,10</v>
      </c>
      <c r="D977" s="49"/>
      <c r="F977" s="49"/>
      <c r="H977" s="49"/>
    </row>
    <row r="978" spans="1:8" ht="15.75" customHeight="1" x14ac:dyDescent="0.25">
      <c r="A978" s="13" t="str">
        <f ca="1">IFERROR(__xludf.DUMMYFUNCTION("""COMPUTED_VALUE"""),"counter_overvoltage_110_year")</f>
        <v>counter_overvoltage_110_year</v>
      </c>
      <c r="B978" s="13" t="str">
        <f ca="1">IFERROR(__xludf.DUMMYFUNCTION("""COMPUTED_VALUE"""),"Число перенапряжений кратностью 1,10: за год")</f>
        <v>Число перенапряжений кратностью 1,10: за год</v>
      </c>
      <c r="D978" s="49"/>
      <c r="F978" s="49"/>
      <c r="H978" s="49"/>
    </row>
    <row r="979" spans="1:8" ht="15.75" customHeight="1" x14ac:dyDescent="0.25">
      <c r="A979" s="13" t="str">
        <f ca="1">IFERROR(__xludf.DUMMYFUNCTION("""COMPUTED_VALUE"""),"counter_overvoltage_115")</f>
        <v>counter_overvoltage_115</v>
      </c>
      <c r="B979" s="13" t="str">
        <f ca="1">IFERROR(__xludf.DUMMYFUNCTION("""COMPUTED_VALUE"""),"Счётчик перенапряжений кратностью 1,15")</f>
        <v>Счётчик перенапряжений кратностью 1,15</v>
      </c>
      <c r="D979" s="49"/>
      <c r="F979" s="49"/>
      <c r="H979" s="49"/>
    </row>
    <row r="980" spans="1:8" ht="15.75" customHeight="1" x14ac:dyDescent="0.25">
      <c r="A980" s="13" t="str">
        <f ca="1">IFERROR(__xludf.DUMMYFUNCTION("""COMPUTED_VALUE"""),"counter_overvoltage_120")</f>
        <v>counter_overvoltage_120</v>
      </c>
      <c r="B980" s="13" t="str">
        <f ca="1">IFERROR(__xludf.DUMMYFUNCTION("""COMPUTED_VALUE"""),"Счётчик перенапряжений кратностью 1,20")</f>
        <v>Счётчик перенапряжений кратностью 1,20</v>
      </c>
      <c r="D980" s="49"/>
      <c r="F980" s="49"/>
      <c r="H980" s="49"/>
    </row>
    <row r="981" spans="1:8" ht="15.75" customHeight="1" x14ac:dyDescent="0.25">
      <c r="A981" s="13" t="str">
        <f ca="1">IFERROR(__xludf.DUMMYFUNCTION("""COMPUTED_VALUE"""),"counter_overvoltage_125")</f>
        <v>counter_overvoltage_125</v>
      </c>
      <c r="B981" s="13" t="str">
        <f ca="1">IFERROR(__xludf.DUMMYFUNCTION("""COMPUTED_VALUE"""),"Счётчик перенапряжений кратностью 1,25")</f>
        <v>Счётчик перенапряжений кратностью 1,25</v>
      </c>
      <c r="D981" s="49"/>
      <c r="F981" s="49"/>
      <c r="H981" s="49"/>
    </row>
    <row r="982" spans="1:8" ht="15.75" customHeight="1" x14ac:dyDescent="0.25">
      <c r="A982" s="13" t="str">
        <f ca="1">IFERROR(__xludf.DUMMYFUNCTION("""COMPUTED_VALUE"""),"counter_overvoltage_125_day")</f>
        <v>counter_overvoltage_125_day</v>
      </c>
      <c r="B982" s="13" t="str">
        <f ca="1">IFERROR(__xludf.DUMMYFUNCTION("""COMPUTED_VALUE"""),"Число перенапряжений кратностью 1,25: за сутки")</f>
        <v>Число перенапряжений кратностью 1,25: за сутки</v>
      </c>
      <c r="D982" s="49"/>
      <c r="F982" s="49"/>
      <c r="H982" s="49"/>
    </row>
    <row r="983" spans="1:8" ht="15.75" customHeight="1" x14ac:dyDescent="0.25">
      <c r="A983" s="13" t="str">
        <f ca="1">IFERROR(__xludf.DUMMYFUNCTION("""COMPUTED_VALUE"""),"counter_overvoltage_125_total")</f>
        <v>counter_overvoltage_125_total</v>
      </c>
      <c r="B983" s="13" t="str">
        <f ca="1">IFERROR(__xludf.DUMMYFUNCTION("""COMPUTED_VALUE"""),"Число перенапряжений кратностью 1,25: всего")</f>
        <v>Число перенапряжений кратностью 1,25: всего</v>
      </c>
      <c r="D983" s="49"/>
      <c r="F983" s="49"/>
      <c r="H983" s="49"/>
    </row>
    <row r="984" spans="1:8" ht="15.75" customHeight="1" x14ac:dyDescent="0.25">
      <c r="A984" s="13" t="str">
        <f ca="1">IFERROR(__xludf.DUMMYFUNCTION("""COMPUTED_VALUE"""),"counter_overvoltage_125_year")</f>
        <v>counter_overvoltage_125_year</v>
      </c>
      <c r="B984" s="13" t="str">
        <f ca="1">IFERROR(__xludf.DUMMYFUNCTION("""COMPUTED_VALUE"""),"Число перенапряжений кратностью 1,25: за год")</f>
        <v>Число перенапряжений кратностью 1,25: за год</v>
      </c>
      <c r="D984" s="49"/>
      <c r="F984" s="49"/>
      <c r="H984" s="49"/>
    </row>
    <row r="985" spans="1:8" ht="15.75" customHeight="1" x14ac:dyDescent="0.25">
      <c r="A985" s="13" t="str">
        <f ca="1">IFERROR(__xludf.DUMMYFUNCTION("""COMPUTED_VALUE"""),"counter_overvoltage_190")</f>
        <v>counter_overvoltage_190</v>
      </c>
      <c r="B985" s="13" t="str">
        <f ca="1">IFERROR(__xludf.DUMMYFUNCTION("""COMPUTED_VALUE"""),"Счётчик перенапряжений кратностью 1,90 (ф-з)")</f>
        <v>Счётчик перенапряжений кратностью 1,90 (ф-з)</v>
      </c>
      <c r="D985" s="49"/>
      <c r="F985" s="49"/>
      <c r="H985" s="49"/>
    </row>
    <row r="986" spans="1:8" ht="15.75" customHeight="1" x14ac:dyDescent="0.25">
      <c r="A986" s="13" t="str">
        <f ca="1">IFERROR(__xludf.DUMMYFUNCTION("""COMPUTED_VALUE"""),"counter_overvoltage_200")</f>
        <v>counter_overvoltage_200</v>
      </c>
      <c r="B986" s="13" t="str">
        <f ca="1">IFERROR(__xludf.DUMMYFUNCTION("""COMPUTED_VALUE"""),"Счётчик перенапряжений кратностью 2,00 (ф-з)")</f>
        <v>Счётчик перенапряжений кратностью 2,00 (ф-з)</v>
      </c>
      <c r="D986" s="49"/>
      <c r="F986" s="49"/>
      <c r="H986" s="49"/>
    </row>
    <row r="987" spans="1:8" ht="15.75" customHeight="1" x14ac:dyDescent="0.25">
      <c r="A987" s="13" t="str">
        <f ca="1">IFERROR(__xludf.DUMMYFUNCTION("""COMPUTED_VALUE"""),"counter_overvoltage_excessive_duration_1025")</f>
        <v>counter_overvoltage_excessive_duration_1025</v>
      </c>
      <c r="B987" s="13" t="str">
        <f ca="1">IFERROR(__xludf.DUMMYFUNCTION("""COMPUTED_VALUE"""),"Счётчик недопустимых по длительности перенапряжений кратностью 1,025")</f>
        <v>Счётчик недопустимых по длительности перенапряжений кратностью 1,025</v>
      </c>
      <c r="D987" s="49"/>
      <c r="F987" s="49"/>
      <c r="H987" s="49"/>
    </row>
    <row r="988" spans="1:8" ht="15.75" customHeight="1" x14ac:dyDescent="0.25">
      <c r="A988" s="13" t="str">
        <f ca="1">IFERROR(__xludf.DUMMYFUNCTION("""COMPUTED_VALUE"""),"counter_overvoltage_excessive_duration_105")</f>
        <v>counter_overvoltage_excessive_duration_105</v>
      </c>
      <c r="B988" s="13" t="str">
        <f ca="1">IFERROR(__xludf.DUMMYFUNCTION("""COMPUTED_VALUE"""),"Счётчик недопустимых по длительности перенапряжений кратностью 1,05")</f>
        <v>Счётчик недопустимых по длительности перенапряжений кратностью 1,05</v>
      </c>
      <c r="D988" s="49"/>
      <c r="F988" s="49"/>
      <c r="H988" s="49"/>
    </row>
    <row r="989" spans="1:8" ht="15.75" customHeight="1" x14ac:dyDescent="0.25">
      <c r="A989" s="13" t="str">
        <f ca="1">IFERROR(__xludf.DUMMYFUNCTION("""COMPUTED_VALUE"""),"counter_overvoltage_excessive_duration_1075")</f>
        <v>counter_overvoltage_excessive_duration_1075</v>
      </c>
      <c r="B989" s="13" t="str">
        <f ca="1">IFERROR(__xludf.DUMMYFUNCTION("""COMPUTED_VALUE"""),"Счётчик недопустимых по длительности перенапряжений кратностью 1,075")</f>
        <v>Счётчик недопустимых по длительности перенапряжений кратностью 1,075</v>
      </c>
      <c r="D989" s="49"/>
      <c r="F989" s="49"/>
      <c r="H989" s="49"/>
    </row>
    <row r="990" spans="1:8" ht="15.75" customHeight="1" x14ac:dyDescent="0.25">
      <c r="A990" s="13" t="str">
        <f ca="1">IFERROR(__xludf.DUMMYFUNCTION("""COMPUTED_VALUE"""),"counter_overvoltage_excessive_duration_110")</f>
        <v>counter_overvoltage_excessive_duration_110</v>
      </c>
      <c r="B990" s="13" t="str">
        <f ca="1">IFERROR(__xludf.DUMMYFUNCTION("""COMPUTED_VALUE"""),"Число недопустимых по длительности перенапряжений кратностью 1,10: всего")</f>
        <v>Число недопустимых по длительности перенапряжений кратностью 1,10: всего</v>
      </c>
      <c r="D990" s="49"/>
      <c r="F990" s="49"/>
      <c r="H990" s="49"/>
    </row>
    <row r="991" spans="1:8" ht="15.75" customHeight="1" x14ac:dyDescent="0.25">
      <c r="A991" s="13" t="str">
        <f ca="1">IFERROR(__xludf.DUMMYFUNCTION("""COMPUTED_VALUE"""),"counter_overvoltage_excessive_duration_110_year")</f>
        <v>counter_overvoltage_excessive_duration_110_year</v>
      </c>
      <c r="B991" s="13" t="str">
        <f ca="1">IFERROR(__xludf.DUMMYFUNCTION("""COMPUTED_VALUE"""),"Число недопустимых по длительности перенапряжений кратностью 1,10: за год")</f>
        <v>Число недопустимых по длительности перенапряжений кратностью 1,10: за год</v>
      </c>
      <c r="D991" s="49"/>
      <c r="F991" s="49"/>
      <c r="H991" s="49"/>
    </row>
    <row r="992" spans="1:8" ht="15.75" customHeight="1" x14ac:dyDescent="0.25">
      <c r="A992" s="13" t="str">
        <f ca="1">IFERROR(__xludf.DUMMYFUNCTION("""COMPUTED_VALUE"""),"counter_overvoltage_excessive_duration_115")</f>
        <v>counter_overvoltage_excessive_duration_115</v>
      </c>
      <c r="B992" s="13" t="str">
        <f ca="1">IFERROR(__xludf.DUMMYFUNCTION("""COMPUTED_VALUE"""),"Счётчик недопустимых по длительности перенапряжений кратностью 1,15")</f>
        <v>Счётчик недопустимых по длительности перенапряжений кратностью 1,15</v>
      </c>
      <c r="D992" s="49"/>
      <c r="F992" s="49"/>
      <c r="H992" s="49"/>
    </row>
    <row r="993" spans="1:8" ht="15.75" customHeight="1" x14ac:dyDescent="0.25">
      <c r="A993" s="13" t="str">
        <f ca="1">IFERROR(__xludf.DUMMYFUNCTION("""COMPUTED_VALUE"""),"counter_overvoltage_excessive_duration_120")</f>
        <v>counter_overvoltage_excessive_duration_120</v>
      </c>
      <c r="B993" s="13" t="str">
        <f ca="1">IFERROR(__xludf.DUMMYFUNCTION("""COMPUTED_VALUE"""),"Счётчик недопустимых по длительности перенапряжений кратностью 1,20")</f>
        <v>Счётчик недопустимых по длительности перенапряжений кратностью 1,20</v>
      </c>
      <c r="D993" s="49"/>
      <c r="F993" s="49"/>
      <c r="H993" s="49"/>
    </row>
    <row r="994" spans="1:8" ht="15.75" customHeight="1" x14ac:dyDescent="0.25">
      <c r="A994" s="13" t="str">
        <f ca="1">IFERROR(__xludf.DUMMYFUNCTION("""COMPUTED_VALUE"""),"counter_overvoltage_excessive_duration_125")</f>
        <v>counter_overvoltage_excessive_duration_125</v>
      </c>
      <c r="B994" s="13" t="str">
        <f ca="1">IFERROR(__xludf.DUMMYFUNCTION("""COMPUTED_VALUE"""),"Счётчик недопустимых по длительности перенапряжений кратностью 1,25")</f>
        <v>Счётчик недопустимых по длительности перенапряжений кратностью 1,25</v>
      </c>
      <c r="D994" s="49"/>
      <c r="F994" s="49"/>
      <c r="H994" s="49"/>
    </row>
    <row r="995" spans="1:8" ht="15.75" customHeight="1" x14ac:dyDescent="0.25">
      <c r="A995" s="13" t="str">
        <f ca="1">IFERROR(__xludf.DUMMYFUNCTION("""COMPUTED_VALUE"""),"counter_overvoltage_excessive_duration_125_day")</f>
        <v>counter_overvoltage_excessive_duration_125_day</v>
      </c>
      <c r="B995" s="13" t="str">
        <f ca="1">IFERROR(__xludf.DUMMYFUNCTION("""COMPUTED_VALUE"""),"Число недопустимых по длительности перенапряжений кратностью 1,25: за сутки")</f>
        <v>Число недопустимых по длительности перенапряжений кратностью 1,25: за сутки</v>
      </c>
      <c r="D995" s="49"/>
      <c r="F995" s="49"/>
      <c r="H995" s="49"/>
    </row>
    <row r="996" spans="1:8" ht="15.75" customHeight="1" x14ac:dyDescent="0.25">
      <c r="A996" s="13" t="str">
        <f ca="1">IFERROR(__xludf.DUMMYFUNCTION("""COMPUTED_VALUE"""),"counter_overvoltage_excessive_duration_125_total")</f>
        <v>counter_overvoltage_excessive_duration_125_total</v>
      </c>
      <c r="B996" s="13" t="str">
        <f ca="1">IFERROR(__xludf.DUMMYFUNCTION("""COMPUTED_VALUE"""),"Число недопустимых по длительности перенапряжений кратностью 1,25: всего")</f>
        <v>Число недопустимых по длительности перенапряжений кратностью 1,25: всего</v>
      </c>
      <c r="D996" s="49"/>
      <c r="H996" s="49"/>
    </row>
    <row r="997" spans="1:8" ht="15.75" customHeight="1" x14ac:dyDescent="0.25">
      <c r="A997" s="13" t="str">
        <f ca="1">IFERROR(__xludf.DUMMYFUNCTION("""COMPUTED_VALUE"""),"counter_overvoltage_excessive_duration_125_year")</f>
        <v>counter_overvoltage_excessive_duration_125_year</v>
      </c>
      <c r="B997" s="13" t="str">
        <f ca="1">IFERROR(__xludf.DUMMYFUNCTION("""COMPUTED_VALUE"""),"Число недопустимых по длительности перенапряжений кратностью 1,25: за год")</f>
        <v>Число недопустимых по длительности перенапряжений кратностью 1,25: за год</v>
      </c>
      <c r="D997" s="49"/>
      <c r="H997" s="49"/>
    </row>
    <row r="998" spans="1:8" ht="15.75" customHeight="1" x14ac:dyDescent="0.25">
      <c r="A998" s="13" t="str">
        <f ca="1">IFERROR(__xludf.DUMMYFUNCTION("""COMPUTED_VALUE"""),"counter_overvoltage_excessive_duration_190")</f>
        <v>counter_overvoltage_excessive_duration_190</v>
      </c>
      <c r="B998" s="13" t="str">
        <f ca="1">IFERROR(__xludf.DUMMYFUNCTION("""COMPUTED_VALUE"""),"Счётчик недопустимых по длительности перенапряжений кратностью 1,90 (ф-з)")</f>
        <v>Счётчик недопустимых по длительности перенапряжений кратностью 1,90 (ф-з)</v>
      </c>
      <c r="D998" s="49"/>
      <c r="H998" s="49"/>
    </row>
    <row r="999" spans="1:8" ht="15.75" customHeight="1" x14ac:dyDescent="0.25">
      <c r="A999" s="13" t="str">
        <f ca="1">IFERROR(__xludf.DUMMYFUNCTION("""COMPUTED_VALUE"""),"counter_overvoltage_excessive_duration_200")</f>
        <v>counter_overvoltage_excessive_duration_200</v>
      </c>
      <c r="B999" s="13" t="str">
        <f ca="1">IFERROR(__xludf.DUMMYFUNCTION("""COMPUTED_VALUE"""),"Счётчик недопустимых по длительности перенапряжений кратностью 2,00 (ф-з)")</f>
        <v>Счётчик недопустимых по длительности перенапряжений кратностью 2,00 (ф-з)</v>
      </c>
      <c r="D999" s="49"/>
      <c r="H999" s="49"/>
    </row>
    <row r="1000" spans="1:8" ht="15.75" customHeight="1" x14ac:dyDescent="0.25">
      <c r="A1000" s="13" t="str">
        <f ca="1">IFERROR(__xludf.DUMMYFUNCTION("""COMPUTED_VALUE"""),"counter_overvoltage_excessive_pause")</f>
        <v>counter_overvoltage_excessive_pause</v>
      </c>
      <c r="B1000" s="13" t="str">
        <f ca="1">IFERROR(__xludf.DUMMYFUNCTION("""COMPUTED_VALUE"""),"Счётчик недопустимых по паузе перенапряжений")</f>
        <v>Счётчик недопустимых по паузе перенапряжений</v>
      </c>
      <c r="D1000" s="49"/>
      <c r="H1000" s="49"/>
    </row>
    <row r="1001" spans="1:8" ht="15.75" customHeight="1" x14ac:dyDescent="0.25">
      <c r="A1001" s="13" t="str">
        <f ca="1">IFERROR(__xludf.DUMMYFUNCTION("""COMPUTED_VALUE"""),"counter_overvoltage_excessive_pause_day")</f>
        <v>counter_overvoltage_excessive_pause_day</v>
      </c>
      <c r="B1001" s="13" t="str">
        <f ca="1">IFERROR(__xludf.DUMMYFUNCTION("""COMPUTED_VALUE"""),"Число недопустимых по паузе перенапряжений: за сутки")</f>
        <v>Число недопустимых по паузе перенапряжений: за сутки</v>
      </c>
    </row>
    <row r="1002" spans="1:8" ht="15.75" customHeight="1" x14ac:dyDescent="0.25">
      <c r="A1002" s="13" t="str">
        <f ca="1">IFERROR(__xludf.DUMMYFUNCTION("""COMPUTED_VALUE"""),"counter_overvoltage_excessive_pause_total")</f>
        <v>counter_overvoltage_excessive_pause_total</v>
      </c>
      <c r="B1002" s="13" t="str">
        <f ca="1">IFERROR(__xludf.DUMMYFUNCTION("""COMPUTED_VALUE"""),"Число недопустимых по паузе перенапряжений: всего")</f>
        <v>Число недопустимых по паузе перенапряжений: всего</v>
      </c>
    </row>
    <row r="1003" spans="1:8" ht="15.75" customHeight="1" x14ac:dyDescent="0.25">
      <c r="A1003" s="13" t="str">
        <f ca="1">IFERROR(__xludf.DUMMYFUNCTION("""COMPUTED_VALUE"""),"counter_overvoltage_excessive_pause_year")</f>
        <v>counter_overvoltage_excessive_pause_year</v>
      </c>
      <c r="B1003" s="13" t="str">
        <f ca="1">IFERROR(__xludf.DUMMYFUNCTION("""COMPUTED_VALUE"""),"Число недопустимых по паузе перенапряжений: за год")</f>
        <v>Число недопустимых по паузе перенапряжений: за год</v>
      </c>
    </row>
    <row r="1004" spans="1:8" ht="15.75" customHeight="1" x14ac:dyDescent="0.25">
      <c r="A1004" s="13" t="str">
        <f ca="1">IFERROR(__xludf.DUMMYFUNCTION("""COMPUTED_VALUE"""),"counter_overvoltage_year")</f>
        <v>counter_overvoltage_year</v>
      </c>
      <c r="B1004" s="13" t="str">
        <f ca="1">IFERROR(__xludf.DUMMYFUNCTION("""COMPUTED_VALUE"""),"Количество недопустимых за год повышений напряжения на стороне ВН")</f>
        <v>Количество недопустимых за год повышений напряжения на стороне ВН</v>
      </c>
    </row>
    <row r="1005" spans="1:8" ht="15.75" customHeight="1" x14ac:dyDescent="0.25">
      <c r="A1005" s="13" t="str">
        <f ca="1">IFERROR(__xludf.DUMMYFUNCTION("""COMPUTED_VALUE"""),"d_hi")</f>
        <v>d_hi</v>
      </c>
      <c r="B1005" s="13" t="str">
        <f ca="1">IFERROR(__xludf.DUMMYFUNCTION("""COMPUTED_VALUE"""),"Вклад онлайн-параметров в ИТС")</f>
        <v>Вклад онлайн-параметров в ИТС</v>
      </c>
    </row>
    <row r="1006" spans="1:8" ht="15.75" customHeight="1" x14ac:dyDescent="0.25">
      <c r="A1006" s="13" t="str">
        <f ca="1">IFERROR(__xludf.DUMMYFUNCTION("""COMPUTED_VALUE"""),"d_hi_scaled")</f>
        <v>d_hi_scaled</v>
      </c>
      <c r="B1006" s="13" t="str">
        <f ca="1">IFERROR(__xludf.DUMMYFUNCTION("""COMPUTED_VALUE"""),"Вклад онлайн параметров в ИТС, масштабированный")</f>
        <v>Вклад онлайн параметров в ИТС, масштабированный</v>
      </c>
    </row>
    <row r="1007" spans="1:8" ht="15.75" customHeight="1" x14ac:dyDescent="0.25">
      <c r="A1007" s="13" t="str">
        <f ca="1">IFERROR(__xludf.DUMMYFUNCTION("""COMPUTED_VALUE"""),"delta_th1")</f>
        <v>delta_th1</v>
      </c>
      <c r="B1007" s="13" t="str">
        <f ca="1">IFERROR(__xludf.DUMMYFUNCTION("""COMPUTED_VALUE"""),"Параметр расчёта ТННТ ΔΘh1")</f>
        <v>Параметр расчёта ТННТ ΔΘh1</v>
      </c>
    </row>
    <row r="1008" spans="1:8" ht="15.75" customHeight="1" x14ac:dyDescent="0.25">
      <c r="A1008" s="13" t="str">
        <f ca="1">IFERROR(__xludf.DUMMYFUNCTION("""COMPUTED_VALUE"""),"delta_th2")</f>
        <v>delta_th2</v>
      </c>
      <c r="B1008" s="13" t="str">
        <f ca="1">IFERROR(__xludf.DUMMYFUNCTION("""COMPUTED_VALUE"""),"Параметр расчёта ТННТ ΔΘh2")</f>
        <v>Параметр расчёта ТННТ ΔΘh2</v>
      </c>
    </row>
    <row r="1009" spans="1:2" ht="15.75" customHeight="1" x14ac:dyDescent="0.25">
      <c r="A1009" s="13" t="str">
        <f ca="1">IFERROR(__xludf.DUMMYFUNCTION("""COMPUTED_VALUE"""),"dens_sf6_1")</f>
        <v>dens_sf6_1</v>
      </c>
      <c r="B1009" s="13" t="str">
        <f ca="1">IFERROR(__xludf.DUMMYFUNCTION("""COMPUTED_VALUE"""),"Плотность элегаза КРУЭ. Датчик 1")</f>
        <v>Плотность элегаза КРУЭ. Датчик 1</v>
      </c>
    </row>
    <row r="1010" spans="1:2" ht="15.75" customHeight="1" x14ac:dyDescent="0.25">
      <c r="A1010" s="13" t="str">
        <f ca="1">IFERROR(__xludf.DUMMYFUNCTION("""COMPUTED_VALUE"""),"dens_sf6_10")</f>
        <v>dens_sf6_10</v>
      </c>
      <c r="B1010" s="13" t="str">
        <f ca="1">IFERROR(__xludf.DUMMYFUNCTION("""COMPUTED_VALUE"""),"Плотность элегаза КРУЭ. Датчик 10")</f>
        <v>Плотность элегаза КРУЭ. Датчик 10</v>
      </c>
    </row>
    <row r="1011" spans="1:2" ht="15.75" customHeight="1" x14ac:dyDescent="0.25">
      <c r="A1011" s="13" t="str">
        <f ca="1">IFERROR(__xludf.DUMMYFUNCTION("""COMPUTED_VALUE"""),"dens_sf6_2")</f>
        <v>dens_sf6_2</v>
      </c>
      <c r="B1011" s="13" t="str">
        <f ca="1">IFERROR(__xludf.DUMMYFUNCTION("""COMPUTED_VALUE"""),"Плотность элегаза КРУЭ. Датчик 2")</f>
        <v>Плотность элегаза КРУЭ. Датчик 2</v>
      </c>
    </row>
    <row r="1012" spans="1:2" ht="15.75" customHeight="1" x14ac:dyDescent="0.25">
      <c r="A1012" s="13" t="str">
        <f ca="1">IFERROR(__xludf.DUMMYFUNCTION("""COMPUTED_VALUE"""),"dens_sf6_3")</f>
        <v>dens_sf6_3</v>
      </c>
      <c r="B1012" s="13" t="str">
        <f ca="1">IFERROR(__xludf.DUMMYFUNCTION("""COMPUTED_VALUE"""),"Плотность элегаза КРУЭ. Датчик 3")</f>
        <v>Плотность элегаза КРУЭ. Датчик 3</v>
      </c>
    </row>
    <row r="1013" spans="1:2" ht="15.75" customHeight="1" x14ac:dyDescent="0.25">
      <c r="A1013" s="13" t="str">
        <f ca="1">IFERROR(__xludf.DUMMYFUNCTION("""COMPUTED_VALUE"""),"dens_sf6_4")</f>
        <v>dens_sf6_4</v>
      </c>
      <c r="B1013" s="13" t="str">
        <f ca="1">IFERROR(__xludf.DUMMYFUNCTION("""COMPUTED_VALUE"""),"Плотность элегаза КРУЭ. Датчик 4")</f>
        <v>Плотность элегаза КРУЭ. Датчик 4</v>
      </c>
    </row>
    <row r="1014" spans="1:2" ht="15.75" customHeight="1" x14ac:dyDescent="0.25">
      <c r="A1014" s="13" t="str">
        <f ca="1">IFERROR(__xludf.DUMMYFUNCTION("""COMPUTED_VALUE"""),"dens_sf6_5")</f>
        <v>dens_sf6_5</v>
      </c>
      <c r="B1014" s="13" t="str">
        <f ca="1">IFERROR(__xludf.DUMMYFUNCTION("""COMPUTED_VALUE"""),"Плотность элегаза КРУЭ. Датчик 5")</f>
        <v>Плотность элегаза КРУЭ. Датчик 5</v>
      </c>
    </row>
    <row r="1015" spans="1:2" ht="15.75" customHeight="1" x14ac:dyDescent="0.25">
      <c r="A1015" s="13" t="str">
        <f ca="1">IFERROR(__xludf.DUMMYFUNCTION("""COMPUTED_VALUE"""),"dens_sf6_6")</f>
        <v>dens_sf6_6</v>
      </c>
      <c r="B1015" s="13" t="str">
        <f ca="1">IFERROR(__xludf.DUMMYFUNCTION("""COMPUTED_VALUE"""),"Плотность элегаза КРУЭ. Датчик 6")</f>
        <v>Плотность элегаза КРУЭ. Датчик 6</v>
      </c>
    </row>
    <row r="1016" spans="1:2" ht="15.75" customHeight="1" x14ac:dyDescent="0.25">
      <c r="A1016" s="13" t="str">
        <f ca="1">IFERROR(__xludf.DUMMYFUNCTION("""COMPUTED_VALUE"""),"dens_sf6_7")</f>
        <v>dens_sf6_7</v>
      </c>
      <c r="B1016" s="13" t="str">
        <f ca="1">IFERROR(__xludf.DUMMYFUNCTION("""COMPUTED_VALUE"""),"Плотность элегаза КРУЭ. Датчик 7")</f>
        <v>Плотность элегаза КРУЭ. Датчик 7</v>
      </c>
    </row>
    <row r="1017" spans="1:2" ht="15.75" customHeight="1" x14ac:dyDescent="0.25">
      <c r="A1017" s="13" t="str">
        <f ca="1">IFERROR(__xludf.DUMMYFUNCTION("""COMPUTED_VALUE"""),"dens_sf6_8")</f>
        <v>dens_sf6_8</v>
      </c>
      <c r="B1017" s="13" t="str">
        <f ca="1">IFERROR(__xludf.DUMMYFUNCTION("""COMPUTED_VALUE"""),"Плотность элегаза КРУЭ. Датчик 8")</f>
        <v>Плотность элегаза КРУЭ. Датчик 8</v>
      </c>
    </row>
    <row r="1018" spans="1:2" ht="15.75" customHeight="1" x14ac:dyDescent="0.25">
      <c r="A1018" s="13" t="str">
        <f ca="1">IFERROR(__xludf.DUMMYFUNCTION("""COMPUTED_VALUE"""),"dens_sf6_9")</f>
        <v>dens_sf6_9</v>
      </c>
      <c r="B1018" s="13" t="str">
        <f ca="1">IFERROR(__xludf.DUMMYFUNCTION("""COMPUTED_VALUE"""),"Плотность элегаза КРУЭ. Датчик 9")</f>
        <v>Плотность элегаза КРУЭ. Датчик 9</v>
      </c>
    </row>
    <row r="1019" spans="1:2" ht="15.75" customHeight="1" x14ac:dyDescent="0.25">
      <c r="A1019" s="13" t="str">
        <f ca="1">IFERROR(__xludf.DUMMYFUNCTION("""COMPUTED_VALUE"""),"dens_sf6_calc_1")</f>
        <v>dens_sf6_calc_1</v>
      </c>
      <c r="B1019" s="13" t="str">
        <f ca="1">IFERROR(__xludf.DUMMYFUNCTION("""COMPUTED_VALUE"""),"Плотность элегаза КРУЭ, расчётная. Датчик 1")</f>
        <v>Плотность элегаза КРУЭ, расчётная. Датчик 1</v>
      </c>
    </row>
    <row r="1020" spans="1:2" ht="15.75" customHeight="1" x14ac:dyDescent="0.25">
      <c r="A1020" s="13" t="str">
        <f ca="1">IFERROR(__xludf.DUMMYFUNCTION("""COMPUTED_VALUE"""),"dens_sf6_calc_10")</f>
        <v>dens_sf6_calc_10</v>
      </c>
      <c r="B1020" s="13" t="str">
        <f ca="1">IFERROR(__xludf.DUMMYFUNCTION("""COMPUTED_VALUE"""),"Плотность элегаза КРУЭ, расчётная. Датчик 10")</f>
        <v>Плотность элегаза КРУЭ, расчётная. Датчик 10</v>
      </c>
    </row>
    <row r="1021" spans="1:2" ht="15.75" customHeight="1" x14ac:dyDescent="0.25">
      <c r="A1021" s="13" t="str">
        <f ca="1">IFERROR(__xludf.DUMMYFUNCTION("""COMPUTED_VALUE"""),"dens_sf6_calc_2")</f>
        <v>dens_sf6_calc_2</v>
      </c>
      <c r="B1021" s="13" t="str">
        <f ca="1">IFERROR(__xludf.DUMMYFUNCTION("""COMPUTED_VALUE"""),"Плотность элегаза КРУЭ, расчётная. Датчик 2")</f>
        <v>Плотность элегаза КРУЭ, расчётная. Датчик 2</v>
      </c>
    </row>
    <row r="1022" spans="1:2" ht="15.75" customHeight="1" x14ac:dyDescent="0.25">
      <c r="A1022" s="13" t="str">
        <f ca="1">IFERROR(__xludf.DUMMYFUNCTION("""COMPUTED_VALUE"""),"dens_sf6_calc_3")</f>
        <v>dens_sf6_calc_3</v>
      </c>
      <c r="B1022" s="13" t="str">
        <f ca="1">IFERROR(__xludf.DUMMYFUNCTION("""COMPUTED_VALUE"""),"Плотность элегаза КРУЭ, расчётная. Датчик 3")</f>
        <v>Плотность элегаза КРУЭ, расчётная. Датчик 3</v>
      </c>
    </row>
    <row r="1023" spans="1:2" ht="15.75" customHeight="1" x14ac:dyDescent="0.25">
      <c r="A1023" s="13" t="str">
        <f ca="1">IFERROR(__xludf.DUMMYFUNCTION("""COMPUTED_VALUE"""),"dens_sf6_calc_4")</f>
        <v>dens_sf6_calc_4</v>
      </c>
      <c r="B1023" s="13" t="str">
        <f ca="1">IFERROR(__xludf.DUMMYFUNCTION("""COMPUTED_VALUE"""),"Плотность элегаза КРУЭ, расчётная. Датчик 4")</f>
        <v>Плотность элегаза КРУЭ, расчётная. Датчик 4</v>
      </c>
    </row>
    <row r="1024" spans="1:2" ht="15.75" customHeight="1" x14ac:dyDescent="0.25">
      <c r="A1024" s="13" t="str">
        <f ca="1">IFERROR(__xludf.DUMMYFUNCTION("""COMPUTED_VALUE"""),"dens_sf6_calc_5")</f>
        <v>dens_sf6_calc_5</v>
      </c>
      <c r="B1024" s="13" t="str">
        <f ca="1">IFERROR(__xludf.DUMMYFUNCTION("""COMPUTED_VALUE"""),"Плотность элегаза КРУЭ, расчётная. Датчик 5")</f>
        <v>Плотность элегаза КРУЭ, расчётная. Датчик 5</v>
      </c>
    </row>
    <row r="1025" spans="1:2" ht="15.75" customHeight="1" x14ac:dyDescent="0.25">
      <c r="A1025" s="13" t="str">
        <f ca="1">IFERROR(__xludf.DUMMYFUNCTION("""COMPUTED_VALUE"""),"dens_sf6_calc_6")</f>
        <v>dens_sf6_calc_6</v>
      </c>
      <c r="B1025" s="13" t="str">
        <f ca="1">IFERROR(__xludf.DUMMYFUNCTION("""COMPUTED_VALUE"""),"Плотность элегаза КРУЭ, расчётная. Датчик 6")</f>
        <v>Плотность элегаза КРУЭ, расчётная. Датчик 6</v>
      </c>
    </row>
    <row r="1026" spans="1:2" ht="15.75" customHeight="1" x14ac:dyDescent="0.25">
      <c r="A1026" s="13" t="str">
        <f ca="1">IFERROR(__xludf.DUMMYFUNCTION("""COMPUTED_VALUE"""),"dens_sf6_calc_7")</f>
        <v>dens_sf6_calc_7</v>
      </c>
      <c r="B1026" s="13" t="str">
        <f ca="1">IFERROR(__xludf.DUMMYFUNCTION("""COMPUTED_VALUE"""),"Плотность элегаза КРУЭ, расчётная. Датчик 7")</f>
        <v>Плотность элегаза КРУЭ, расчётная. Датчик 7</v>
      </c>
    </row>
    <row r="1027" spans="1:2" ht="15.75" customHeight="1" x14ac:dyDescent="0.25">
      <c r="A1027" s="13" t="str">
        <f ca="1">IFERROR(__xludf.DUMMYFUNCTION("""COMPUTED_VALUE"""),"dens_sf6_calc_8")</f>
        <v>dens_sf6_calc_8</v>
      </c>
      <c r="B1027" s="13" t="str">
        <f ca="1">IFERROR(__xludf.DUMMYFUNCTION("""COMPUTED_VALUE"""),"Плотность элегаза КРУЭ, расчётная. Датчик 8")</f>
        <v>Плотность элегаза КРУЭ, расчётная. Датчик 8</v>
      </c>
    </row>
    <row r="1028" spans="1:2" ht="15.75" customHeight="1" x14ac:dyDescent="0.25">
      <c r="A1028" s="13" t="str">
        <f ca="1">IFERROR(__xludf.DUMMYFUNCTION("""COMPUTED_VALUE"""),"dens_sf6_calc_9")</f>
        <v>dens_sf6_calc_9</v>
      </c>
      <c r="B1028" s="13" t="str">
        <f ca="1">IFERROR(__xludf.DUMMYFUNCTION("""COMPUTED_VALUE"""),"Плотность элегаза КРУЭ, расчётная. Датчик 9")</f>
        <v>Плотность элегаза КРУЭ, расчётная. Датчик 9</v>
      </c>
    </row>
    <row r="1029" spans="1:2" ht="15.75" customHeight="1" x14ac:dyDescent="0.25">
      <c r="A1029" s="13" t="str">
        <f ca="1">IFERROR(__xludf.DUMMYFUNCTION("""COMPUTED_VALUE"""),"dens_sf6_lim0")</f>
        <v>dens_sf6_lim0</v>
      </c>
      <c r="B1029" s="13" t="str">
        <f ca="1">IFERROR(__xludf.DUMMYFUNCTION("""COMPUTED_VALUE"""),"ДЗ плотности элегаза КРУЭ")</f>
        <v>ДЗ плотности элегаза КРУЭ</v>
      </c>
    </row>
    <row r="1030" spans="1:2" ht="15.75" customHeight="1" x14ac:dyDescent="0.25">
      <c r="A1030" s="13" t="str">
        <f ca="1">IFERROR(__xludf.DUMMYFUNCTION("""COMPUTED_VALUE"""),"dens_sf6_lim0_manual")</f>
        <v>dens_sf6_lim0_manual</v>
      </c>
      <c r="B1030" s="13" t="str">
        <f ca="1">IFERROR(__xludf.DUMMYFUNCTION("""COMPUTED_VALUE"""),"ДЗ плотности элегаза КРУЭ, ручное")</f>
        <v>ДЗ плотности элегаза КРУЭ, ручное</v>
      </c>
    </row>
    <row r="1031" spans="1:2" ht="15.75" customHeight="1" x14ac:dyDescent="0.25">
      <c r="A1031" s="13" t="str">
        <f ca="1">IFERROR(__xludf.DUMMYFUNCTION("""COMPUTED_VALUE"""),"dens_sf6_lim1")</f>
        <v>dens_sf6_lim1</v>
      </c>
      <c r="B1031" s="13" t="str">
        <f ca="1">IFERROR(__xludf.DUMMYFUNCTION("""COMPUTED_VALUE"""),"ПДЗ плотности элегаза КРУЭ")</f>
        <v>ПДЗ плотности элегаза КРУЭ</v>
      </c>
    </row>
    <row r="1032" spans="1:2" ht="15.75" customHeight="1" x14ac:dyDescent="0.25">
      <c r="A1032" s="13" t="str">
        <f ca="1">IFERROR(__xludf.DUMMYFUNCTION("""COMPUTED_VALUE"""),"dens_sf6_lim1_manual")</f>
        <v>dens_sf6_lim1_manual</v>
      </c>
      <c r="B1032" s="13" t="str">
        <f ca="1">IFERROR(__xludf.DUMMYFUNCTION("""COMPUTED_VALUE"""),"ПДЗ плотности элегаза КРУЭ, ручное")</f>
        <v>ПДЗ плотности элегаза КРУЭ, ручное</v>
      </c>
    </row>
    <row r="1033" spans="1:2" ht="15.75" customHeight="1" x14ac:dyDescent="0.25">
      <c r="A1033" s="13" t="str">
        <f ca="1">IFERROR(__xludf.DUMMYFUNCTION("""COMPUTED_VALUE"""),"dga_malfunction")</f>
        <v>dga_malfunction</v>
      </c>
      <c r="B1033" s="13" t="str">
        <f ca="1">IFERROR(__xludf.DUMMYFUNCTION("""COMPUTED_VALUE"""),"Неисправность прибора газоанализа")</f>
        <v>Неисправность прибора газоанализа</v>
      </c>
    </row>
    <row r="1034" spans="1:2" ht="15.75" customHeight="1" x14ac:dyDescent="0.25">
      <c r="A1034" s="13" t="str">
        <f ca="1">IFERROR(__xludf.DUMMYFUNCTION("""COMPUTED_VALUE"""),"dga_powercut")</f>
        <v>dga_powercut</v>
      </c>
      <c r="B1034" s="13" t="str">
        <f ca="1">IFERROR(__xludf.DUMMYFUNCTION("""COMPUTED_VALUE"""),"Отсутствует питание прибора газоанализа")</f>
        <v>Отсутствует питание прибора газоанализа</v>
      </c>
    </row>
    <row r="1035" spans="1:2" ht="15.75" customHeight="1" x14ac:dyDescent="0.25">
      <c r="A1035" s="13" t="str">
        <f ca="1">IFERROR(__xludf.DUMMYFUNCTION("""COMPUTED_VALUE"""),"diag_ageing")</f>
        <v>diag_ageing</v>
      </c>
      <c r="B1035" s="13" t="str">
        <f ca="1">IFERROR(__xludf.DUMMYFUNCTION("""COMPUTED_VALUE"""),"Диагностика по скорости износа")</f>
        <v>Диагностика по скорости износа</v>
      </c>
    </row>
    <row r="1036" spans="1:2" ht="15.75" customHeight="1" x14ac:dyDescent="0.25">
      <c r="A1036" s="13" t="str">
        <f ca="1">IFERROR(__xludf.DUMMYFUNCTION("""COMPUTED_VALUE"""),"diag_bush_c_forecast_pa_hv")</f>
        <v>diag_bush_c_forecast_pa_hv</v>
      </c>
      <c r="B1036" s="13" t="str">
        <f ca="1">IFERROR(__xludf.DUMMYFUNCTION("""COMPUTED_VALUE"""),"Диагностика по прогнозу ёмкости, ввод ВН, фаза A")</f>
        <v>Диагностика по прогнозу ёмкости, ввод ВН, фаза A</v>
      </c>
    </row>
    <row r="1037" spans="1:2" ht="15.75" customHeight="1" x14ac:dyDescent="0.25">
      <c r="A1037" s="13" t="str">
        <f ca="1">IFERROR(__xludf.DUMMYFUNCTION("""COMPUTED_VALUE"""),"diag_bush_c_forecast_pb_hv")</f>
        <v>diag_bush_c_forecast_pb_hv</v>
      </c>
      <c r="B1037" s="13" t="str">
        <f ca="1">IFERROR(__xludf.DUMMYFUNCTION("""COMPUTED_VALUE"""),"Диагностика по прогнозу ёмкости, ввод ВН, фаза B")</f>
        <v>Диагностика по прогнозу ёмкости, ввод ВН, фаза B</v>
      </c>
    </row>
    <row r="1038" spans="1:2" ht="15.75" customHeight="1" x14ac:dyDescent="0.25">
      <c r="A1038" s="13" t="str">
        <f ca="1">IFERROR(__xludf.DUMMYFUNCTION("""COMPUTED_VALUE"""),"diag_bush_c_forecast_pc_hv")</f>
        <v>diag_bush_c_forecast_pc_hv</v>
      </c>
      <c r="B1038" s="13" t="str">
        <f ca="1">IFERROR(__xludf.DUMMYFUNCTION("""COMPUTED_VALUE"""),"Диагностика по прогнозу ёмкости, ввод ВН, фаза C")</f>
        <v>Диагностика по прогнозу ёмкости, ввод ВН, фаза C</v>
      </c>
    </row>
    <row r="1039" spans="1:2" ht="15.75" customHeight="1" x14ac:dyDescent="0.25">
      <c r="A1039" s="13" t="str">
        <f ca="1">IFERROR(__xludf.DUMMYFUNCTION("""COMPUTED_VALUE"""),"diag_bush_c_pa_hv")</f>
        <v>diag_bush_c_pa_hv</v>
      </c>
      <c r="B1039" s="13" t="str">
        <f ca="1">IFERROR(__xludf.DUMMYFUNCTION("""COMPUTED_VALUE"""),"Диагностика по ёмкости, ввод ВН, фаза A")</f>
        <v>Диагностика по ёмкости, ввод ВН, фаза A</v>
      </c>
    </row>
    <row r="1040" spans="1:2" ht="15.75" customHeight="1" x14ac:dyDescent="0.25">
      <c r="A1040" s="13" t="str">
        <f ca="1">IFERROR(__xludf.DUMMYFUNCTION("""COMPUTED_VALUE"""),"diag_bush_c_pa_lv")</f>
        <v>diag_bush_c_pa_lv</v>
      </c>
      <c r="B1040" s="13" t="str">
        <f ca="1">IFERROR(__xludf.DUMMYFUNCTION("""COMPUTED_VALUE"""),"Диагностика по ёмкости, ввод НН, фаза A")</f>
        <v>Диагностика по ёмкости, ввод НН, фаза A</v>
      </c>
    </row>
    <row r="1041" spans="1:2" ht="15.75" customHeight="1" x14ac:dyDescent="0.25">
      <c r="A1041" s="13" t="str">
        <f ca="1">IFERROR(__xludf.DUMMYFUNCTION("""COMPUTED_VALUE"""),"diag_bush_c_pa_mv")</f>
        <v>diag_bush_c_pa_mv</v>
      </c>
      <c r="B1041" s="13" t="str">
        <f ca="1">IFERROR(__xludf.DUMMYFUNCTION("""COMPUTED_VALUE"""),"Диагностика по ёмкости, ввод СН, фаза A")</f>
        <v>Диагностика по ёмкости, ввод СН, фаза A</v>
      </c>
    </row>
    <row r="1042" spans="1:2" ht="15.75" customHeight="1" x14ac:dyDescent="0.25">
      <c r="A1042" s="13" t="str">
        <f ca="1">IFERROR(__xludf.DUMMYFUNCTION("""COMPUTED_VALUE"""),"diag_bush_c_pb_hv")</f>
        <v>diag_bush_c_pb_hv</v>
      </c>
      <c r="B1042" s="13" t="str">
        <f ca="1">IFERROR(__xludf.DUMMYFUNCTION("""COMPUTED_VALUE"""),"Диагностика по ёмкости, ввод ВН, фаза B")</f>
        <v>Диагностика по ёмкости, ввод ВН, фаза B</v>
      </c>
    </row>
    <row r="1043" spans="1:2" ht="15.75" customHeight="1" x14ac:dyDescent="0.25">
      <c r="A1043" s="13" t="str">
        <f ca="1">IFERROR(__xludf.DUMMYFUNCTION("""COMPUTED_VALUE"""),"diag_bush_c_pb_lv")</f>
        <v>diag_bush_c_pb_lv</v>
      </c>
      <c r="B1043" s="13" t="str">
        <f ca="1">IFERROR(__xludf.DUMMYFUNCTION("""COMPUTED_VALUE"""),"Диагностика по ёмкости, ввод НН, фаза B")</f>
        <v>Диагностика по ёмкости, ввод НН, фаза B</v>
      </c>
    </row>
    <row r="1044" spans="1:2" ht="15.75" customHeight="1" x14ac:dyDescent="0.25">
      <c r="A1044" s="13" t="str">
        <f ca="1">IFERROR(__xludf.DUMMYFUNCTION("""COMPUTED_VALUE"""),"diag_bush_c_pb_mv")</f>
        <v>diag_bush_c_pb_mv</v>
      </c>
      <c r="B1044" s="13" t="str">
        <f ca="1">IFERROR(__xludf.DUMMYFUNCTION("""COMPUTED_VALUE"""),"Диагностика по ёмкости, ввод СН, фаза B")</f>
        <v>Диагностика по ёмкости, ввод СН, фаза B</v>
      </c>
    </row>
    <row r="1045" spans="1:2" ht="15.75" customHeight="1" x14ac:dyDescent="0.25">
      <c r="A1045" s="13" t="str">
        <f ca="1">IFERROR(__xludf.DUMMYFUNCTION("""COMPUTED_VALUE"""),"diag_bush_c_pc_hv")</f>
        <v>diag_bush_c_pc_hv</v>
      </c>
      <c r="B1045" s="13" t="str">
        <f ca="1">IFERROR(__xludf.DUMMYFUNCTION("""COMPUTED_VALUE"""),"Диагностика по ёмкости, ввод ВН, фаза C")</f>
        <v>Диагностика по ёмкости, ввод ВН, фаза C</v>
      </c>
    </row>
    <row r="1046" spans="1:2" ht="15.75" customHeight="1" x14ac:dyDescent="0.25">
      <c r="A1046" s="13" t="str">
        <f ca="1">IFERROR(__xludf.DUMMYFUNCTION("""COMPUTED_VALUE"""),"diag_bush_c_pc_lv")</f>
        <v>diag_bush_c_pc_lv</v>
      </c>
      <c r="B1046" s="13" t="str">
        <f ca="1">IFERROR(__xludf.DUMMYFUNCTION("""COMPUTED_VALUE"""),"Диагностика по ёмкости, ввод НН, фаза C")</f>
        <v>Диагностика по ёмкости, ввод НН, фаза C</v>
      </c>
    </row>
    <row r="1047" spans="1:2" ht="15.75" customHeight="1" x14ac:dyDescent="0.25">
      <c r="A1047" s="13" t="str">
        <f ca="1">IFERROR(__xludf.DUMMYFUNCTION("""COMPUTED_VALUE"""),"diag_bush_c_pc_mv")</f>
        <v>diag_bush_c_pc_mv</v>
      </c>
      <c r="B1047" s="13" t="str">
        <f ca="1">IFERROR(__xludf.DUMMYFUNCTION("""COMPUTED_VALUE"""),"Диагностика по ёмкости, ввод СН, фаза C")</f>
        <v>Диагностика по ёмкости, ввод СН, фаза C</v>
      </c>
    </row>
    <row r="1048" spans="1:2" ht="15.75" customHeight="1" x14ac:dyDescent="0.25">
      <c r="A1048" s="13" t="str">
        <f ca="1">IFERROR(__xludf.DUMMYFUNCTION("""COMPUTED_VALUE"""),"diag_bush_d_c_pa_hv")</f>
        <v>diag_bush_d_c_pa_hv</v>
      </c>
      <c r="B1048" s="13" t="str">
        <f ca="1">IFERROR(__xludf.DUMMYFUNCTION("""COMPUTED_VALUE"""),"Диагностика по изменению ёмкости, ввод ВН, фаза A")</f>
        <v>Диагностика по изменению ёмкости, ввод ВН, фаза A</v>
      </c>
    </row>
    <row r="1049" spans="1:2" ht="15.75" customHeight="1" x14ac:dyDescent="0.25">
      <c r="A1049" s="13" t="str">
        <f ca="1">IFERROR(__xludf.DUMMYFUNCTION("""COMPUTED_VALUE"""),"diag_bush_d_c_pa_lv")</f>
        <v>diag_bush_d_c_pa_lv</v>
      </c>
      <c r="B1049" s="13" t="str">
        <f ca="1">IFERROR(__xludf.DUMMYFUNCTION("""COMPUTED_VALUE"""),"Диагностика по изменению ёмкости, ввод НН, фаза A")</f>
        <v>Диагностика по изменению ёмкости, ввод НН, фаза A</v>
      </c>
    </row>
    <row r="1050" spans="1:2" ht="15.75" customHeight="1" x14ac:dyDescent="0.25">
      <c r="A1050" s="13" t="str">
        <f ca="1">IFERROR(__xludf.DUMMYFUNCTION("""COMPUTED_VALUE"""),"diag_bush_d_c_pa_mv")</f>
        <v>diag_bush_d_c_pa_mv</v>
      </c>
      <c r="B1050" s="13" t="str">
        <f ca="1">IFERROR(__xludf.DUMMYFUNCTION("""COMPUTED_VALUE"""),"Диагностика по изменению ёмкости, ввод СН, фаза A")</f>
        <v>Диагностика по изменению ёмкости, ввод СН, фаза A</v>
      </c>
    </row>
    <row r="1051" spans="1:2" ht="15.75" customHeight="1" x14ac:dyDescent="0.25">
      <c r="A1051" s="13" t="str">
        <f ca="1">IFERROR(__xludf.DUMMYFUNCTION("""COMPUTED_VALUE"""),"diag_bush_d_c_pb_hv")</f>
        <v>diag_bush_d_c_pb_hv</v>
      </c>
      <c r="B1051" s="13" t="str">
        <f ca="1">IFERROR(__xludf.DUMMYFUNCTION("""COMPUTED_VALUE"""),"Диагностика по изменению ёмкости, ввод ВН, фаза B")</f>
        <v>Диагностика по изменению ёмкости, ввод ВН, фаза B</v>
      </c>
    </row>
    <row r="1052" spans="1:2" ht="15.75" customHeight="1" x14ac:dyDescent="0.25">
      <c r="A1052" s="13" t="str">
        <f ca="1">IFERROR(__xludf.DUMMYFUNCTION("""COMPUTED_VALUE"""),"diag_bush_d_c_pb_lv")</f>
        <v>diag_bush_d_c_pb_lv</v>
      </c>
      <c r="B1052" s="13" t="str">
        <f ca="1">IFERROR(__xludf.DUMMYFUNCTION("""COMPUTED_VALUE"""),"Диагностика по изменению ёмкости, ввод НН, фаза B")</f>
        <v>Диагностика по изменению ёмкости, ввод НН, фаза B</v>
      </c>
    </row>
    <row r="1053" spans="1:2" ht="15.75" customHeight="1" x14ac:dyDescent="0.25">
      <c r="A1053" s="13" t="str">
        <f ca="1">IFERROR(__xludf.DUMMYFUNCTION("""COMPUTED_VALUE"""),"diag_bush_d_c_pb_mv")</f>
        <v>diag_bush_d_c_pb_mv</v>
      </c>
      <c r="B1053" s="13" t="str">
        <f ca="1">IFERROR(__xludf.DUMMYFUNCTION("""COMPUTED_VALUE"""),"Диагностика по изменению ёмкости, ввод СН, фаза B")</f>
        <v>Диагностика по изменению ёмкости, ввод СН, фаза B</v>
      </c>
    </row>
    <row r="1054" spans="1:2" ht="15.75" customHeight="1" x14ac:dyDescent="0.25">
      <c r="A1054" s="13" t="str">
        <f ca="1">IFERROR(__xludf.DUMMYFUNCTION("""COMPUTED_VALUE"""),"diag_bush_d_c_pv_hv")</f>
        <v>diag_bush_d_c_pv_hv</v>
      </c>
      <c r="B1054" s="13" t="str">
        <f ca="1">IFERROR(__xludf.DUMMYFUNCTION("""COMPUTED_VALUE"""),"Диагностика по изменению ёмкости, ввод ВН, фаза C")</f>
        <v>Диагностика по изменению ёмкости, ввод ВН, фаза C</v>
      </c>
    </row>
    <row r="1055" spans="1:2" ht="15.75" customHeight="1" x14ac:dyDescent="0.25">
      <c r="A1055" s="13" t="str">
        <f ca="1">IFERROR(__xludf.DUMMYFUNCTION("""COMPUTED_VALUE"""),"diag_bush_d_c_pv_lv")</f>
        <v>diag_bush_d_c_pv_lv</v>
      </c>
      <c r="B1055" s="13" t="str">
        <f ca="1">IFERROR(__xludf.DUMMYFUNCTION("""COMPUTED_VALUE"""),"Диагностика по изменению ёмкости, ввод НН, фаза C")</f>
        <v>Диагностика по изменению ёмкости, ввод НН, фаза C</v>
      </c>
    </row>
    <row r="1056" spans="1:2" ht="15.75" customHeight="1" x14ac:dyDescent="0.25">
      <c r="A1056" s="13" t="str">
        <f ca="1">IFERROR(__xludf.DUMMYFUNCTION("""COMPUTED_VALUE"""),"diag_bush_d_c_pv_mv")</f>
        <v>diag_bush_d_c_pv_mv</v>
      </c>
      <c r="B1056" s="13" t="str">
        <f ca="1">IFERROR(__xludf.DUMMYFUNCTION("""COMPUTED_VALUE"""),"Диагностика по изменению ёмкости, ввод СН, фаза C")</f>
        <v>Диагностика по изменению ёмкости, ввод СН, фаза C</v>
      </c>
    </row>
    <row r="1057" spans="1:2" ht="15.75" customHeight="1" x14ac:dyDescent="0.25">
      <c r="A1057" s="13" t="str">
        <f ca="1">IFERROR(__xludf.DUMMYFUNCTION("""COMPUTED_VALUE"""),"diag_bush_d_tgd_pa_hv")</f>
        <v>diag_bush_d_tgd_pa_hv</v>
      </c>
      <c r="B1057" s="13" t="str">
        <f ca="1">IFERROR(__xludf.DUMMYFUNCTION("""COMPUTED_VALUE"""),"Диагностика по изменению тангенса дельта, ввод ВН, фаза A")</f>
        <v>Диагностика по изменению тангенса дельта, ввод ВН, фаза A</v>
      </c>
    </row>
    <row r="1058" spans="1:2" ht="15.75" customHeight="1" x14ac:dyDescent="0.25">
      <c r="A1058" s="13" t="str">
        <f ca="1">IFERROR(__xludf.DUMMYFUNCTION("""COMPUTED_VALUE"""),"diag_bush_d_tgd_pa_lv")</f>
        <v>diag_bush_d_tgd_pa_lv</v>
      </c>
      <c r="B1058" s="13" t="str">
        <f ca="1">IFERROR(__xludf.DUMMYFUNCTION("""COMPUTED_VALUE"""),"Диагностика по изменению тангенса дельта, ввод НН, фаза A")</f>
        <v>Диагностика по изменению тангенса дельта, ввод НН, фаза A</v>
      </c>
    </row>
    <row r="1059" spans="1:2" ht="15.75" customHeight="1" x14ac:dyDescent="0.25">
      <c r="A1059" s="13" t="str">
        <f ca="1">IFERROR(__xludf.DUMMYFUNCTION("""COMPUTED_VALUE"""),"diag_bush_d_tgd_pa_mv")</f>
        <v>diag_bush_d_tgd_pa_mv</v>
      </c>
      <c r="B1059" s="13" t="str">
        <f ca="1">IFERROR(__xludf.DUMMYFUNCTION("""COMPUTED_VALUE"""),"Диагностика по изменению тангенса дельта, ввод СН, фаза A")</f>
        <v>Диагностика по изменению тангенса дельта, ввод СН, фаза A</v>
      </c>
    </row>
    <row r="1060" spans="1:2" ht="15.75" customHeight="1" x14ac:dyDescent="0.25">
      <c r="A1060" s="13" t="str">
        <f ca="1">IFERROR(__xludf.DUMMYFUNCTION("""COMPUTED_VALUE"""),"diag_bush_d_tgd_pb_hv")</f>
        <v>diag_bush_d_tgd_pb_hv</v>
      </c>
      <c r="B1060" s="13" t="str">
        <f ca="1">IFERROR(__xludf.DUMMYFUNCTION("""COMPUTED_VALUE"""),"Диагностика по изменению тангенса дельта, ввод ВН, фаза B")</f>
        <v>Диагностика по изменению тангенса дельта, ввод ВН, фаза B</v>
      </c>
    </row>
    <row r="1061" spans="1:2" ht="15.75" customHeight="1" x14ac:dyDescent="0.25">
      <c r="A1061" s="13" t="str">
        <f ca="1">IFERROR(__xludf.DUMMYFUNCTION("""COMPUTED_VALUE"""),"diag_bush_d_tgd_pb_lv")</f>
        <v>diag_bush_d_tgd_pb_lv</v>
      </c>
      <c r="B1061" s="13" t="str">
        <f ca="1">IFERROR(__xludf.DUMMYFUNCTION("""COMPUTED_VALUE"""),"Диагностика по изменению тангенса дельта, ввод НН, фаза B")</f>
        <v>Диагностика по изменению тангенса дельта, ввод НН, фаза B</v>
      </c>
    </row>
    <row r="1062" spans="1:2" ht="15.75" customHeight="1" x14ac:dyDescent="0.25">
      <c r="A1062" s="13" t="str">
        <f ca="1">IFERROR(__xludf.DUMMYFUNCTION("""COMPUTED_VALUE"""),"diag_bush_d_tgd_pb_mv")</f>
        <v>diag_bush_d_tgd_pb_mv</v>
      </c>
      <c r="B1062" s="13" t="str">
        <f ca="1">IFERROR(__xludf.DUMMYFUNCTION("""COMPUTED_VALUE"""),"Диагностика по изменению тангенса дельта, ввод СН, фаза B")</f>
        <v>Диагностика по изменению тангенса дельта, ввод СН, фаза B</v>
      </c>
    </row>
    <row r="1063" spans="1:2" ht="15.75" customHeight="1" x14ac:dyDescent="0.25">
      <c r="A1063" s="13" t="str">
        <f ca="1">IFERROR(__xludf.DUMMYFUNCTION("""COMPUTED_VALUE"""),"diag_bush_d_tgd_pc_hv")</f>
        <v>diag_bush_d_tgd_pc_hv</v>
      </c>
      <c r="B1063" s="13" t="str">
        <f ca="1">IFERROR(__xludf.DUMMYFUNCTION("""COMPUTED_VALUE"""),"Диагностика по изменению тангенса дельта, ввод ВН, фаза C")</f>
        <v>Диагностика по изменению тангенса дельта, ввод ВН, фаза C</v>
      </c>
    </row>
    <row r="1064" spans="1:2" ht="15.75" customHeight="1" x14ac:dyDescent="0.25">
      <c r="A1064" s="13" t="str">
        <f ca="1">IFERROR(__xludf.DUMMYFUNCTION("""COMPUTED_VALUE"""),"diag_bush_d_tgd_pc_lv")</f>
        <v>diag_bush_d_tgd_pc_lv</v>
      </c>
      <c r="B1064" s="13" t="str">
        <f ca="1">IFERROR(__xludf.DUMMYFUNCTION("""COMPUTED_VALUE"""),"Диагностика по изменению тангенса дельта, ввод НН, фаза C")</f>
        <v>Диагностика по изменению тангенса дельта, ввод НН, фаза C</v>
      </c>
    </row>
    <row r="1065" spans="1:2" ht="15.75" customHeight="1" x14ac:dyDescent="0.25">
      <c r="A1065" s="13" t="str">
        <f ca="1">IFERROR(__xludf.DUMMYFUNCTION("""COMPUTED_VALUE"""),"diag_bush_d_tgd_pc_mv")</f>
        <v>diag_bush_d_tgd_pc_mv</v>
      </c>
      <c r="B1065" s="13" t="str">
        <f ca="1">IFERROR(__xludf.DUMMYFUNCTION("""COMPUTED_VALUE"""),"Диагностика по изменению тангенса дельта, ввод СН, фаза C")</f>
        <v>Диагностика по изменению тангенса дельта, ввод СН, фаза C</v>
      </c>
    </row>
    <row r="1066" spans="1:2" ht="15.75" customHeight="1" x14ac:dyDescent="0.25">
      <c r="A1066" s="13" t="str">
        <f ca="1">IFERROR(__xludf.DUMMYFUNCTION("""COMPUTED_VALUE"""),"diag_bush_i_creepage_pa_hv")</f>
        <v>diag_bush_i_creepage_pa_hv</v>
      </c>
      <c r="B1066" s="13" t="str">
        <f ca="1">IFERROR(__xludf.DUMMYFUNCTION("""COMPUTED_VALUE"""),"Диагностика по току утечки по поверхности ввода ВН, фаза A")</f>
        <v>Диагностика по току утечки по поверхности ввода ВН, фаза A</v>
      </c>
    </row>
    <row r="1067" spans="1:2" ht="15.75" customHeight="1" x14ac:dyDescent="0.25">
      <c r="A1067" s="13" t="str">
        <f ca="1">IFERROR(__xludf.DUMMYFUNCTION("""COMPUTED_VALUE"""),"diag_bush_i_creepage_pa_lv")</f>
        <v>diag_bush_i_creepage_pa_lv</v>
      </c>
      <c r="B1067" s="13" t="str">
        <f ca="1">IFERROR(__xludf.DUMMYFUNCTION("""COMPUTED_VALUE"""),"Диагностика по току утечки по поверхности ввода НН, фаза A")</f>
        <v>Диагностика по току утечки по поверхности ввода НН, фаза A</v>
      </c>
    </row>
    <row r="1068" spans="1:2" ht="15.75" customHeight="1" x14ac:dyDescent="0.25">
      <c r="A1068" s="13" t="str">
        <f ca="1">IFERROR(__xludf.DUMMYFUNCTION("""COMPUTED_VALUE"""),"diag_bush_i_creepage_pa_mv")</f>
        <v>diag_bush_i_creepage_pa_mv</v>
      </c>
      <c r="B1068" s="13" t="str">
        <f ca="1">IFERROR(__xludf.DUMMYFUNCTION("""COMPUTED_VALUE"""),"Диагностика по току утечки по поверхности ввода СН, фаза A")</f>
        <v>Диагностика по току утечки по поверхности ввода СН, фаза A</v>
      </c>
    </row>
    <row r="1069" spans="1:2" ht="15.75" customHeight="1" x14ac:dyDescent="0.25">
      <c r="A1069" s="13" t="str">
        <f ca="1">IFERROR(__xludf.DUMMYFUNCTION("""COMPUTED_VALUE"""),"diag_bush_i_creepage_pb_hv")</f>
        <v>diag_bush_i_creepage_pb_hv</v>
      </c>
      <c r="B1069" s="13" t="str">
        <f ca="1">IFERROR(__xludf.DUMMYFUNCTION("""COMPUTED_VALUE"""),"Диагностика по току утечки по поверхности ввода ВН, фаза B")</f>
        <v>Диагностика по току утечки по поверхности ввода ВН, фаза B</v>
      </c>
    </row>
    <row r="1070" spans="1:2" ht="15.75" customHeight="1" x14ac:dyDescent="0.25">
      <c r="A1070" s="13" t="str">
        <f ca="1">IFERROR(__xludf.DUMMYFUNCTION("""COMPUTED_VALUE"""),"diag_bush_i_creepage_pb_lv")</f>
        <v>diag_bush_i_creepage_pb_lv</v>
      </c>
      <c r="B1070" s="13" t="str">
        <f ca="1">IFERROR(__xludf.DUMMYFUNCTION("""COMPUTED_VALUE"""),"Диагностика по току утечки по поверхности ввода НН, фаза B")</f>
        <v>Диагностика по току утечки по поверхности ввода НН, фаза B</v>
      </c>
    </row>
    <row r="1071" spans="1:2" ht="15.75" customHeight="1" x14ac:dyDescent="0.25">
      <c r="A1071" s="13" t="str">
        <f ca="1">IFERROR(__xludf.DUMMYFUNCTION("""COMPUTED_VALUE"""),"diag_bush_i_creepage_pb_mv")</f>
        <v>diag_bush_i_creepage_pb_mv</v>
      </c>
      <c r="B1071" s="13" t="str">
        <f ca="1">IFERROR(__xludf.DUMMYFUNCTION("""COMPUTED_VALUE"""),"Диагностика по току утечки по поверхности ввода СН, фаза B")</f>
        <v>Диагностика по току утечки по поверхности ввода СН, фаза B</v>
      </c>
    </row>
    <row r="1072" spans="1:2" ht="15.75" customHeight="1" x14ac:dyDescent="0.25">
      <c r="A1072" s="13" t="str">
        <f ca="1">IFERROR(__xludf.DUMMYFUNCTION("""COMPUTED_VALUE"""),"diag_bush_i_creepage_pc_hv")</f>
        <v>diag_bush_i_creepage_pc_hv</v>
      </c>
      <c r="B1072" s="13" t="str">
        <f ca="1">IFERROR(__xludf.DUMMYFUNCTION("""COMPUTED_VALUE"""),"Диагностика по току утечки по поверхности ввода ВН, фаза C")</f>
        <v>Диагностика по току утечки по поверхности ввода ВН, фаза C</v>
      </c>
    </row>
    <row r="1073" spans="1:2" ht="15.75" customHeight="1" x14ac:dyDescent="0.25">
      <c r="A1073" s="13" t="str">
        <f ca="1">IFERROR(__xludf.DUMMYFUNCTION("""COMPUTED_VALUE"""),"diag_bush_i_creepage_pc_lv")</f>
        <v>diag_bush_i_creepage_pc_lv</v>
      </c>
      <c r="B1073" s="13" t="str">
        <f ca="1">IFERROR(__xludf.DUMMYFUNCTION("""COMPUTED_VALUE"""),"Диагностика по току утечки по поверхности ввода НН, фаза C")</f>
        <v>Диагностика по току утечки по поверхности ввода НН, фаза C</v>
      </c>
    </row>
    <row r="1074" spans="1:2" ht="15.75" customHeight="1" x14ac:dyDescent="0.25">
      <c r="A1074" s="13" t="str">
        <f ca="1">IFERROR(__xludf.DUMMYFUNCTION("""COMPUTED_VALUE"""),"diag_bush_i_creepage_pc_mv")</f>
        <v>diag_bush_i_creepage_pc_mv</v>
      </c>
      <c r="B1074" s="13" t="str">
        <f ca="1">IFERROR(__xludf.DUMMYFUNCTION("""COMPUTED_VALUE"""),"Диагностика по току утечки по поверхности ввода СН, фаза C")</f>
        <v>Диагностика по току утечки по поверхности ввода СН, фаза C</v>
      </c>
    </row>
    <row r="1075" spans="1:2" ht="15.75" customHeight="1" x14ac:dyDescent="0.25">
      <c r="A1075" s="13" t="str">
        <f ca="1">IFERROR(__xludf.DUMMYFUNCTION("""COMPUTED_VALUE"""),"diag_bush_i_leakage_hv_pa")</f>
        <v>diag_bush_i_leakage_hv_pa</v>
      </c>
      <c r="B1075" s="13" t="str">
        <f ca="1">IFERROR(__xludf.DUMMYFUNCTION("""COMPUTED_VALUE"""),"Диагностика по току утечки через основную изоляцию ввода ВН, фаза A")</f>
        <v>Диагностика по току утечки через основную изоляцию ввода ВН, фаза A</v>
      </c>
    </row>
    <row r="1076" spans="1:2" ht="15.75" customHeight="1" x14ac:dyDescent="0.25">
      <c r="A1076" s="13" t="str">
        <f ca="1">IFERROR(__xludf.DUMMYFUNCTION("""COMPUTED_VALUE"""),"diag_bush_i_leakage_hv_pb")</f>
        <v>diag_bush_i_leakage_hv_pb</v>
      </c>
      <c r="B1076" s="13" t="str">
        <f ca="1">IFERROR(__xludf.DUMMYFUNCTION("""COMPUTED_VALUE"""),"Диагностика по току утечки через основную изоляцию ввода ВН, фаза B")</f>
        <v>Диагностика по току утечки через основную изоляцию ввода ВН, фаза B</v>
      </c>
    </row>
    <row r="1077" spans="1:2" ht="15.75" customHeight="1" x14ac:dyDescent="0.25">
      <c r="A1077" s="13" t="str">
        <f ca="1">IFERROR(__xludf.DUMMYFUNCTION("""COMPUTED_VALUE"""),"diag_bush_i_leakage_hv_pc")</f>
        <v>diag_bush_i_leakage_hv_pc</v>
      </c>
      <c r="B1077" s="13" t="str">
        <f ca="1">IFERROR(__xludf.DUMMYFUNCTION("""COMPUTED_VALUE"""),"Диагностика по току утечки через основную изоляцию ввода ВН, фаза C")</f>
        <v>Диагностика по току утечки через основную изоляцию ввода ВН, фаза C</v>
      </c>
    </row>
    <row r="1078" spans="1:2" ht="15.75" customHeight="1" x14ac:dyDescent="0.25">
      <c r="A1078" s="13" t="str">
        <f ca="1">IFERROR(__xludf.DUMMYFUNCTION("""COMPUTED_VALUE"""),"diag_bush_i_leakage_lv_pa")</f>
        <v>diag_bush_i_leakage_lv_pa</v>
      </c>
      <c r="B1078" s="13" t="str">
        <f ca="1">IFERROR(__xludf.DUMMYFUNCTION("""COMPUTED_VALUE"""),"Диагностика по току утечки через основную изоляцию ввода НН, фаза A")</f>
        <v>Диагностика по току утечки через основную изоляцию ввода НН, фаза A</v>
      </c>
    </row>
    <row r="1079" spans="1:2" ht="15.75" customHeight="1" x14ac:dyDescent="0.25">
      <c r="A1079" s="13" t="str">
        <f ca="1">IFERROR(__xludf.DUMMYFUNCTION("""COMPUTED_VALUE"""),"diag_bush_i_leakage_lv_pb")</f>
        <v>diag_bush_i_leakage_lv_pb</v>
      </c>
      <c r="B1079" s="13" t="str">
        <f ca="1">IFERROR(__xludf.DUMMYFUNCTION("""COMPUTED_VALUE"""),"Диагностика по току утечки через основную изоляцию ввода НН, фаза B")</f>
        <v>Диагностика по току утечки через основную изоляцию ввода НН, фаза B</v>
      </c>
    </row>
    <row r="1080" spans="1:2" ht="15.75" customHeight="1" x14ac:dyDescent="0.25">
      <c r="A1080" s="13" t="str">
        <f ca="1">IFERROR(__xludf.DUMMYFUNCTION("""COMPUTED_VALUE"""),"diag_bush_i_leakage_lv_pc")</f>
        <v>diag_bush_i_leakage_lv_pc</v>
      </c>
      <c r="B1080" s="13" t="str">
        <f ca="1">IFERROR(__xludf.DUMMYFUNCTION("""COMPUTED_VALUE"""),"Диагностика по току утечки через основную изоляцию ввода НН, фаза C")</f>
        <v>Диагностика по току утечки через основную изоляцию ввода НН, фаза C</v>
      </c>
    </row>
    <row r="1081" spans="1:2" ht="15.75" customHeight="1" x14ac:dyDescent="0.25">
      <c r="A1081" s="13" t="str">
        <f ca="1">IFERROR(__xludf.DUMMYFUNCTION("""COMPUTED_VALUE"""),"diag_bush_i_leakage_mv_pa")</f>
        <v>diag_bush_i_leakage_mv_pa</v>
      </c>
      <c r="B1081" s="13" t="str">
        <f ca="1">IFERROR(__xludf.DUMMYFUNCTION("""COMPUTED_VALUE"""),"Диагностика по току утечки через основную изоляцию ввода СН, фаза A")</f>
        <v>Диагностика по току утечки через основную изоляцию ввода СН, фаза A</v>
      </c>
    </row>
    <row r="1082" spans="1:2" ht="15.75" customHeight="1" x14ac:dyDescent="0.25">
      <c r="A1082" s="13" t="str">
        <f ca="1">IFERROR(__xludf.DUMMYFUNCTION("""COMPUTED_VALUE"""),"diag_bush_i_leakage_mv_pb")</f>
        <v>diag_bush_i_leakage_mv_pb</v>
      </c>
      <c r="B1082" s="13" t="str">
        <f ca="1">IFERROR(__xludf.DUMMYFUNCTION("""COMPUTED_VALUE"""),"Диагностика по току утечки через основную изоляцию ввода СН, фаза B")</f>
        <v>Диагностика по току утечки через основную изоляцию ввода СН, фаза B</v>
      </c>
    </row>
    <row r="1083" spans="1:2" ht="15.75" customHeight="1" x14ac:dyDescent="0.25">
      <c r="A1083" s="13" t="str">
        <f ca="1">IFERROR(__xludf.DUMMYFUNCTION("""COMPUTED_VALUE"""),"diag_bush_i_leakage_mv_pc")</f>
        <v>diag_bush_i_leakage_mv_pc</v>
      </c>
      <c r="B1083" s="13" t="str">
        <f ca="1">IFERROR(__xludf.DUMMYFUNCTION("""COMPUTED_VALUE"""),"Диагностика по току утечки через основную изоляцию ввода СН, фаза C")</f>
        <v>Диагностика по току утечки через основную изоляцию ввода СН, фаза C</v>
      </c>
    </row>
    <row r="1084" spans="1:2" ht="15.75" customHeight="1" x14ac:dyDescent="0.25">
      <c r="A1084" s="13" t="str">
        <f ca="1">IFERROR(__xludf.DUMMYFUNCTION("""COMPUTED_VALUE"""),"diag_bush_pd_level_pa_hv")</f>
        <v>diag_bush_pd_level_pa_hv</v>
      </c>
      <c r="B1084" s="13" t="str">
        <f ca="1">IFERROR(__xludf.DUMMYFUNCTION("""COMPUTED_VALUE"""),"Диагностика по активности ЧР ввода ВН, фаза A")</f>
        <v>Диагностика по активности ЧР ввода ВН, фаза A</v>
      </c>
    </row>
    <row r="1085" spans="1:2" ht="15.75" customHeight="1" x14ac:dyDescent="0.25">
      <c r="A1085" s="13" t="str">
        <f ca="1">IFERROR(__xludf.DUMMYFUNCTION("""COMPUTED_VALUE"""),"diag_bush_pd_level_pa_lv")</f>
        <v>diag_bush_pd_level_pa_lv</v>
      </c>
      <c r="B1085" s="13" t="str">
        <f ca="1">IFERROR(__xludf.DUMMYFUNCTION("""COMPUTED_VALUE"""),"Диагностика по активности ЧР ввода НН, фаза A")</f>
        <v>Диагностика по активности ЧР ввода НН, фаза A</v>
      </c>
    </row>
    <row r="1086" spans="1:2" ht="15.75" customHeight="1" x14ac:dyDescent="0.25">
      <c r="A1086" s="13" t="str">
        <f ca="1">IFERROR(__xludf.DUMMYFUNCTION("""COMPUTED_VALUE"""),"diag_bush_pd_level_pa_mv")</f>
        <v>diag_bush_pd_level_pa_mv</v>
      </c>
      <c r="B1086" s="13" t="str">
        <f ca="1">IFERROR(__xludf.DUMMYFUNCTION("""COMPUTED_VALUE"""),"Диагностика по активности ЧР ввода СН, фаза A")</f>
        <v>Диагностика по активности ЧР ввода СН, фаза A</v>
      </c>
    </row>
    <row r="1087" spans="1:2" ht="15.75" customHeight="1" x14ac:dyDescent="0.25">
      <c r="A1087" s="13" t="str">
        <f ca="1">IFERROR(__xludf.DUMMYFUNCTION("""COMPUTED_VALUE"""),"diag_bush_pd_level_pb_hv")</f>
        <v>diag_bush_pd_level_pb_hv</v>
      </c>
      <c r="B1087" s="13" t="str">
        <f ca="1">IFERROR(__xludf.DUMMYFUNCTION("""COMPUTED_VALUE"""),"Диагностика по активности ЧР ввода ВН, фаза B")</f>
        <v>Диагностика по активности ЧР ввода ВН, фаза B</v>
      </c>
    </row>
    <row r="1088" spans="1:2" ht="15.75" customHeight="1" x14ac:dyDescent="0.25">
      <c r="A1088" s="13" t="str">
        <f ca="1">IFERROR(__xludf.DUMMYFUNCTION("""COMPUTED_VALUE"""),"diag_bush_pd_level_pb_lv")</f>
        <v>diag_bush_pd_level_pb_lv</v>
      </c>
      <c r="B1088" s="13" t="str">
        <f ca="1">IFERROR(__xludf.DUMMYFUNCTION("""COMPUTED_VALUE"""),"Диагностика по активности ЧР ввода НН, фаза B")</f>
        <v>Диагностика по активности ЧР ввода НН, фаза B</v>
      </c>
    </row>
    <row r="1089" spans="1:2" ht="15.75" customHeight="1" x14ac:dyDescent="0.25">
      <c r="A1089" s="13" t="str">
        <f ca="1">IFERROR(__xludf.DUMMYFUNCTION("""COMPUTED_VALUE"""),"diag_bush_pd_level_pb_mv")</f>
        <v>diag_bush_pd_level_pb_mv</v>
      </c>
      <c r="B1089" s="13" t="str">
        <f ca="1">IFERROR(__xludf.DUMMYFUNCTION("""COMPUTED_VALUE"""),"Диагностика по активности ЧР ввода СН, фаза B")</f>
        <v>Диагностика по активности ЧР ввода СН, фаза B</v>
      </c>
    </row>
    <row r="1090" spans="1:2" ht="15.75" customHeight="1" x14ac:dyDescent="0.25">
      <c r="A1090" s="13" t="str">
        <f ca="1">IFERROR(__xludf.DUMMYFUNCTION("""COMPUTED_VALUE"""),"diag_bush_pd_level_pc_hv")</f>
        <v>diag_bush_pd_level_pc_hv</v>
      </c>
      <c r="B1090" s="13" t="str">
        <f ca="1">IFERROR(__xludf.DUMMYFUNCTION("""COMPUTED_VALUE"""),"Диагностика по активности ЧР ввода ВН, фаза C")</f>
        <v>Диагностика по активности ЧР ввода ВН, фаза C</v>
      </c>
    </row>
    <row r="1091" spans="1:2" ht="15.75" customHeight="1" x14ac:dyDescent="0.25">
      <c r="A1091" s="13" t="str">
        <f ca="1">IFERROR(__xludf.DUMMYFUNCTION("""COMPUTED_VALUE"""),"diag_bush_pd_level_pc_lv")</f>
        <v>diag_bush_pd_level_pc_lv</v>
      </c>
      <c r="B1091" s="13" t="str">
        <f ca="1">IFERROR(__xludf.DUMMYFUNCTION("""COMPUTED_VALUE"""),"Диагностика по активности ЧР ввода НН, фаза C")</f>
        <v>Диагностика по активности ЧР ввода НН, фаза C</v>
      </c>
    </row>
    <row r="1092" spans="1:2" ht="15.75" customHeight="1" x14ac:dyDescent="0.25">
      <c r="A1092" s="13" t="str">
        <f ca="1">IFERROR(__xludf.DUMMYFUNCTION("""COMPUTED_VALUE"""),"diag_bush_pd_level_pc_mv")</f>
        <v>diag_bush_pd_level_pc_mv</v>
      </c>
      <c r="B1092" s="13" t="str">
        <f ca="1">IFERROR(__xludf.DUMMYFUNCTION("""COMPUTED_VALUE"""),"Диагностика по активности ЧР ввода СН, фаза C")</f>
        <v>Диагностика по активности ЧР ввода СН, фаза C</v>
      </c>
    </row>
    <row r="1093" spans="1:2" ht="15.75" customHeight="1" x14ac:dyDescent="0.25">
      <c r="A1093" s="13" t="str">
        <f ca="1">IFERROR(__xludf.DUMMYFUNCTION("""COMPUTED_VALUE"""),"diag_bush_pres")</f>
        <v>diag_bush_pres</v>
      </c>
      <c r="B1093" s="13" t="str">
        <f ca="1">IFERROR(__xludf.DUMMYFUNCTION("""COMPUTED_VALUE"""),"Диагностика по давлению во вводах")</f>
        <v>Диагностика по давлению во вводах</v>
      </c>
    </row>
    <row r="1094" spans="1:2" ht="15.75" customHeight="1" x14ac:dyDescent="0.25">
      <c r="A1094" s="13" t="str">
        <f ca="1">IFERROR(__xludf.DUMMYFUNCTION("""COMPUTED_VALUE"""),"diag_bush_tgd_pa_hv")</f>
        <v>diag_bush_tgd_pa_hv</v>
      </c>
      <c r="B1094" s="13" t="str">
        <f ca="1">IFERROR(__xludf.DUMMYFUNCTION("""COMPUTED_VALUE"""),"Диагностика по тангенсу дельта, ввод ВН, фаза A")</f>
        <v>Диагностика по тангенсу дельта, ввод ВН, фаза A</v>
      </c>
    </row>
    <row r="1095" spans="1:2" ht="15.75" customHeight="1" x14ac:dyDescent="0.25">
      <c r="A1095" s="13" t="str">
        <f ca="1">IFERROR(__xludf.DUMMYFUNCTION("""COMPUTED_VALUE"""),"diag_bush_tgd_pa_lv")</f>
        <v>diag_bush_tgd_pa_lv</v>
      </c>
      <c r="B1095" s="13" t="str">
        <f ca="1">IFERROR(__xludf.DUMMYFUNCTION("""COMPUTED_VALUE"""),"Диагностика по тангенсу дельта, ввод НН, фаза A")</f>
        <v>Диагностика по тангенсу дельта, ввод НН, фаза A</v>
      </c>
    </row>
    <row r="1096" spans="1:2" ht="15.75" customHeight="1" x14ac:dyDescent="0.25">
      <c r="A1096" s="13" t="str">
        <f ca="1">IFERROR(__xludf.DUMMYFUNCTION("""COMPUTED_VALUE"""),"diag_bush_tgd_pa_mv")</f>
        <v>diag_bush_tgd_pa_mv</v>
      </c>
      <c r="B1096" s="13" t="str">
        <f ca="1">IFERROR(__xludf.DUMMYFUNCTION("""COMPUTED_VALUE"""),"Диагностика по тангенсу дельта, ввод СН, фаза A")</f>
        <v>Диагностика по тангенсу дельта, ввод СН, фаза A</v>
      </c>
    </row>
    <row r="1097" spans="1:2" ht="15.75" customHeight="1" x14ac:dyDescent="0.25">
      <c r="A1097" s="13" t="str">
        <f ca="1">IFERROR(__xludf.DUMMYFUNCTION("""COMPUTED_VALUE"""),"diag_bush_tgd_pb_hv")</f>
        <v>diag_bush_tgd_pb_hv</v>
      </c>
      <c r="B1097" s="13" t="str">
        <f ca="1">IFERROR(__xludf.DUMMYFUNCTION("""COMPUTED_VALUE"""),"Диагностика по тангенсу дельта, ввод ВН, фаза B")</f>
        <v>Диагностика по тангенсу дельта, ввод ВН, фаза B</v>
      </c>
    </row>
    <row r="1098" spans="1:2" ht="15.75" customHeight="1" x14ac:dyDescent="0.25">
      <c r="A1098" s="13" t="str">
        <f ca="1">IFERROR(__xludf.DUMMYFUNCTION("""COMPUTED_VALUE"""),"diag_bush_tgd_pb_lv")</f>
        <v>diag_bush_tgd_pb_lv</v>
      </c>
      <c r="B1098" s="13" t="str">
        <f ca="1">IFERROR(__xludf.DUMMYFUNCTION("""COMPUTED_VALUE"""),"Диагностика по тангенсу дельта, ввод НН, фаза B")</f>
        <v>Диагностика по тангенсу дельта, ввод НН, фаза B</v>
      </c>
    </row>
    <row r="1099" spans="1:2" ht="15.75" customHeight="1" x14ac:dyDescent="0.25">
      <c r="A1099" s="13" t="str">
        <f ca="1">IFERROR(__xludf.DUMMYFUNCTION("""COMPUTED_VALUE"""),"diag_bush_tgd_pb_mv")</f>
        <v>diag_bush_tgd_pb_mv</v>
      </c>
      <c r="B1099" s="13" t="str">
        <f ca="1">IFERROR(__xludf.DUMMYFUNCTION("""COMPUTED_VALUE"""),"Диагностика по тангенсу дельта, ввод СН, фаза B")</f>
        <v>Диагностика по тангенсу дельта, ввод СН, фаза B</v>
      </c>
    </row>
    <row r="1100" spans="1:2" ht="15.75" customHeight="1" x14ac:dyDescent="0.25">
      <c r="A1100" s="13" t="str">
        <f ca="1">IFERROR(__xludf.DUMMYFUNCTION("""COMPUTED_VALUE"""),"diag_bush_tgd_pc_hv")</f>
        <v>diag_bush_tgd_pc_hv</v>
      </c>
      <c r="B1100" s="13" t="str">
        <f ca="1">IFERROR(__xludf.DUMMYFUNCTION("""COMPUTED_VALUE"""),"Диагностика по тангенсу дельта, ввод ВН, фаза C")</f>
        <v>Диагностика по тангенсу дельта, ввод ВН, фаза C</v>
      </c>
    </row>
    <row r="1101" spans="1:2" ht="15.75" customHeight="1" x14ac:dyDescent="0.25">
      <c r="A1101" s="13" t="str">
        <f ca="1">IFERROR(__xludf.DUMMYFUNCTION("""COMPUTED_VALUE"""),"diag_bush_tgd_pc_lv")</f>
        <v>diag_bush_tgd_pc_lv</v>
      </c>
      <c r="B1101" s="13" t="str">
        <f ca="1">IFERROR(__xludf.DUMMYFUNCTION("""COMPUTED_VALUE"""),"Диагностика по тангенсу дельта, ввод НН, фаза C")</f>
        <v>Диагностика по тангенсу дельта, ввод НН, фаза C</v>
      </c>
    </row>
    <row r="1102" spans="1:2" ht="15.75" customHeight="1" x14ac:dyDescent="0.25">
      <c r="A1102" s="13" t="str">
        <f ca="1">IFERROR(__xludf.DUMMYFUNCTION("""COMPUTED_VALUE"""),"diag_bush_tgd_pc_mv")</f>
        <v>diag_bush_tgd_pc_mv</v>
      </c>
      <c r="B1102" s="13" t="str">
        <f ca="1">IFERROR(__xludf.DUMMYFUNCTION("""COMPUTED_VALUE"""),"Диагностика по тангенсу дельта, ввод СН, фаза C")</f>
        <v>Диагностика по тангенсу дельта, ввод СН, фаза C</v>
      </c>
    </row>
    <row r="1103" spans="1:2" ht="15.75" customHeight="1" x14ac:dyDescent="0.25">
      <c r="A1103" s="13" t="str">
        <f ca="1">IFERROR(__xludf.DUMMYFUNCTION("""COMPUTED_VALUE"""),"diag_c_c2h2")</f>
        <v>diag_c_c2h2</v>
      </c>
      <c r="B1103" s="13" t="str">
        <f ca="1">IFERROR(__xludf.DUMMYFUNCTION("""COMPUTED_VALUE"""),"Статус срабатывания уставки по концентрации ацетилена")</f>
        <v>Статус срабатывания уставки по концентрации ацетилена</v>
      </c>
    </row>
    <row r="1104" spans="1:2" ht="15.75" customHeight="1" x14ac:dyDescent="0.25">
      <c r="A1104" s="13" t="str">
        <f ca="1">IFERROR(__xludf.DUMMYFUNCTION("""COMPUTED_VALUE"""),"diag_c_c2h2_forecast")</f>
        <v>diag_c_c2h2_forecast</v>
      </c>
      <c r="B1104" s="13" t="str">
        <f ca="1">IFERROR(__xludf.DUMMYFUNCTION("""COMPUTED_VALUE"""),"Диагностика по прогнозным данным: ацетилен")</f>
        <v>Диагностика по прогнозным данным: ацетилен</v>
      </c>
    </row>
    <row r="1105" spans="1:2" ht="15.75" customHeight="1" x14ac:dyDescent="0.25">
      <c r="A1105" s="13" t="str">
        <f ca="1">IFERROR(__xludf.DUMMYFUNCTION("""COMPUTED_VALUE"""),"diag_c_c2h2_roc_abs_day")</f>
        <v>diag_c_c2h2_roc_abs_day</v>
      </c>
      <c r="B1105" s="13" t="str">
        <f ca="1">IFERROR(__xludf.DUMMYFUNCTION("""COMPUTED_VALUE"""),"Статус срабатывания уставок по скорости роста концентрации ацетилена абсолютного, сутки")</f>
        <v>Статус срабатывания уставок по скорости роста концентрации ацетилена абсолютного, сутки</v>
      </c>
    </row>
    <row r="1106" spans="1:2" ht="15.75" customHeight="1" x14ac:dyDescent="0.25">
      <c r="A1106" s="13" t="str">
        <f ca="1">IFERROR(__xludf.DUMMYFUNCTION("""COMPUTED_VALUE"""),"diag_c_c2h2_roc_abs_month")</f>
        <v>diag_c_c2h2_roc_abs_month</v>
      </c>
      <c r="B1106" s="13" t="str">
        <f ca="1">IFERROR(__xludf.DUMMYFUNCTION("""COMPUTED_VALUE"""),"Статус срабатывания уставок по скорости роста концентрации ацетилена абсолютного, месяц")</f>
        <v>Статус срабатывания уставок по скорости роста концентрации ацетилена абсолютного, месяц</v>
      </c>
    </row>
    <row r="1107" spans="1:2" ht="15.75" customHeight="1" x14ac:dyDescent="0.25">
      <c r="A1107" s="13" t="str">
        <f ca="1">IFERROR(__xludf.DUMMYFUNCTION("""COMPUTED_VALUE"""),"diag_c_c2h2_roc_abs_week")</f>
        <v>diag_c_c2h2_roc_abs_week</v>
      </c>
      <c r="B1107" s="13" t="str">
        <f ca="1">IFERROR(__xludf.DUMMYFUNCTION("""COMPUTED_VALUE"""),"Статус срабатывания уставок по скорости роста концентрации ацетилена абсолютного, неделя")</f>
        <v>Статус срабатывания уставок по скорости роста концентрации ацетилена абсолютного, неделя</v>
      </c>
    </row>
    <row r="1108" spans="1:2" ht="15.75" customHeight="1" x14ac:dyDescent="0.25">
      <c r="A1108" s="13" t="str">
        <f ca="1">IFERROR(__xludf.DUMMYFUNCTION("""COMPUTED_VALUE"""),"diag_c_c2h2_roc_abs_year")</f>
        <v>diag_c_c2h2_roc_abs_year</v>
      </c>
      <c r="B1108" s="13" t="str">
        <f ca="1">IFERROR(__xludf.DUMMYFUNCTION("""COMPUTED_VALUE"""),"Статус срабатывания уставок по скорости роста концентрации ацетилена абсолютного, год")</f>
        <v>Статус срабатывания уставок по скорости роста концентрации ацетилена абсолютного, год</v>
      </c>
    </row>
    <row r="1109" spans="1:2" ht="15.75" customHeight="1" x14ac:dyDescent="0.25">
      <c r="A1109" s="13" t="str">
        <f ca="1">IFERROR(__xludf.DUMMYFUNCTION("""COMPUTED_VALUE"""),"diag_c_c2h2_roc_day")</f>
        <v>diag_c_c2h2_roc_day</v>
      </c>
      <c r="B1109" s="13" t="str">
        <f ca="1">IFERROR(__xludf.DUMMYFUNCTION("""COMPUTED_VALUE"""),"Статус срабатывания уставок по скорости роста концентрации ацетилена, сутки")</f>
        <v>Статус срабатывания уставок по скорости роста концентрации ацетилена, сутки</v>
      </c>
    </row>
    <row r="1110" spans="1:2" ht="15.75" customHeight="1" x14ac:dyDescent="0.25">
      <c r="A1110" s="13" t="str">
        <f ca="1">IFERROR(__xludf.DUMMYFUNCTION("""COMPUTED_VALUE"""),"diag_c_c2h2_roc_month")</f>
        <v>diag_c_c2h2_roc_month</v>
      </c>
      <c r="B1110" s="13" t="str">
        <f ca="1">IFERROR(__xludf.DUMMYFUNCTION("""COMPUTED_VALUE"""),"Статус срабатывания уставок по скорости роста концентрации ацетилена, месяц")</f>
        <v>Статус срабатывания уставок по скорости роста концентрации ацетилена, месяц</v>
      </c>
    </row>
    <row r="1111" spans="1:2" ht="15.75" customHeight="1" x14ac:dyDescent="0.25">
      <c r="A1111" s="13" t="str">
        <f ca="1">IFERROR(__xludf.DUMMYFUNCTION("""COMPUTED_VALUE"""),"diag_c_c2h2_roc_rel_day")</f>
        <v>diag_c_c2h2_roc_rel_day</v>
      </c>
      <c r="B1111" s="13" t="str">
        <f ca="1">IFERROR(__xludf.DUMMYFUNCTION("""COMPUTED_VALUE"""),"Статус срабатывания уставок по скорости роста концентрации ацетилена относительного, сутки")</f>
        <v>Статус срабатывания уставок по скорости роста концентрации ацетилена относительного, сутки</v>
      </c>
    </row>
    <row r="1112" spans="1:2" ht="15.75" customHeight="1" x14ac:dyDescent="0.25">
      <c r="A1112" s="13" t="str">
        <f ca="1">IFERROR(__xludf.DUMMYFUNCTION("""COMPUTED_VALUE"""),"diag_c_c2h2_roc_rel_month")</f>
        <v>diag_c_c2h2_roc_rel_month</v>
      </c>
      <c r="B1112" s="13" t="str">
        <f ca="1">IFERROR(__xludf.DUMMYFUNCTION("""COMPUTED_VALUE"""),"Статус срабатывания уставок по скорости роста концентрации ацетилена относительного, месяц")</f>
        <v>Статус срабатывания уставок по скорости роста концентрации ацетилена относительного, месяц</v>
      </c>
    </row>
    <row r="1113" spans="1:2" ht="15.75" customHeight="1" x14ac:dyDescent="0.25">
      <c r="A1113" s="13" t="str">
        <f ca="1">IFERROR(__xludf.DUMMYFUNCTION("""COMPUTED_VALUE"""),"diag_c_c2h2_roc_rel_week")</f>
        <v>diag_c_c2h2_roc_rel_week</v>
      </c>
      <c r="B1113" s="13" t="str">
        <f ca="1">IFERROR(__xludf.DUMMYFUNCTION("""COMPUTED_VALUE"""),"Статус срабатывания уставок по скорости роста концентрации ацетилена относительного, неделя")</f>
        <v>Статус срабатывания уставок по скорости роста концентрации ацетилена относительного, неделя</v>
      </c>
    </row>
    <row r="1114" spans="1:2" ht="15.75" customHeight="1" x14ac:dyDescent="0.25">
      <c r="A1114" s="13" t="str">
        <f ca="1">IFERROR(__xludf.DUMMYFUNCTION("""COMPUTED_VALUE"""),"diag_c_c2h2_roc_rel_year")</f>
        <v>diag_c_c2h2_roc_rel_year</v>
      </c>
      <c r="B1114" s="13" t="str">
        <f ca="1">IFERROR(__xludf.DUMMYFUNCTION("""COMPUTED_VALUE"""),"Статус срабатывания уставок по скорости роста концентрации ацетилена относительного, год")</f>
        <v>Статус срабатывания уставок по скорости роста концентрации ацетилена относительного, год</v>
      </c>
    </row>
    <row r="1115" spans="1:2" ht="15.75" customHeight="1" x14ac:dyDescent="0.25">
      <c r="A1115" s="13" t="str">
        <f ca="1">IFERROR(__xludf.DUMMYFUNCTION("""COMPUTED_VALUE"""),"diag_c_c2h2_roc_week")</f>
        <v>diag_c_c2h2_roc_week</v>
      </c>
      <c r="B1115" s="13" t="str">
        <f ca="1">IFERROR(__xludf.DUMMYFUNCTION("""COMPUTED_VALUE"""),"Статус срабатывания уставок по скорости роста концентрации ацетилена, неделя")</f>
        <v>Статус срабатывания уставок по скорости роста концентрации ацетилена, неделя</v>
      </c>
    </row>
    <row r="1116" spans="1:2" ht="15.75" customHeight="1" x14ac:dyDescent="0.25">
      <c r="A1116" s="13" t="str">
        <f ca="1">IFERROR(__xludf.DUMMYFUNCTION("""COMPUTED_VALUE"""),"diag_c_c2h2_roc_year")</f>
        <v>diag_c_c2h2_roc_year</v>
      </c>
      <c r="B1116" s="13" t="str">
        <f ca="1">IFERROR(__xludf.DUMMYFUNCTION("""COMPUTED_VALUE"""),"Статус срабатывания уставок по скорости роста концентрации ацетилена, год")</f>
        <v>Статус срабатывания уставок по скорости роста концентрации ацетилена, год</v>
      </c>
    </row>
    <row r="1117" spans="1:2" ht="15.75" customHeight="1" x14ac:dyDescent="0.25">
      <c r="A1117" s="13" t="str">
        <f ca="1">IFERROR(__xludf.DUMMYFUNCTION("""COMPUTED_VALUE"""),"diag_c_c2h4")</f>
        <v>diag_c_c2h4</v>
      </c>
      <c r="B1117" s="13" t="str">
        <f ca="1">IFERROR(__xludf.DUMMYFUNCTION("""COMPUTED_VALUE"""),"Статус срабатывания уставки по концентрации этилена")</f>
        <v>Статус срабатывания уставки по концентрации этилена</v>
      </c>
    </row>
    <row r="1118" spans="1:2" ht="15.75" customHeight="1" x14ac:dyDescent="0.25">
      <c r="A1118" s="13" t="str">
        <f ca="1">IFERROR(__xludf.DUMMYFUNCTION("""COMPUTED_VALUE"""),"diag_c_c2h4_forecast")</f>
        <v>diag_c_c2h4_forecast</v>
      </c>
      <c r="B1118" s="13" t="str">
        <f ca="1">IFERROR(__xludf.DUMMYFUNCTION("""COMPUTED_VALUE"""),"Диагностика по прогнозным данным: этилен")</f>
        <v>Диагностика по прогнозным данным: этилен</v>
      </c>
    </row>
    <row r="1119" spans="1:2" ht="15.75" customHeight="1" x14ac:dyDescent="0.25">
      <c r="A1119" s="13" t="str">
        <f ca="1">IFERROR(__xludf.DUMMYFUNCTION("""COMPUTED_VALUE"""),"diag_c_c2h4_roc_abs_day")</f>
        <v>diag_c_c2h4_roc_abs_day</v>
      </c>
      <c r="B1119" s="13" t="str">
        <f ca="1">IFERROR(__xludf.DUMMYFUNCTION("""COMPUTED_VALUE"""),"Статус срабатывания уставок по скорости роста концентрации этилена абсолютного, сутки")</f>
        <v>Статус срабатывания уставок по скорости роста концентрации этилена абсолютного, сутки</v>
      </c>
    </row>
    <row r="1120" spans="1:2" ht="15.75" customHeight="1" x14ac:dyDescent="0.25">
      <c r="A1120" s="13" t="str">
        <f ca="1">IFERROR(__xludf.DUMMYFUNCTION("""COMPUTED_VALUE"""),"diag_c_c2h4_roc_abs_month")</f>
        <v>diag_c_c2h4_roc_abs_month</v>
      </c>
      <c r="B1120" s="13" t="str">
        <f ca="1">IFERROR(__xludf.DUMMYFUNCTION("""COMPUTED_VALUE"""),"Статус срабатывания уставок по скорости роста концентрации этилена абсолютного, месяц")</f>
        <v>Статус срабатывания уставок по скорости роста концентрации этилена абсолютного, месяц</v>
      </c>
    </row>
    <row r="1121" spans="1:2" ht="15.75" customHeight="1" x14ac:dyDescent="0.25">
      <c r="A1121" s="13" t="str">
        <f ca="1">IFERROR(__xludf.DUMMYFUNCTION("""COMPUTED_VALUE"""),"diag_c_c2h4_roc_abs_week")</f>
        <v>diag_c_c2h4_roc_abs_week</v>
      </c>
      <c r="B1121" s="13" t="str">
        <f ca="1">IFERROR(__xludf.DUMMYFUNCTION("""COMPUTED_VALUE"""),"Статус срабатывания уставок по скорости роста концентрации этилена абсолютного, неделя")</f>
        <v>Статус срабатывания уставок по скорости роста концентрации этилена абсолютного, неделя</v>
      </c>
    </row>
    <row r="1122" spans="1:2" ht="15.75" customHeight="1" x14ac:dyDescent="0.25">
      <c r="A1122" s="13" t="str">
        <f ca="1">IFERROR(__xludf.DUMMYFUNCTION("""COMPUTED_VALUE"""),"diag_c_c2h4_roc_abs_year")</f>
        <v>diag_c_c2h4_roc_abs_year</v>
      </c>
      <c r="B1122" s="13" t="str">
        <f ca="1">IFERROR(__xludf.DUMMYFUNCTION("""COMPUTED_VALUE"""),"Статус срабатывания уставок по скорости роста концентрации этилена абсолютного, год")</f>
        <v>Статус срабатывания уставок по скорости роста концентрации этилена абсолютного, год</v>
      </c>
    </row>
    <row r="1123" spans="1:2" ht="15.75" customHeight="1" x14ac:dyDescent="0.25">
      <c r="A1123" s="13" t="str">
        <f ca="1">IFERROR(__xludf.DUMMYFUNCTION("""COMPUTED_VALUE"""),"diag_c_c2h4_roc_day")</f>
        <v>diag_c_c2h4_roc_day</v>
      </c>
      <c r="B1123" s="13" t="str">
        <f ca="1">IFERROR(__xludf.DUMMYFUNCTION("""COMPUTED_VALUE"""),"Статус срабатывания уставок по скорости роста концентрации этилена, сутки")</f>
        <v>Статус срабатывания уставок по скорости роста концентрации этилена, сутки</v>
      </c>
    </row>
    <row r="1124" spans="1:2" ht="15.75" customHeight="1" x14ac:dyDescent="0.25">
      <c r="A1124" s="13" t="str">
        <f ca="1">IFERROR(__xludf.DUMMYFUNCTION("""COMPUTED_VALUE"""),"diag_c_c2h4_roc_month")</f>
        <v>diag_c_c2h4_roc_month</v>
      </c>
      <c r="B1124" s="13" t="str">
        <f ca="1">IFERROR(__xludf.DUMMYFUNCTION("""COMPUTED_VALUE"""),"Статус срабатывания уставок по скорости роста концентрации этилена, месяц")</f>
        <v>Статус срабатывания уставок по скорости роста концентрации этилена, месяц</v>
      </c>
    </row>
    <row r="1125" spans="1:2" ht="15.75" customHeight="1" x14ac:dyDescent="0.25">
      <c r="A1125" s="13" t="str">
        <f ca="1">IFERROR(__xludf.DUMMYFUNCTION("""COMPUTED_VALUE"""),"diag_c_c2h4_roc_rel_day")</f>
        <v>diag_c_c2h4_roc_rel_day</v>
      </c>
      <c r="B1125" s="13" t="str">
        <f ca="1">IFERROR(__xludf.DUMMYFUNCTION("""COMPUTED_VALUE"""),"Статус срабатывания уставок по скорости роста концентрации этилена относительного, сутки")</f>
        <v>Статус срабатывания уставок по скорости роста концентрации этилена относительного, сутки</v>
      </c>
    </row>
    <row r="1126" spans="1:2" ht="15.75" customHeight="1" x14ac:dyDescent="0.25">
      <c r="A1126" s="13" t="str">
        <f ca="1">IFERROR(__xludf.DUMMYFUNCTION("""COMPUTED_VALUE"""),"diag_c_c2h4_roc_rel_month")</f>
        <v>diag_c_c2h4_roc_rel_month</v>
      </c>
      <c r="B1126" s="13" t="str">
        <f ca="1">IFERROR(__xludf.DUMMYFUNCTION("""COMPUTED_VALUE"""),"Статус срабатывания уставок по скорости роста концентрации этилена относительного, месяц")</f>
        <v>Статус срабатывания уставок по скорости роста концентрации этилена относительного, месяц</v>
      </c>
    </row>
    <row r="1127" spans="1:2" ht="15.75" customHeight="1" x14ac:dyDescent="0.25">
      <c r="A1127" s="13" t="str">
        <f ca="1">IFERROR(__xludf.DUMMYFUNCTION("""COMPUTED_VALUE"""),"diag_c_c2h4_roc_rel_week")</f>
        <v>diag_c_c2h4_roc_rel_week</v>
      </c>
      <c r="B1127" s="13" t="str">
        <f ca="1">IFERROR(__xludf.DUMMYFUNCTION("""COMPUTED_VALUE"""),"Статус срабатывания уставок по скорости роста концентрации этилена относительного, неделя")</f>
        <v>Статус срабатывания уставок по скорости роста концентрации этилена относительного, неделя</v>
      </c>
    </row>
    <row r="1128" spans="1:2" ht="15.75" customHeight="1" x14ac:dyDescent="0.25">
      <c r="A1128" s="13" t="str">
        <f ca="1">IFERROR(__xludf.DUMMYFUNCTION("""COMPUTED_VALUE"""),"diag_c_c2h4_roc_rel_year")</f>
        <v>diag_c_c2h4_roc_rel_year</v>
      </c>
      <c r="B1128" s="13" t="str">
        <f ca="1">IFERROR(__xludf.DUMMYFUNCTION("""COMPUTED_VALUE"""),"Статус срабатывания уставок по скорости роста концентрации этилена относительного, год")</f>
        <v>Статус срабатывания уставок по скорости роста концентрации этилена относительного, год</v>
      </c>
    </row>
    <row r="1129" spans="1:2" ht="15.75" customHeight="1" x14ac:dyDescent="0.25">
      <c r="A1129" s="13" t="str">
        <f ca="1">IFERROR(__xludf.DUMMYFUNCTION("""COMPUTED_VALUE"""),"diag_c_c2h4_roc_week")</f>
        <v>diag_c_c2h4_roc_week</v>
      </c>
      <c r="B1129" s="13" t="str">
        <f ca="1">IFERROR(__xludf.DUMMYFUNCTION("""COMPUTED_VALUE"""),"Статус срабатывания уставок по скорости роста концентрации этилена, неделя")</f>
        <v>Статус срабатывания уставок по скорости роста концентрации этилена, неделя</v>
      </c>
    </row>
    <row r="1130" spans="1:2" ht="15.75" customHeight="1" x14ac:dyDescent="0.25">
      <c r="A1130" s="13" t="str">
        <f ca="1">IFERROR(__xludf.DUMMYFUNCTION("""COMPUTED_VALUE"""),"diag_c_c2h4_roc_year")</f>
        <v>diag_c_c2h4_roc_year</v>
      </c>
      <c r="B1130" s="13" t="str">
        <f ca="1">IFERROR(__xludf.DUMMYFUNCTION("""COMPUTED_VALUE"""),"Статус срабатывания уставок по скорости роста концентрации этилена, год")</f>
        <v>Статус срабатывания уставок по скорости роста концентрации этилена, год</v>
      </c>
    </row>
    <row r="1131" spans="1:2" ht="15.75" customHeight="1" x14ac:dyDescent="0.25">
      <c r="A1131" s="13" t="str">
        <f ca="1">IFERROR(__xludf.DUMMYFUNCTION("""COMPUTED_VALUE"""),"diag_c_c2h6")</f>
        <v>diag_c_c2h6</v>
      </c>
      <c r="B1131" s="13" t="str">
        <f ca="1">IFERROR(__xludf.DUMMYFUNCTION("""COMPUTED_VALUE"""),"Статус срабатывания уставки по концентрации этана")</f>
        <v>Статус срабатывания уставки по концентрации этана</v>
      </c>
    </row>
    <row r="1132" spans="1:2" ht="15.75" customHeight="1" x14ac:dyDescent="0.25">
      <c r="A1132" s="13" t="str">
        <f ca="1">IFERROR(__xludf.DUMMYFUNCTION("""COMPUTED_VALUE"""),"diag_c_c2h6_forecast")</f>
        <v>diag_c_c2h6_forecast</v>
      </c>
      <c r="B1132" s="13" t="str">
        <f ca="1">IFERROR(__xludf.DUMMYFUNCTION("""COMPUTED_VALUE"""),"Диагностика по прогнозным данным: этан")</f>
        <v>Диагностика по прогнозным данным: этан</v>
      </c>
    </row>
    <row r="1133" spans="1:2" ht="15.75" customHeight="1" x14ac:dyDescent="0.25">
      <c r="A1133" s="13" t="str">
        <f ca="1">IFERROR(__xludf.DUMMYFUNCTION("""COMPUTED_VALUE"""),"diag_c_c2h6_roc_abs_day")</f>
        <v>diag_c_c2h6_roc_abs_day</v>
      </c>
      <c r="B1133" s="13" t="str">
        <f ca="1">IFERROR(__xludf.DUMMYFUNCTION("""COMPUTED_VALUE"""),"Статус срабатывания уставок по скорости роста концентрации этана абсолютного, сутки")</f>
        <v>Статус срабатывания уставок по скорости роста концентрации этана абсолютного, сутки</v>
      </c>
    </row>
    <row r="1134" spans="1:2" ht="15.75" customHeight="1" x14ac:dyDescent="0.25">
      <c r="A1134" s="13" t="str">
        <f ca="1">IFERROR(__xludf.DUMMYFUNCTION("""COMPUTED_VALUE"""),"diag_c_c2h6_roc_abs_month")</f>
        <v>diag_c_c2h6_roc_abs_month</v>
      </c>
      <c r="B1134" s="13" t="str">
        <f ca="1">IFERROR(__xludf.DUMMYFUNCTION("""COMPUTED_VALUE"""),"Статус срабатывания уставок по скорости роста концентрации этана абсолютного, месяц")</f>
        <v>Статус срабатывания уставок по скорости роста концентрации этана абсолютного, месяц</v>
      </c>
    </row>
    <row r="1135" spans="1:2" ht="15.75" customHeight="1" x14ac:dyDescent="0.25">
      <c r="A1135" s="13" t="str">
        <f ca="1">IFERROR(__xludf.DUMMYFUNCTION("""COMPUTED_VALUE"""),"diag_c_c2h6_roc_abs_week")</f>
        <v>diag_c_c2h6_roc_abs_week</v>
      </c>
      <c r="B1135" s="13" t="str">
        <f ca="1">IFERROR(__xludf.DUMMYFUNCTION("""COMPUTED_VALUE"""),"Статус срабатывания уставок по скорости роста концентрации этана абсолютного, неделя")</f>
        <v>Статус срабатывания уставок по скорости роста концентрации этана абсолютного, неделя</v>
      </c>
    </row>
    <row r="1136" spans="1:2" ht="15.75" customHeight="1" x14ac:dyDescent="0.25">
      <c r="A1136" s="13" t="str">
        <f ca="1">IFERROR(__xludf.DUMMYFUNCTION("""COMPUTED_VALUE"""),"diag_c_c2h6_roc_abs_year")</f>
        <v>diag_c_c2h6_roc_abs_year</v>
      </c>
      <c r="B1136" s="13" t="str">
        <f ca="1">IFERROR(__xludf.DUMMYFUNCTION("""COMPUTED_VALUE"""),"Статус срабатывания уставок по скорости роста концентрации этана абсолютного, год")</f>
        <v>Статус срабатывания уставок по скорости роста концентрации этана абсолютного, год</v>
      </c>
    </row>
    <row r="1137" spans="1:2" ht="15.75" customHeight="1" x14ac:dyDescent="0.25">
      <c r="A1137" s="13" t="str">
        <f ca="1">IFERROR(__xludf.DUMMYFUNCTION("""COMPUTED_VALUE"""),"diag_c_c2h6_roc_day")</f>
        <v>diag_c_c2h6_roc_day</v>
      </c>
      <c r="B1137" s="13" t="str">
        <f ca="1">IFERROR(__xludf.DUMMYFUNCTION("""COMPUTED_VALUE"""),"Статус срабатывания уставок по скорости роста концентрации этана, сутки")</f>
        <v>Статус срабатывания уставок по скорости роста концентрации этана, сутки</v>
      </c>
    </row>
    <row r="1138" spans="1:2" ht="15.75" customHeight="1" x14ac:dyDescent="0.25">
      <c r="A1138" s="13" t="str">
        <f ca="1">IFERROR(__xludf.DUMMYFUNCTION("""COMPUTED_VALUE"""),"diag_c_c2h6_roc_month")</f>
        <v>diag_c_c2h6_roc_month</v>
      </c>
      <c r="B1138" s="13" t="str">
        <f ca="1">IFERROR(__xludf.DUMMYFUNCTION("""COMPUTED_VALUE"""),"Статус срабатывания уставок по скорости роста концентрации этана, месяц")</f>
        <v>Статус срабатывания уставок по скорости роста концентрации этана, месяц</v>
      </c>
    </row>
    <row r="1139" spans="1:2" ht="15.75" customHeight="1" x14ac:dyDescent="0.25">
      <c r="A1139" s="13" t="str">
        <f ca="1">IFERROR(__xludf.DUMMYFUNCTION("""COMPUTED_VALUE"""),"diag_c_c2h6_roc_rel_day")</f>
        <v>diag_c_c2h6_roc_rel_day</v>
      </c>
      <c r="B1139" s="13" t="str">
        <f ca="1">IFERROR(__xludf.DUMMYFUNCTION("""COMPUTED_VALUE"""),"Статус срабатывания уставок по скорости роста концентрации этана относительного, сутки")</f>
        <v>Статус срабатывания уставок по скорости роста концентрации этана относительного, сутки</v>
      </c>
    </row>
    <row r="1140" spans="1:2" ht="15.75" customHeight="1" x14ac:dyDescent="0.25">
      <c r="A1140" s="13" t="str">
        <f ca="1">IFERROR(__xludf.DUMMYFUNCTION("""COMPUTED_VALUE"""),"diag_c_c2h6_roc_rel_month")</f>
        <v>diag_c_c2h6_roc_rel_month</v>
      </c>
      <c r="B1140" s="13" t="str">
        <f ca="1">IFERROR(__xludf.DUMMYFUNCTION("""COMPUTED_VALUE"""),"Статус срабатывания уставок по скорости роста концентрации этана относительного, месяц")</f>
        <v>Статус срабатывания уставок по скорости роста концентрации этана относительного, месяц</v>
      </c>
    </row>
    <row r="1141" spans="1:2" ht="15.75" customHeight="1" x14ac:dyDescent="0.25">
      <c r="A1141" s="13" t="str">
        <f ca="1">IFERROR(__xludf.DUMMYFUNCTION("""COMPUTED_VALUE"""),"diag_c_c2h6_roc_rel_week")</f>
        <v>diag_c_c2h6_roc_rel_week</v>
      </c>
      <c r="B1141" s="13" t="str">
        <f ca="1">IFERROR(__xludf.DUMMYFUNCTION("""COMPUTED_VALUE"""),"Статус срабатывания уставок по скорости роста концентрации этана относительного, неделя")</f>
        <v>Статус срабатывания уставок по скорости роста концентрации этана относительного, неделя</v>
      </c>
    </row>
    <row r="1142" spans="1:2" ht="15.75" customHeight="1" x14ac:dyDescent="0.25">
      <c r="A1142" s="13" t="str">
        <f ca="1">IFERROR(__xludf.DUMMYFUNCTION("""COMPUTED_VALUE"""),"diag_c_c2h6_roc_rel_year")</f>
        <v>diag_c_c2h6_roc_rel_year</v>
      </c>
      <c r="B1142" s="13" t="str">
        <f ca="1">IFERROR(__xludf.DUMMYFUNCTION("""COMPUTED_VALUE"""),"Статус срабатывания уставок по скорости роста концентрации этана относительного, год")</f>
        <v>Статус срабатывания уставок по скорости роста концентрации этана относительного, год</v>
      </c>
    </row>
    <row r="1143" spans="1:2" ht="15.75" customHeight="1" x14ac:dyDescent="0.25">
      <c r="A1143" s="13" t="str">
        <f ca="1">IFERROR(__xludf.DUMMYFUNCTION("""COMPUTED_VALUE"""),"diag_c_c2h6_roc_week")</f>
        <v>diag_c_c2h6_roc_week</v>
      </c>
      <c r="B1143" s="13" t="str">
        <f ca="1">IFERROR(__xludf.DUMMYFUNCTION("""COMPUTED_VALUE"""),"Статус срабатывания уставок по скорости роста концентрации этана, неделя")</f>
        <v>Статус срабатывания уставок по скорости роста концентрации этана, неделя</v>
      </c>
    </row>
    <row r="1144" spans="1:2" ht="15.75" customHeight="1" x14ac:dyDescent="0.25">
      <c r="A1144" s="13" t="str">
        <f ca="1">IFERROR(__xludf.DUMMYFUNCTION("""COMPUTED_VALUE"""),"diag_c_c2h6_roc_year")</f>
        <v>diag_c_c2h6_roc_year</v>
      </c>
      <c r="B1144" s="13" t="str">
        <f ca="1">IFERROR(__xludf.DUMMYFUNCTION("""COMPUTED_VALUE"""),"Статус срабатывания уставок по скорости роста концентрации этана, год")</f>
        <v>Статус срабатывания уставок по скорости роста концентрации этана, год</v>
      </c>
    </row>
    <row r="1145" spans="1:2" ht="15.75" customHeight="1" x14ac:dyDescent="0.25">
      <c r="A1145" s="13" t="str">
        <f ca="1">IFERROR(__xludf.DUMMYFUNCTION("""COMPUTED_VALUE"""),"diag_c_ch4")</f>
        <v>diag_c_ch4</v>
      </c>
      <c r="B1145" s="13" t="str">
        <f ca="1">IFERROR(__xludf.DUMMYFUNCTION("""COMPUTED_VALUE"""),"Статус срабатывания уставки по концентрации метана")</f>
        <v>Статус срабатывания уставки по концентрации метана</v>
      </c>
    </row>
    <row r="1146" spans="1:2" ht="15.75" customHeight="1" x14ac:dyDescent="0.25">
      <c r="A1146" s="13" t="str">
        <f ca="1">IFERROR(__xludf.DUMMYFUNCTION("""COMPUTED_VALUE"""),"diag_c_ch4_forecast")</f>
        <v>diag_c_ch4_forecast</v>
      </c>
      <c r="B1146" s="13" t="str">
        <f ca="1">IFERROR(__xludf.DUMMYFUNCTION("""COMPUTED_VALUE"""),"Диагностика по прогнозным данным: метан")</f>
        <v>Диагностика по прогнозным данным: метан</v>
      </c>
    </row>
    <row r="1147" spans="1:2" ht="15.75" customHeight="1" x14ac:dyDescent="0.25">
      <c r="A1147" s="13" t="str">
        <f ca="1">IFERROR(__xludf.DUMMYFUNCTION("""COMPUTED_VALUE"""),"diag_c_ch4_roc_abs_day")</f>
        <v>diag_c_ch4_roc_abs_day</v>
      </c>
      <c r="B1147" s="13" t="str">
        <f ca="1">IFERROR(__xludf.DUMMYFUNCTION("""COMPUTED_VALUE"""),"Статус срабатывания уставок по скорости роста концентрации метана абсолютного, сутки")</f>
        <v>Статус срабатывания уставок по скорости роста концентрации метана абсолютного, сутки</v>
      </c>
    </row>
    <row r="1148" spans="1:2" ht="15.75" customHeight="1" x14ac:dyDescent="0.25">
      <c r="A1148" s="13" t="str">
        <f ca="1">IFERROR(__xludf.DUMMYFUNCTION("""COMPUTED_VALUE"""),"diag_c_ch4_roc_abs_month")</f>
        <v>diag_c_ch4_roc_abs_month</v>
      </c>
      <c r="B1148" s="13" t="str">
        <f ca="1">IFERROR(__xludf.DUMMYFUNCTION("""COMPUTED_VALUE"""),"Статус срабатывания уставок по скорости роста концентрации метана абсолютного, месяц")</f>
        <v>Статус срабатывания уставок по скорости роста концентрации метана абсолютного, месяц</v>
      </c>
    </row>
    <row r="1149" spans="1:2" ht="15.75" customHeight="1" x14ac:dyDescent="0.25">
      <c r="A1149" s="13" t="str">
        <f ca="1">IFERROR(__xludf.DUMMYFUNCTION("""COMPUTED_VALUE"""),"diag_c_ch4_roc_abs_week")</f>
        <v>diag_c_ch4_roc_abs_week</v>
      </c>
      <c r="B1149" s="13" t="str">
        <f ca="1">IFERROR(__xludf.DUMMYFUNCTION("""COMPUTED_VALUE"""),"Статус срабатывания уставок по скорости роста концентрации метана абсолютного, неделя")</f>
        <v>Статус срабатывания уставок по скорости роста концентрации метана абсолютного, неделя</v>
      </c>
    </row>
    <row r="1150" spans="1:2" ht="15.75" customHeight="1" x14ac:dyDescent="0.25">
      <c r="A1150" s="13" t="str">
        <f ca="1">IFERROR(__xludf.DUMMYFUNCTION("""COMPUTED_VALUE"""),"diag_c_ch4_roc_abs_year")</f>
        <v>diag_c_ch4_roc_abs_year</v>
      </c>
      <c r="B1150" s="13" t="str">
        <f ca="1">IFERROR(__xludf.DUMMYFUNCTION("""COMPUTED_VALUE"""),"Статус срабатывания уставок по скорости роста концентрации метана абсолютного, год")</f>
        <v>Статус срабатывания уставок по скорости роста концентрации метана абсолютного, год</v>
      </c>
    </row>
    <row r="1151" spans="1:2" ht="15.75" customHeight="1" x14ac:dyDescent="0.25">
      <c r="A1151" s="13" t="str">
        <f ca="1">IFERROR(__xludf.DUMMYFUNCTION("""COMPUTED_VALUE"""),"diag_c_ch4_roc_day")</f>
        <v>diag_c_ch4_roc_day</v>
      </c>
      <c r="B1151" s="13" t="str">
        <f ca="1">IFERROR(__xludf.DUMMYFUNCTION("""COMPUTED_VALUE"""),"Статус срабатывания уставок по скорости роста концентрации метана, сутки")</f>
        <v>Статус срабатывания уставок по скорости роста концентрации метана, сутки</v>
      </c>
    </row>
    <row r="1152" spans="1:2" ht="15.75" customHeight="1" x14ac:dyDescent="0.25">
      <c r="A1152" s="13" t="str">
        <f ca="1">IFERROR(__xludf.DUMMYFUNCTION("""COMPUTED_VALUE"""),"diag_c_ch4_roc_month")</f>
        <v>diag_c_ch4_roc_month</v>
      </c>
      <c r="B1152" s="13" t="str">
        <f ca="1">IFERROR(__xludf.DUMMYFUNCTION("""COMPUTED_VALUE"""),"Статус срабатывания уставок по скорости роста концентрации метана, месяц")</f>
        <v>Статус срабатывания уставок по скорости роста концентрации метана, месяц</v>
      </c>
    </row>
    <row r="1153" spans="1:2" ht="15.75" customHeight="1" x14ac:dyDescent="0.25">
      <c r="A1153" s="13" t="str">
        <f ca="1">IFERROR(__xludf.DUMMYFUNCTION("""COMPUTED_VALUE"""),"diag_c_ch4_roc_rel_day")</f>
        <v>diag_c_ch4_roc_rel_day</v>
      </c>
      <c r="B1153" s="13" t="str">
        <f ca="1">IFERROR(__xludf.DUMMYFUNCTION("""COMPUTED_VALUE"""),"Статус срабатывания уставок по скорости роста концентрации метана относительного, сутки")</f>
        <v>Статус срабатывания уставок по скорости роста концентрации метана относительного, сутки</v>
      </c>
    </row>
    <row r="1154" spans="1:2" ht="15.75" customHeight="1" x14ac:dyDescent="0.25">
      <c r="A1154" s="13" t="str">
        <f ca="1">IFERROR(__xludf.DUMMYFUNCTION("""COMPUTED_VALUE"""),"diag_c_ch4_roc_rel_month")</f>
        <v>diag_c_ch4_roc_rel_month</v>
      </c>
      <c r="B1154" s="13" t="str">
        <f ca="1">IFERROR(__xludf.DUMMYFUNCTION("""COMPUTED_VALUE"""),"Статус срабатывания уставок по скорости роста концентрации метана относительного, месяц")</f>
        <v>Статус срабатывания уставок по скорости роста концентрации метана относительного, месяц</v>
      </c>
    </row>
    <row r="1155" spans="1:2" ht="15.75" customHeight="1" x14ac:dyDescent="0.25">
      <c r="A1155" s="13" t="str">
        <f ca="1">IFERROR(__xludf.DUMMYFUNCTION("""COMPUTED_VALUE"""),"diag_c_ch4_roc_rel_week")</f>
        <v>diag_c_ch4_roc_rel_week</v>
      </c>
      <c r="B1155" s="13" t="str">
        <f ca="1">IFERROR(__xludf.DUMMYFUNCTION("""COMPUTED_VALUE"""),"Статус срабатывания уставок по скорости роста концентрации метана относительного, неделя")</f>
        <v>Статус срабатывания уставок по скорости роста концентрации метана относительного, неделя</v>
      </c>
    </row>
    <row r="1156" spans="1:2" ht="15.75" customHeight="1" x14ac:dyDescent="0.25">
      <c r="A1156" s="13" t="str">
        <f ca="1">IFERROR(__xludf.DUMMYFUNCTION("""COMPUTED_VALUE"""),"diag_c_ch4_roc_rel_year")</f>
        <v>diag_c_ch4_roc_rel_year</v>
      </c>
      <c r="B1156" s="13" t="str">
        <f ca="1">IFERROR(__xludf.DUMMYFUNCTION("""COMPUTED_VALUE"""),"Статус срабатывания уставок по скорости роста концентрации метана относительного, год")</f>
        <v>Статус срабатывания уставок по скорости роста концентрации метана относительного, год</v>
      </c>
    </row>
    <row r="1157" spans="1:2" ht="15.75" customHeight="1" x14ac:dyDescent="0.25">
      <c r="A1157" s="13" t="str">
        <f ca="1">IFERROR(__xludf.DUMMYFUNCTION("""COMPUTED_VALUE"""),"diag_c_ch4_roc_week")</f>
        <v>diag_c_ch4_roc_week</v>
      </c>
      <c r="B1157" s="13" t="str">
        <f ca="1">IFERROR(__xludf.DUMMYFUNCTION("""COMPUTED_VALUE"""),"Статус срабатывания уставок по скорости роста концентрации метана, неделя")</f>
        <v>Статус срабатывания уставок по скорости роста концентрации метана, неделя</v>
      </c>
    </row>
    <row r="1158" spans="1:2" ht="15.75" customHeight="1" x14ac:dyDescent="0.25">
      <c r="A1158" s="13" t="str">
        <f ca="1">IFERROR(__xludf.DUMMYFUNCTION("""COMPUTED_VALUE"""),"diag_c_ch4_roc_year")</f>
        <v>diag_c_ch4_roc_year</v>
      </c>
      <c r="B1158" s="13" t="str">
        <f ca="1">IFERROR(__xludf.DUMMYFUNCTION("""COMPUTED_VALUE"""),"Статус срабатывания уставок по скорости роста концентрации метана, год")</f>
        <v>Статус срабатывания уставок по скорости роста концентрации метана, год</v>
      </c>
    </row>
    <row r="1159" spans="1:2" ht="15.75" customHeight="1" x14ac:dyDescent="0.25">
      <c r="A1159" s="13" t="str">
        <f ca="1">IFERROR(__xludf.DUMMYFUNCTION("""COMPUTED_VALUE"""),"diag_c_co")</f>
        <v>diag_c_co</v>
      </c>
      <c r="B1159" s="13" t="str">
        <f ca="1">IFERROR(__xludf.DUMMYFUNCTION("""COMPUTED_VALUE"""),"Статус срабатывания уставки по концентрации оксида углерода")</f>
        <v>Статус срабатывания уставки по концентрации оксида углерода</v>
      </c>
    </row>
    <row r="1160" spans="1:2" ht="15.75" customHeight="1" x14ac:dyDescent="0.25">
      <c r="A1160" s="13" t="str">
        <f ca="1">IFERROR(__xludf.DUMMYFUNCTION("""COMPUTED_VALUE"""),"diag_c_co_forecast")</f>
        <v>diag_c_co_forecast</v>
      </c>
      <c r="B1160" s="13" t="str">
        <f ca="1">IFERROR(__xludf.DUMMYFUNCTION("""COMPUTED_VALUE"""),"Диагностика по прогнозным данным: оксид углерода")</f>
        <v>Диагностика по прогнозным данным: оксид углерода</v>
      </c>
    </row>
    <row r="1161" spans="1:2" ht="15.75" customHeight="1" x14ac:dyDescent="0.25">
      <c r="A1161" s="13" t="str">
        <f ca="1">IFERROR(__xludf.DUMMYFUNCTION("""COMPUTED_VALUE"""),"diag_c_co_roc_abs_day")</f>
        <v>diag_c_co_roc_abs_day</v>
      </c>
      <c r="B1161" s="13" t="str">
        <f ca="1">IFERROR(__xludf.DUMMYFUNCTION("""COMPUTED_VALUE"""),"Статус срабатывания уставок по скорости роста концентрации оксида углерода абсолютного, сутки")</f>
        <v>Статус срабатывания уставок по скорости роста концентрации оксида углерода абсолютного, сутки</v>
      </c>
    </row>
    <row r="1162" spans="1:2" ht="15.75" customHeight="1" x14ac:dyDescent="0.25">
      <c r="A1162" s="13" t="str">
        <f ca="1">IFERROR(__xludf.DUMMYFUNCTION("""COMPUTED_VALUE"""),"diag_c_co_roc_abs_month")</f>
        <v>diag_c_co_roc_abs_month</v>
      </c>
      <c r="B1162" s="13" t="str">
        <f ca="1">IFERROR(__xludf.DUMMYFUNCTION("""COMPUTED_VALUE"""),"Статус срабатывания уставок по скорости роста концентрации оксида углерода абсолютного, месяц")</f>
        <v>Статус срабатывания уставок по скорости роста концентрации оксида углерода абсолютного, месяц</v>
      </c>
    </row>
    <row r="1163" spans="1:2" ht="15.75" customHeight="1" x14ac:dyDescent="0.25">
      <c r="A1163" s="13" t="str">
        <f ca="1">IFERROR(__xludf.DUMMYFUNCTION("""COMPUTED_VALUE"""),"diag_c_co_roc_abs_week")</f>
        <v>diag_c_co_roc_abs_week</v>
      </c>
      <c r="B1163" s="13" t="str">
        <f ca="1">IFERROR(__xludf.DUMMYFUNCTION("""COMPUTED_VALUE"""),"Статус срабатывания уставок по скорости роста концентрации оксида углерода абсолютного, неделя")</f>
        <v>Статус срабатывания уставок по скорости роста концентрации оксида углерода абсолютного, неделя</v>
      </c>
    </row>
    <row r="1164" spans="1:2" ht="15.75" customHeight="1" x14ac:dyDescent="0.25">
      <c r="A1164" s="13" t="str">
        <f ca="1">IFERROR(__xludf.DUMMYFUNCTION("""COMPUTED_VALUE"""),"diag_c_co_roc_abs_year")</f>
        <v>diag_c_co_roc_abs_year</v>
      </c>
      <c r="B1164" s="13" t="str">
        <f ca="1">IFERROR(__xludf.DUMMYFUNCTION("""COMPUTED_VALUE"""),"Статус срабатывания уставок по скорости роста концентрации оксида углерода абсолютного, год")</f>
        <v>Статус срабатывания уставок по скорости роста концентрации оксида углерода абсолютного, год</v>
      </c>
    </row>
    <row r="1165" spans="1:2" ht="15.75" customHeight="1" x14ac:dyDescent="0.25">
      <c r="A1165" s="13" t="str">
        <f ca="1">IFERROR(__xludf.DUMMYFUNCTION("""COMPUTED_VALUE"""),"diag_c_co_roc_day")</f>
        <v>diag_c_co_roc_day</v>
      </c>
      <c r="B1165" s="13" t="str">
        <f ca="1">IFERROR(__xludf.DUMMYFUNCTION("""COMPUTED_VALUE"""),"Статус срабатывания уставок по скорости роста концентрации оксида углерода, сутки")</f>
        <v>Статус срабатывания уставок по скорости роста концентрации оксида углерода, сутки</v>
      </c>
    </row>
    <row r="1166" spans="1:2" ht="15.75" customHeight="1" x14ac:dyDescent="0.25">
      <c r="A1166" s="13" t="str">
        <f ca="1">IFERROR(__xludf.DUMMYFUNCTION("""COMPUTED_VALUE"""),"diag_c_co_roc_month")</f>
        <v>diag_c_co_roc_month</v>
      </c>
      <c r="B1166" s="13" t="str">
        <f ca="1">IFERROR(__xludf.DUMMYFUNCTION("""COMPUTED_VALUE"""),"Статус срабатывания уставок по скорости роста концентрации оксида углерода, месяц")</f>
        <v>Статус срабатывания уставок по скорости роста концентрации оксида углерода, месяц</v>
      </c>
    </row>
    <row r="1167" spans="1:2" ht="15.75" customHeight="1" x14ac:dyDescent="0.25">
      <c r="A1167" s="13" t="str">
        <f ca="1">IFERROR(__xludf.DUMMYFUNCTION("""COMPUTED_VALUE"""),"diag_c_co_roc_rel_day")</f>
        <v>diag_c_co_roc_rel_day</v>
      </c>
      <c r="B1167" s="13" t="str">
        <f ca="1">IFERROR(__xludf.DUMMYFUNCTION("""COMPUTED_VALUE"""),"Статус срабатывания уставок по скорости роста концентрации оксида углерода относительного, сутки")</f>
        <v>Статус срабатывания уставок по скорости роста концентрации оксида углерода относительного, сутки</v>
      </c>
    </row>
    <row r="1168" spans="1:2" ht="15.75" customHeight="1" x14ac:dyDescent="0.25">
      <c r="A1168" s="13" t="str">
        <f ca="1">IFERROR(__xludf.DUMMYFUNCTION("""COMPUTED_VALUE"""),"diag_c_co_roc_rel_month")</f>
        <v>diag_c_co_roc_rel_month</v>
      </c>
      <c r="B1168" s="13" t="str">
        <f ca="1">IFERROR(__xludf.DUMMYFUNCTION("""COMPUTED_VALUE"""),"Статус срабатывания уставок по скорости роста концентрации оксида углерода относительного, месяц")</f>
        <v>Статус срабатывания уставок по скорости роста концентрации оксида углерода относительного, месяц</v>
      </c>
    </row>
    <row r="1169" spans="1:2" ht="15.75" customHeight="1" x14ac:dyDescent="0.25">
      <c r="A1169" s="13" t="str">
        <f ca="1">IFERROR(__xludf.DUMMYFUNCTION("""COMPUTED_VALUE"""),"diag_c_co_roc_rel_week")</f>
        <v>diag_c_co_roc_rel_week</v>
      </c>
      <c r="B1169" s="13" t="str">
        <f ca="1">IFERROR(__xludf.DUMMYFUNCTION("""COMPUTED_VALUE"""),"Статус срабатывания уставок по скорости роста концентрации оксида углерода относительного, неделя")</f>
        <v>Статус срабатывания уставок по скорости роста концентрации оксида углерода относительного, неделя</v>
      </c>
    </row>
    <row r="1170" spans="1:2" ht="15.75" customHeight="1" x14ac:dyDescent="0.25">
      <c r="A1170" s="13" t="str">
        <f ca="1">IFERROR(__xludf.DUMMYFUNCTION("""COMPUTED_VALUE"""),"diag_c_co_roc_rel_year")</f>
        <v>diag_c_co_roc_rel_year</v>
      </c>
      <c r="B1170" s="13" t="str">
        <f ca="1">IFERROR(__xludf.DUMMYFUNCTION("""COMPUTED_VALUE"""),"Статус срабатывания уставок по скорости роста концентрации оксида углерода относительного, год")</f>
        <v>Статус срабатывания уставок по скорости роста концентрации оксида углерода относительного, год</v>
      </c>
    </row>
    <row r="1171" spans="1:2" ht="15.75" customHeight="1" x14ac:dyDescent="0.25">
      <c r="A1171" s="13" t="str">
        <f ca="1">IFERROR(__xludf.DUMMYFUNCTION("""COMPUTED_VALUE"""),"diag_c_co_roc_week")</f>
        <v>diag_c_co_roc_week</v>
      </c>
      <c r="B1171" s="13" t="str">
        <f ca="1">IFERROR(__xludf.DUMMYFUNCTION("""COMPUTED_VALUE"""),"Статус срабатывания уставок по скорости роста концентрации оксида углерода, неделя")</f>
        <v>Статус срабатывания уставок по скорости роста концентрации оксида углерода, неделя</v>
      </c>
    </row>
    <row r="1172" spans="1:2" ht="15.75" customHeight="1" x14ac:dyDescent="0.25">
      <c r="A1172" s="13" t="str">
        <f ca="1">IFERROR(__xludf.DUMMYFUNCTION("""COMPUTED_VALUE"""),"diag_c_co_roc_year")</f>
        <v>diag_c_co_roc_year</v>
      </c>
      <c r="B1172" s="13" t="str">
        <f ca="1">IFERROR(__xludf.DUMMYFUNCTION("""COMPUTED_VALUE"""),"Статус срабатывания уставок по скорости роста концентрации оксида углерода, год")</f>
        <v>Статус срабатывания уставок по скорости роста концентрации оксида углерода, год</v>
      </c>
    </row>
    <row r="1173" spans="1:2" ht="15.75" customHeight="1" x14ac:dyDescent="0.25">
      <c r="A1173" s="13" t="str">
        <f ca="1">IFERROR(__xludf.DUMMYFUNCTION("""COMPUTED_VALUE"""),"diag_c_co2")</f>
        <v>diag_c_co2</v>
      </c>
      <c r="B1173" s="13" t="str">
        <f ca="1">IFERROR(__xludf.DUMMYFUNCTION("""COMPUTED_VALUE"""),"Статус срабатывания уставки по концентрации диоксида углерода")</f>
        <v>Статус срабатывания уставки по концентрации диоксида углерода</v>
      </c>
    </row>
    <row r="1174" spans="1:2" ht="15.75" customHeight="1" x14ac:dyDescent="0.25">
      <c r="A1174" s="13" t="str">
        <f ca="1">IFERROR(__xludf.DUMMYFUNCTION("""COMPUTED_VALUE"""),"diag_c_co2_forecast")</f>
        <v>diag_c_co2_forecast</v>
      </c>
      <c r="B1174" s="13" t="str">
        <f ca="1">IFERROR(__xludf.DUMMYFUNCTION("""COMPUTED_VALUE"""),"Диагностика по прогнозным данным: диоксид углерода")</f>
        <v>Диагностика по прогнозным данным: диоксид углерода</v>
      </c>
    </row>
    <row r="1175" spans="1:2" ht="15.75" customHeight="1" x14ac:dyDescent="0.25">
      <c r="A1175" s="13" t="str">
        <f ca="1">IFERROR(__xludf.DUMMYFUNCTION("""COMPUTED_VALUE"""),"diag_c_co2_roc_abs_day")</f>
        <v>diag_c_co2_roc_abs_day</v>
      </c>
      <c r="B1175" s="13" t="str">
        <f ca="1">IFERROR(__xludf.DUMMYFUNCTION("""COMPUTED_VALUE"""),"Статус срабатывания уставок по скорости роста концентрации диоксида углерода абсолютного, сутки")</f>
        <v>Статус срабатывания уставок по скорости роста концентрации диоксида углерода абсолютного, сутки</v>
      </c>
    </row>
    <row r="1176" spans="1:2" ht="15.75" customHeight="1" x14ac:dyDescent="0.25">
      <c r="A1176" s="13" t="str">
        <f ca="1">IFERROR(__xludf.DUMMYFUNCTION("""COMPUTED_VALUE"""),"diag_c_co2_roc_abs_month")</f>
        <v>diag_c_co2_roc_abs_month</v>
      </c>
      <c r="B1176" s="13" t="str">
        <f ca="1">IFERROR(__xludf.DUMMYFUNCTION("""COMPUTED_VALUE"""),"Статус срабатывания уставок по скорости роста концентрации диоксида углерода абсолютного, месяц")</f>
        <v>Статус срабатывания уставок по скорости роста концентрации диоксида углерода абсолютного, месяц</v>
      </c>
    </row>
    <row r="1177" spans="1:2" ht="15.75" customHeight="1" x14ac:dyDescent="0.25">
      <c r="A1177" s="13" t="str">
        <f ca="1">IFERROR(__xludf.DUMMYFUNCTION("""COMPUTED_VALUE"""),"diag_c_co2_roc_abs_week")</f>
        <v>diag_c_co2_roc_abs_week</v>
      </c>
      <c r="B1177" s="13" t="str">
        <f ca="1">IFERROR(__xludf.DUMMYFUNCTION("""COMPUTED_VALUE"""),"Статус срабатывания уставок по скорости роста концентрации диоксида углерода абсолютного, неделя")</f>
        <v>Статус срабатывания уставок по скорости роста концентрации диоксида углерода абсолютного, неделя</v>
      </c>
    </row>
    <row r="1178" spans="1:2" ht="15.75" customHeight="1" x14ac:dyDescent="0.25">
      <c r="A1178" s="13" t="str">
        <f ca="1">IFERROR(__xludf.DUMMYFUNCTION("""COMPUTED_VALUE"""),"diag_c_co2_roc_abs_year")</f>
        <v>diag_c_co2_roc_abs_year</v>
      </c>
      <c r="B1178" s="13" t="str">
        <f ca="1">IFERROR(__xludf.DUMMYFUNCTION("""COMPUTED_VALUE"""),"Статус срабатывания уставок по скорости роста концентрации диоксида углерода абсолютного, год")</f>
        <v>Статус срабатывания уставок по скорости роста концентрации диоксида углерода абсолютного, год</v>
      </c>
    </row>
    <row r="1179" spans="1:2" ht="15.75" customHeight="1" x14ac:dyDescent="0.25">
      <c r="A1179" s="13" t="str">
        <f ca="1">IFERROR(__xludf.DUMMYFUNCTION("""COMPUTED_VALUE"""),"diag_c_co2_roc_day")</f>
        <v>diag_c_co2_roc_day</v>
      </c>
      <c r="B1179" s="13" t="str">
        <f ca="1">IFERROR(__xludf.DUMMYFUNCTION("""COMPUTED_VALUE"""),"Статус срабатывания уставок по скорости роста концентрации диоксида углерода, сутки")</f>
        <v>Статус срабатывания уставок по скорости роста концентрации диоксида углерода, сутки</v>
      </c>
    </row>
    <row r="1180" spans="1:2" ht="15.75" customHeight="1" x14ac:dyDescent="0.25">
      <c r="A1180" s="13" t="str">
        <f ca="1">IFERROR(__xludf.DUMMYFUNCTION("""COMPUTED_VALUE"""),"diag_c_co2_roc_month")</f>
        <v>diag_c_co2_roc_month</v>
      </c>
      <c r="B1180" s="13" t="str">
        <f ca="1">IFERROR(__xludf.DUMMYFUNCTION("""COMPUTED_VALUE"""),"Статус срабатывания уставок по скорости роста концентрации диоксида углерода, месяц")</f>
        <v>Статус срабатывания уставок по скорости роста концентрации диоксида углерода, месяц</v>
      </c>
    </row>
    <row r="1181" spans="1:2" ht="15.75" customHeight="1" x14ac:dyDescent="0.25">
      <c r="A1181" s="13" t="str">
        <f ca="1">IFERROR(__xludf.DUMMYFUNCTION("""COMPUTED_VALUE"""),"diag_c_co2_roc_rel_day")</f>
        <v>diag_c_co2_roc_rel_day</v>
      </c>
      <c r="B1181" s="13" t="str">
        <f ca="1">IFERROR(__xludf.DUMMYFUNCTION("""COMPUTED_VALUE"""),"Статус срабатывания уставок по скорости роста концентрации диоксида углерода относительного, сутки")</f>
        <v>Статус срабатывания уставок по скорости роста концентрации диоксида углерода относительного, сутки</v>
      </c>
    </row>
    <row r="1182" spans="1:2" ht="15.75" customHeight="1" x14ac:dyDescent="0.25">
      <c r="A1182" s="13" t="str">
        <f ca="1">IFERROR(__xludf.DUMMYFUNCTION("""COMPUTED_VALUE"""),"diag_c_co2_roc_rel_month")</f>
        <v>diag_c_co2_roc_rel_month</v>
      </c>
      <c r="B1182" s="13" t="str">
        <f ca="1">IFERROR(__xludf.DUMMYFUNCTION("""COMPUTED_VALUE"""),"Статус срабатывания уставок по скорости роста концентрации диоксида углерода относительного, месяц")</f>
        <v>Статус срабатывания уставок по скорости роста концентрации диоксида углерода относительного, месяц</v>
      </c>
    </row>
    <row r="1183" spans="1:2" ht="15.75" customHeight="1" x14ac:dyDescent="0.25">
      <c r="A1183" s="13" t="str">
        <f ca="1">IFERROR(__xludf.DUMMYFUNCTION("""COMPUTED_VALUE"""),"diag_c_co2_roc_rel_week")</f>
        <v>diag_c_co2_roc_rel_week</v>
      </c>
      <c r="B1183" s="13" t="str">
        <f ca="1">IFERROR(__xludf.DUMMYFUNCTION("""COMPUTED_VALUE"""),"Статус срабатывания уставок по скорости роста концентрации диоксида углерода относительного, неделя")</f>
        <v>Статус срабатывания уставок по скорости роста концентрации диоксида углерода относительного, неделя</v>
      </c>
    </row>
    <row r="1184" spans="1:2" ht="15.75" customHeight="1" x14ac:dyDescent="0.25">
      <c r="A1184" s="13" t="str">
        <f ca="1">IFERROR(__xludf.DUMMYFUNCTION("""COMPUTED_VALUE"""),"diag_c_co2_roc_rel_year")</f>
        <v>diag_c_co2_roc_rel_year</v>
      </c>
      <c r="B1184" s="13" t="str">
        <f ca="1">IFERROR(__xludf.DUMMYFUNCTION("""COMPUTED_VALUE"""),"Статус срабатывания уставок по скорости роста концентрации диоксида углерода относительного, год")</f>
        <v>Статус срабатывания уставок по скорости роста концентрации диоксида углерода относительного, год</v>
      </c>
    </row>
    <row r="1185" spans="1:2" ht="15.75" customHeight="1" x14ac:dyDescent="0.25">
      <c r="A1185" s="13" t="str">
        <f ca="1">IFERROR(__xludf.DUMMYFUNCTION("""COMPUTED_VALUE"""),"diag_c_co2_roc_week")</f>
        <v>diag_c_co2_roc_week</v>
      </c>
      <c r="B1185" s="13" t="str">
        <f ca="1">IFERROR(__xludf.DUMMYFUNCTION("""COMPUTED_VALUE"""),"Статус срабатывания уставок по скорости роста концентрации диоксида углерода, неделя")</f>
        <v>Статус срабатывания уставок по скорости роста концентрации диоксида углерода, неделя</v>
      </c>
    </row>
    <row r="1186" spans="1:2" ht="15.75" customHeight="1" x14ac:dyDescent="0.25">
      <c r="A1186" s="13" t="str">
        <f ca="1">IFERROR(__xludf.DUMMYFUNCTION("""COMPUTED_VALUE"""),"diag_c_co2_roc_year")</f>
        <v>diag_c_co2_roc_year</v>
      </c>
      <c r="B1186" s="13" t="str">
        <f ca="1">IFERROR(__xludf.DUMMYFUNCTION("""COMPUTED_VALUE"""),"Статус срабатывания уставок по скорости роста концентрации диоксида углерода, год")</f>
        <v>Статус срабатывания уставок по скорости роста концентрации диоксида углерода, год</v>
      </c>
    </row>
    <row r="1187" spans="1:2" ht="15.75" customHeight="1" x14ac:dyDescent="0.25">
      <c r="A1187" s="13" t="str">
        <f ca="1">IFERROR(__xludf.DUMMYFUNCTION("""COMPUTED_VALUE"""),"diag_c_defect")</f>
        <v>diag_c_defect</v>
      </c>
      <c r="B1187" s="13" t="str">
        <f ca="1">IFERROR(__xludf.DUMMYFUNCTION("""COMPUTED_VALUE"""),"Развивающийся дефект")</f>
        <v>Развивающийся дефект</v>
      </c>
    </row>
    <row r="1188" spans="1:2" ht="15.75" customHeight="1" x14ac:dyDescent="0.25">
      <c r="A1188" s="13" t="str">
        <f ca="1">IFERROR(__xludf.DUMMYFUNCTION("""COMPUTED_VALUE"""),"diag_c_duval")</f>
        <v>diag_c_duval</v>
      </c>
      <c r="B1188" s="13" t="str">
        <f ca="1">IFERROR(__xludf.DUMMYFUNCTION("""COMPUTED_VALUE"""),"Диагностика по треугольнику Дюваля")</f>
        <v>Диагностика по треугольнику Дюваля</v>
      </c>
    </row>
    <row r="1189" spans="1:2" ht="15.75" customHeight="1" x14ac:dyDescent="0.25">
      <c r="A1189" s="13" t="str">
        <f ca="1">IFERROR(__xludf.DUMMYFUNCTION("""COMPUTED_VALUE"""),"diag_c_duval31")</f>
        <v>diag_c_duval31</v>
      </c>
      <c r="B1189" s="13" t="str">
        <f ca="1">IFERROR(__xludf.DUMMYFUNCTION("""COMPUTED_VALUE"""),"Диагностика по треугольнику Дюваля")</f>
        <v>Диагностика по треугольнику Дюваля</v>
      </c>
    </row>
    <row r="1190" spans="1:2" ht="15.75" customHeight="1" x14ac:dyDescent="0.25">
      <c r="A1190" s="13" t="str">
        <f ca="1">IFERROR(__xludf.DUMMYFUNCTION("""COMPUTED_VALUE"""),"diag_c_duval31_r_c2h2")</f>
        <v>diag_c_duval31_r_c2h2</v>
      </c>
      <c r="B1190" s="13" t="str">
        <f ca="1">IFERROR(__xludf.DUMMYFUNCTION("""COMPUTED_VALUE"""),"Диагностика по треугольнику Дюваля, координата c2h2")</f>
        <v>Диагностика по треугольнику Дюваля, координата c2h2</v>
      </c>
    </row>
    <row r="1191" spans="1:2" ht="15.75" customHeight="1" x14ac:dyDescent="0.25">
      <c r="A1191" s="13" t="str">
        <f ca="1">IFERROR(__xludf.DUMMYFUNCTION("""COMPUTED_VALUE"""),"diag_c_duval31_r_c2h4")</f>
        <v>diag_c_duval31_r_c2h4</v>
      </c>
      <c r="B1191" s="13" t="str">
        <f ca="1">IFERROR(__xludf.DUMMYFUNCTION("""COMPUTED_VALUE"""),"Диагностика по треугольнику Дюваля, координата c2h4")</f>
        <v>Диагностика по треугольнику Дюваля, координата c2h4</v>
      </c>
    </row>
    <row r="1192" spans="1:2" ht="15.75" customHeight="1" x14ac:dyDescent="0.25">
      <c r="A1192" s="13" t="str">
        <f ca="1">IFERROR(__xludf.DUMMYFUNCTION("""COMPUTED_VALUE"""),"diag_c_duval31_r_ch4")</f>
        <v>diag_c_duval31_r_ch4</v>
      </c>
      <c r="B1192" s="13" t="str">
        <f ca="1">IFERROR(__xludf.DUMMYFUNCTION("""COMPUTED_VALUE"""),"Диагностика по треугольнику Дюваля, координата ch4")</f>
        <v>Диагностика по треугольнику Дюваля, координата ch4</v>
      </c>
    </row>
    <row r="1193" spans="1:2" ht="15.75" customHeight="1" x14ac:dyDescent="0.25">
      <c r="A1193" s="13" t="str">
        <f ca="1">IFERROR(__xludf.DUMMYFUNCTION("""COMPUTED_VALUE"""),"diag_c_duval51")</f>
        <v>diag_c_duval51</v>
      </c>
      <c r="B1193" s="13" t="str">
        <f ca="1">IFERROR(__xludf.DUMMYFUNCTION("""COMPUTED_VALUE"""),"Диагностика по пятиугольнику Дюваля")</f>
        <v>Диагностика по пятиугольнику Дюваля</v>
      </c>
    </row>
    <row r="1194" spans="1:2" ht="15.75" customHeight="1" x14ac:dyDescent="0.25">
      <c r="A1194" s="13" t="str">
        <f ca="1">IFERROR(__xludf.DUMMYFUNCTION("""COMPUTED_VALUE"""),"diag_c_duval51_c_c2h2")</f>
        <v>diag_c_duval51_c_c2h2</v>
      </c>
      <c r="B1194" s="13" t="str">
        <f ca="1">IFERROR(__xludf.DUMMYFUNCTION("""COMPUTED_VALUE"""),"Диагностика по пятиугольнику Дюваля, координата c2h2")</f>
        <v>Диагностика по пятиугольнику Дюваля, координата c2h2</v>
      </c>
    </row>
    <row r="1195" spans="1:2" ht="15.75" customHeight="1" x14ac:dyDescent="0.25">
      <c r="A1195" s="13" t="str">
        <f ca="1">IFERROR(__xludf.DUMMYFUNCTION("""COMPUTED_VALUE"""),"diag_c_duval51_c_c2h4")</f>
        <v>diag_c_duval51_c_c2h4</v>
      </c>
      <c r="B1195" s="13" t="str">
        <f ca="1">IFERROR(__xludf.DUMMYFUNCTION("""COMPUTED_VALUE"""),"Диагностика по пятиугольнику Дюваля, координата c2h4")</f>
        <v>Диагностика по пятиугольнику Дюваля, координата c2h4</v>
      </c>
    </row>
    <row r="1196" spans="1:2" ht="15.75" customHeight="1" x14ac:dyDescent="0.25">
      <c r="A1196" s="13" t="str">
        <f ca="1">IFERROR(__xludf.DUMMYFUNCTION("""COMPUTED_VALUE"""),"diag_c_duval51_c_c2h6")</f>
        <v>diag_c_duval51_c_c2h6</v>
      </c>
      <c r="B1196" s="13" t="str">
        <f ca="1">IFERROR(__xludf.DUMMYFUNCTION("""COMPUTED_VALUE"""),"Диагностика по пятиугольнику Дюваля, координата c2h6")</f>
        <v>Диагностика по пятиугольнику Дюваля, координата c2h6</v>
      </c>
    </row>
    <row r="1197" spans="1:2" ht="15.75" customHeight="1" x14ac:dyDescent="0.25">
      <c r="A1197" s="13" t="str">
        <f ca="1">IFERROR(__xludf.DUMMYFUNCTION("""COMPUTED_VALUE"""),"diag_c_duval51_c_ch4")</f>
        <v>diag_c_duval51_c_ch4</v>
      </c>
      <c r="B1197" s="13" t="str">
        <f ca="1">IFERROR(__xludf.DUMMYFUNCTION("""COMPUTED_VALUE"""),"Диагностика по пятиугольнику Дюваля, координата ch4")</f>
        <v>Диагностика по пятиугольнику Дюваля, координата ch4</v>
      </c>
    </row>
    <row r="1198" spans="1:2" ht="15.75" customHeight="1" x14ac:dyDescent="0.25">
      <c r="A1198" s="13" t="str">
        <f ca="1">IFERROR(__xludf.DUMMYFUNCTION("""COMPUTED_VALUE"""),"diag_c_duval51_c_h2")</f>
        <v>diag_c_duval51_c_h2</v>
      </c>
      <c r="B1198" s="13" t="str">
        <f ca="1">IFERROR(__xludf.DUMMYFUNCTION("""COMPUTED_VALUE"""),"Диагностика по пятиугольнику Дюваля, координата h2")</f>
        <v>Диагностика по пятиугольнику Дюваля, координата h2</v>
      </c>
    </row>
    <row r="1199" spans="1:2" ht="15.75" customHeight="1" x14ac:dyDescent="0.25">
      <c r="A1199" s="13" t="str">
        <f ca="1">IFERROR(__xludf.DUMMYFUNCTION("""COMPUTED_VALUE"""),"diag_c_duval51_c_x")</f>
        <v>diag_c_duval51_c_x</v>
      </c>
      <c r="B1199" s="13" t="str">
        <f ca="1">IFERROR(__xludf.DUMMYFUNCTION("""COMPUTED_VALUE"""),"Диагностика по пятиугольнику Дюваля, координата X")</f>
        <v>Диагностика по пятиугольнику Дюваля, координата X</v>
      </c>
    </row>
    <row r="1200" spans="1:2" ht="15.75" customHeight="1" x14ac:dyDescent="0.25">
      <c r="A1200" s="13" t="str">
        <f ca="1">IFERROR(__xludf.DUMMYFUNCTION("""COMPUTED_VALUE"""),"diag_c_duval51_c_y")</f>
        <v>diag_c_duval51_c_y</v>
      </c>
      <c r="B1200" s="13" t="str">
        <f ca="1">IFERROR(__xludf.DUMMYFUNCTION("""COMPUTED_VALUE"""),"Диагностика по пятиугольнику Дюваля, координата Y")</f>
        <v>Диагностика по пятиугольнику Дюваля, координата Y</v>
      </c>
    </row>
    <row r="1201" spans="1:2" ht="15.75" customHeight="1" x14ac:dyDescent="0.25">
      <c r="A1201" s="13" t="str">
        <f ca="1">IFERROR(__xludf.DUMMYFUNCTION("""COMPUTED_VALUE"""),"diag_c_h2")</f>
        <v>diag_c_h2</v>
      </c>
      <c r="B1201" s="13" t="str">
        <f ca="1">IFERROR(__xludf.DUMMYFUNCTION("""COMPUTED_VALUE"""),"Статус срабатывания уставки по концентрации водорода")</f>
        <v>Статус срабатывания уставки по концентрации водорода</v>
      </c>
    </row>
    <row r="1202" spans="1:2" ht="15.75" customHeight="1" x14ac:dyDescent="0.25">
      <c r="A1202" s="13" t="str">
        <f ca="1">IFERROR(__xludf.DUMMYFUNCTION("""COMPUTED_VALUE"""),"diag_c_h2_forecast")</f>
        <v>diag_c_h2_forecast</v>
      </c>
      <c r="B1202" s="13" t="str">
        <f ca="1">IFERROR(__xludf.DUMMYFUNCTION("""COMPUTED_VALUE"""),"Диагностика по прогнозным данным: водород")</f>
        <v>Диагностика по прогнозным данным: водород</v>
      </c>
    </row>
    <row r="1203" spans="1:2" ht="15.75" customHeight="1" x14ac:dyDescent="0.25">
      <c r="A1203" s="13" t="str">
        <f ca="1">IFERROR(__xludf.DUMMYFUNCTION("""COMPUTED_VALUE"""),"diag_c_h2_roc_abs_day")</f>
        <v>diag_c_h2_roc_abs_day</v>
      </c>
      <c r="B1203" s="13" t="str">
        <f ca="1">IFERROR(__xludf.DUMMYFUNCTION("""COMPUTED_VALUE"""),"Статус срабатывания уставок по скорости роста концентрации водорода абсолютного, сутки")</f>
        <v>Статус срабатывания уставок по скорости роста концентрации водорода абсолютного, сутки</v>
      </c>
    </row>
    <row r="1204" spans="1:2" ht="15.75" customHeight="1" x14ac:dyDescent="0.25">
      <c r="A1204" s="13" t="str">
        <f ca="1">IFERROR(__xludf.DUMMYFUNCTION("""COMPUTED_VALUE"""),"diag_c_h2_roc_abs_month")</f>
        <v>diag_c_h2_roc_abs_month</v>
      </c>
      <c r="B1204" s="13" t="str">
        <f ca="1">IFERROR(__xludf.DUMMYFUNCTION("""COMPUTED_VALUE"""),"Статус срабатывания уставок по скорости роста концентрации водорода абсолютного, месяц")</f>
        <v>Статус срабатывания уставок по скорости роста концентрации водорода абсолютного, месяц</v>
      </c>
    </row>
    <row r="1205" spans="1:2" ht="15.75" customHeight="1" x14ac:dyDescent="0.25">
      <c r="A1205" s="13" t="str">
        <f ca="1">IFERROR(__xludf.DUMMYFUNCTION("""COMPUTED_VALUE"""),"diag_c_h2_roc_abs_week")</f>
        <v>diag_c_h2_roc_abs_week</v>
      </c>
      <c r="B1205" s="13" t="str">
        <f ca="1">IFERROR(__xludf.DUMMYFUNCTION("""COMPUTED_VALUE"""),"Статус срабатывания уставок по скорости роста концентрации водорода абсолютного, неделя")</f>
        <v>Статус срабатывания уставок по скорости роста концентрации водорода абсолютного, неделя</v>
      </c>
    </row>
    <row r="1206" spans="1:2" ht="15.75" customHeight="1" x14ac:dyDescent="0.25">
      <c r="A1206" s="13" t="str">
        <f ca="1">IFERROR(__xludf.DUMMYFUNCTION("""COMPUTED_VALUE"""),"diag_c_h2_roc_abs_year")</f>
        <v>diag_c_h2_roc_abs_year</v>
      </c>
      <c r="B1206" s="13" t="str">
        <f ca="1">IFERROR(__xludf.DUMMYFUNCTION("""COMPUTED_VALUE"""),"Статус срабатывания уставок по скорости роста концентрации водорода абсолютного, год")</f>
        <v>Статус срабатывания уставок по скорости роста концентрации водорода абсолютного, год</v>
      </c>
    </row>
    <row r="1207" spans="1:2" ht="15.75" customHeight="1" x14ac:dyDescent="0.25">
      <c r="A1207" s="13" t="str">
        <f ca="1">IFERROR(__xludf.DUMMYFUNCTION("""COMPUTED_VALUE"""),"diag_c_h2_roc_day")</f>
        <v>diag_c_h2_roc_day</v>
      </c>
      <c r="B1207" s="13" t="str">
        <f ca="1">IFERROR(__xludf.DUMMYFUNCTION("""COMPUTED_VALUE"""),"Статус срабатывания уставок по скорости роста концентрации водорода, сутки")</f>
        <v>Статус срабатывания уставок по скорости роста концентрации водорода, сутки</v>
      </c>
    </row>
    <row r="1208" spans="1:2" ht="15.75" customHeight="1" x14ac:dyDescent="0.25">
      <c r="A1208" s="13" t="str">
        <f ca="1">IFERROR(__xludf.DUMMYFUNCTION("""COMPUTED_VALUE"""),"diag_c_h2_roc_month")</f>
        <v>diag_c_h2_roc_month</v>
      </c>
      <c r="B1208" s="13" t="str">
        <f ca="1">IFERROR(__xludf.DUMMYFUNCTION("""COMPUTED_VALUE"""),"Статус срабатывания уставок по скорости роста концентрации водорода, месяц")</f>
        <v>Статус срабатывания уставок по скорости роста концентрации водорода, месяц</v>
      </c>
    </row>
    <row r="1209" spans="1:2" ht="15.75" customHeight="1" x14ac:dyDescent="0.25">
      <c r="A1209" s="13" t="str">
        <f ca="1">IFERROR(__xludf.DUMMYFUNCTION("""COMPUTED_VALUE"""),"diag_c_h2_roc_rel_day")</f>
        <v>diag_c_h2_roc_rel_day</v>
      </c>
      <c r="B1209" s="13" t="str">
        <f ca="1">IFERROR(__xludf.DUMMYFUNCTION("""COMPUTED_VALUE"""),"Статус срабатывания уставок по скорости роста концентрации водорода относительного, сутки")</f>
        <v>Статус срабатывания уставок по скорости роста концентрации водорода относительного, сутки</v>
      </c>
    </row>
    <row r="1210" spans="1:2" ht="15.75" customHeight="1" x14ac:dyDescent="0.25">
      <c r="A1210" s="13" t="str">
        <f ca="1">IFERROR(__xludf.DUMMYFUNCTION("""COMPUTED_VALUE"""),"diag_c_h2_roc_rel_month")</f>
        <v>diag_c_h2_roc_rel_month</v>
      </c>
      <c r="B1210" s="13" t="str">
        <f ca="1">IFERROR(__xludf.DUMMYFUNCTION("""COMPUTED_VALUE"""),"Статус срабатывания уставок по скорости роста концентрации водорода относительного, месяц")</f>
        <v>Статус срабатывания уставок по скорости роста концентрации водорода относительного, месяц</v>
      </c>
    </row>
    <row r="1211" spans="1:2" ht="15.75" customHeight="1" x14ac:dyDescent="0.25">
      <c r="A1211" s="13" t="str">
        <f ca="1">IFERROR(__xludf.DUMMYFUNCTION("""COMPUTED_VALUE"""),"diag_c_h2_roc_rel_week")</f>
        <v>diag_c_h2_roc_rel_week</v>
      </c>
      <c r="B1211" s="13" t="str">
        <f ca="1">IFERROR(__xludf.DUMMYFUNCTION("""COMPUTED_VALUE"""),"Статус срабатывания уставок по скорости роста концентрации водорода относительного, неделя")</f>
        <v>Статус срабатывания уставок по скорости роста концентрации водорода относительного, неделя</v>
      </c>
    </row>
    <row r="1212" spans="1:2" ht="15.75" customHeight="1" x14ac:dyDescent="0.25">
      <c r="A1212" s="13" t="str">
        <f ca="1">IFERROR(__xludf.DUMMYFUNCTION("""COMPUTED_VALUE"""),"diag_c_h2_roc_rel_year")</f>
        <v>diag_c_h2_roc_rel_year</v>
      </c>
      <c r="B1212" s="13" t="str">
        <f ca="1">IFERROR(__xludf.DUMMYFUNCTION("""COMPUTED_VALUE"""),"Статус срабатывания уставок по скорости роста концентрации водорода относительного, год")</f>
        <v>Статус срабатывания уставок по скорости роста концентрации водорода относительного, год</v>
      </c>
    </row>
    <row r="1213" spans="1:2" ht="15.75" customHeight="1" x14ac:dyDescent="0.25">
      <c r="A1213" s="13" t="str">
        <f ca="1">IFERROR(__xludf.DUMMYFUNCTION("""COMPUTED_VALUE"""),"diag_c_h2_roc_week")</f>
        <v>diag_c_h2_roc_week</v>
      </c>
      <c r="B1213" s="13" t="str">
        <f ca="1">IFERROR(__xludf.DUMMYFUNCTION("""COMPUTED_VALUE"""),"Статус срабатывания уставок по скорости роста концентрации водорода, неделя")</f>
        <v>Статус срабатывания уставок по скорости роста концентрации водорода, неделя</v>
      </c>
    </row>
    <row r="1214" spans="1:2" ht="15.75" customHeight="1" x14ac:dyDescent="0.25">
      <c r="A1214" s="13" t="str">
        <f ca="1">IFERROR(__xludf.DUMMYFUNCTION("""COMPUTED_VALUE"""),"diag_c_h2_roc_year")</f>
        <v>diag_c_h2_roc_year</v>
      </c>
      <c r="B1214" s="13" t="str">
        <f ca="1">IFERROR(__xludf.DUMMYFUNCTION("""COMPUTED_VALUE"""),"Статус срабатывания уставок по скорости роста концентрации водорода, год")</f>
        <v>Статус срабатывания уставок по скорости роста концентрации водорода, год</v>
      </c>
    </row>
    <row r="1215" spans="1:2" ht="15.75" customHeight="1" x14ac:dyDescent="0.25">
      <c r="A1215" s="13" t="str">
        <f ca="1">IFERROR(__xludf.DUMMYFUNCTION("""COMPUTED_VALUE"""),"diag_c_model1")</f>
        <v>diag_c_model1</v>
      </c>
      <c r="B1215" s="13" t="str">
        <f ca="1">IFERROR(__xludf.DUMMYFUNCTION("""COMPUTED_VALUE"""),"Диагностика по соотношению пар газов")</f>
        <v>Диагностика по соотношению пар газов</v>
      </c>
    </row>
    <row r="1216" spans="1:2" ht="15.75" customHeight="1" x14ac:dyDescent="0.25">
      <c r="A1216" s="13" t="str">
        <f ca="1">IFERROR(__xludf.DUMMYFUNCTION("""COMPUTED_VALUE"""),"diag_c_model1_num_in_table")</f>
        <v>diag_c_model1_num_in_table</v>
      </c>
      <c r="B1216" s="13" t="str">
        <f ca="1">IFERROR(__xludf.DUMMYFUNCTION("""COMPUTED_VALUE"""),"Номер строки в таблице 6 СТО 34.01-23-003-2019")</f>
        <v>Номер строки в таблице 6 СТО 34.01-23-003-2019</v>
      </c>
    </row>
    <row r="1217" spans="1:2" ht="15.75" customHeight="1" x14ac:dyDescent="0.25">
      <c r="A1217" s="13" t="str">
        <f ca="1">IFERROR(__xludf.DUMMYFUNCTION("""COMPUTED_VALUE"""),"diag_c_model1rd")</f>
        <v>diag_c_model1rd</v>
      </c>
      <c r="B1217" s="13" t="str">
        <f ca="1">IFERROR(__xludf.DUMMYFUNCTION("""COMPUTED_VALUE"""),"Диагностика по соотношению пар газов РД 153-34.0-46.302-00")</f>
        <v>Диагностика по соотношению пар газов РД 153-34.0-46.302-00</v>
      </c>
    </row>
    <row r="1218" spans="1:2" ht="15.75" customHeight="1" x14ac:dyDescent="0.25">
      <c r="A1218" s="13" t="str">
        <f ca="1">IFERROR(__xludf.DUMMYFUNCTION("""COMPUTED_VALUE"""),"diag_c_model1rd_num_in_table")</f>
        <v>diag_c_model1rd_num_in_table</v>
      </c>
      <c r="B1218" s="13" t="str">
        <f ca="1">IFERROR(__xludf.DUMMYFUNCTION("""COMPUTED_VALUE"""),"Номер строки в таблице 3 РД 153-34.0-46.302-00")</f>
        <v>Номер строки в таблице 3 РД 153-34.0-46.302-00</v>
      </c>
    </row>
    <row r="1219" spans="1:2" ht="15.75" customHeight="1" x14ac:dyDescent="0.25">
      <c r="A1219" s="13" t="str">
        <f ca="1">IFERROR(__xludf.DUMMYFUNCTION("""COMPUTED_VALUE"""),"diag_c_model1rd_tbl")</f>
        <v>diag_c_model1rd_tbl</v>
      </c>
      <c r="B1219" s="13" t="str">
        <f ca="1">IFERROR(__xludf.DUMMYFUNCTION("""COMPUTED_VALUE"""),"Состояние проверки условий таблицы 3 РД 153-34.0-46.302-00")</f>
        <v>Состояние проверки условий таблицы 3 РД 153-34.0-46.302-00</v>
      </c>
    </row>
    <row r="1220" spans="1:2" ht="15.75" customHeight="1" x14ac:dyDescent="0.25">
      <c r="A1220" s="13" t="str">
        <f ca="1">IFERROR(__xludf.DUMMYFUNCTION("""COMPUTED_VALUE"""),"diag_c_model1sto")</f>
        <v>diag_c_model1sto</v>
      </c>
      <c r="B1220" s="13" t="str">
        <f ca="1">IFERROR(__xludf.DUMMYFUNCTION("""COMPUTED_VALUE"""),"Диагностика по соотношению пар газов СТО 34.01-23-003-2019")</f>
        <v>Диагностика по соотношению пар газов СТО 34.01-23-003-2019</v>
      </c>
    </row>
    <row r="1221" spans="1:2" ht="15.75" customHeight="1" x14ac:dyDescent="0.25">
      <c r="A1221" s="13" t="str">
        <f ca="1">IFERROR(__xludf.DUMMYFUNCTION("""COMPUTED_VALUE"""),"diag_c_model1sto_num_in_table")</f>
        <v>diag_c_model1sto_num_in_table</v>
      </c>
      <c r="B1221" s="13" t="str">
        <f ca="1">IFERROR(__xludf.DUMMYFUNCTION("""COMPUTED_VALUE"""),"Номер строки в таблице 6 СТО 34.01-23-003-2019")</f>
        <v>Номер строки в таблице 6 СТО 34.01-23-003-2019</v>
      </c>
    </row>
    <row r="1222" spans="1:2" ht="15.75" customHeight="1" x14ac:dyDescent="0.25">
      <c r="A1222" s="13" t="str">
        <f ca="1">IFERROR(__xludf.DUMMYFUNCTION("""COMPUTED_VALUE"""),"diag_c_model1sto_tbl")</f>
        <v>diag_c_model1sto_tbl</v>
      </c>
      <c r="B1222" s="13" t="str">
        <f ca="1">IFERROR(__xludf.DUMMYFUNCTION("""COMPUTED_VALUE"""),"Состояние проверки условий таблицы 6 СТО 34.01-23-003-2019")</f>
        <v>Состояние проверки условий таблицы 6 СТО 34.01-23-003-2019</v>
      </c>
    </row>
    <row r="1223" spans="1:2" ht="15.75" customHeight="1" x14ac:dyDescent="0.25">
      <c r="A1223" s="13" t="str">
        <f ca="1">IFERROR(__xludf.DUMMYFUNCTION("""COMPUTED_VALUE"""),"diag_c_model2")</f>
        <v>diag_c_model2</v>
      </c>
      <c r="B1223" s="13" t="str">
        <f ca="1">IFERROR(__xludf.DUMMYFUNCTION("""COMPUTED_VALUE"""),"Диагностика по номограммам")</f>
        <v>Диагностика по номограммам</v>
      </c>
    </row>
    <row r="1224" spans="1:2" ht="15.75" customHeight="1" x14ac:dyDescent="0.25">
      <c r="A1224" s="13" t="str">
        <f ca="1">IFERROR(__xludf.DUMMYFUNCTION("""COMPUTED_VALUE"""),"diag_c_model2_acc_nomogram")</f>
        <v>diag_c_model2_acc_nomogram</v>
      </c>
      <c r="B1224" s="13" t="str">
        <f ca="1">IFERROR(__xludf.DUMMYFUNCTION("""COMPUTED_VALUE"""),"Точность номограммы")</f>
        <v>Точность номограммы</v>
      </c>
    </row>
    <row r="1225" spans="1:2" ht="15.75" customHeight="1" x14ac:dyDescent="0.25">
      <c r="A1225" s="13" t="str">
        <f ca="1">IFERROR(__xludf.DUMMYFUNCTION("""COMPUTED_VALUE"""),"diag_c_model2_num_nomogram")</f>
        <v>diag_c_model2_num_nomogram</v>
      </c>
      <c r="B1225" s="13" t="str">
        <f ca="1">IFERROR(__xludf.DUMMYFUNCTION("""COMPUTED_VALUE"""),"Номер номограммы")</f>
        <v>Номер номограммы</v>
      </c>
    </row>
    <row r="1226" spans="1:2" ht="15.75" customHeight="1" x14ac:dyDescent="0.25">
      <c r="A1226" s="13" t="str">
        <f ca="1">IFERROR(__xludf.DUMMYFUNCTION("""COMPUTED_VALUE"""),"diag_c_model2rd")</f>
        <v>diag_c_model2rd</v>
      </c>
      <c r="B1226" s="13" t="str">
        <f ca="1">IFERROR(__xludf.DUMMYFUNCTION("""COMPUTED_VALUE"""),"Диагностика по номограммам РД 153-34.0-46.302-00")</f>
        <v>Диагностика по номограммам РД 153-34.0-46.302-00</v>
      </c>
    </row>
    <row r="1227" spans="1:2" ht="15.75" customHeight="1" x14ac:dyDescent="0.25">
      <c r="A1227" s="13" t="str">
        <f ca="1">IFERROR(__xludf.DUMMYFUNCTION("""COMPUTED_VALUE"""),"diag_c_model2rd_acc_nomogram")</f>
        <v>diag_c_model2rd_acc_nomogram</v>
      </c>
      <c r="B1227" s="13" t="str">
        <f ca="1">IFERROR(__xludf.DUMMYFUNCTION("""COMPUTED_VALUE"""),"Точность номограммы РД 153-34.0-46.302-00")</f>
        <v>Точность номограммы РД 153-34.0-46.302-00</v>
      </c>
    </row>
    <row r="1228" spans="1:2" ht="15.75" customHeight="1" x14ac:dyDescent="0.25">
      <c r="A1228" s="13" t="str">
        <f ca="1">IFERROR(__xludf.DUMMYFUNCTION("""COMPUTED_VALUE"""),"diag_c_model2rd_nomogram")</f>
        <v>diag_c_model2rd_nomogram</v>
      </c>
      <c r="B1228" s="13" t="str">
        <f ca="1">IFERROR(__xludf.DUMMYFUNCTION("""COMPUTED_VALUE"""),"Данные для построения номограммы РД 153-34.0-46.302-00")</f>
        <v>Данные для построения номограммы РД 153-34.0-46.302-00</v>
      </c>
    </row>
    <row r="1229" spans="1:2" ht="15.75" customHeight="1" x14ac:dyDescent="0.25">
      <c r="A1229" s="13" t="str">
        <f ca="1">IFERROR(__xludf.DUMMYFUNCTION("""COMPUTED_VALUE"""),"diag_c_model2rd_num_nomogram")</f>
        <v>diag_c_model2rd_num_nomogram</v>
      </c>
      <c r="B1229" s="13" t="str">
        <f ca="1">IFERROR(__xludf.DUMMYFUNCTION("""COMPUTED_VALUE"""),"Номер номограммы РД 153-34.0-46.302-00")</f>
        <v>Номер номограммы РД 153-34.0-46.302-00</v>
      </c>
    </row>
    <row r="1230" spans="1:2" ht="15.75" customHeight="1" x14ac:dyDescent="0.25">
      <c r="A1230" s="13" t="str">
        <f ca="1">IFERROR(__xludf.DUMMYFUNCTION("""COMPUTED_VALUE"""),"diag_c_model3")</f>
        <v>diag_c_model3</v>
      </c>
      <c r="B1230" s="13" t="str">
        <f ca="1">IFERROR(__xludf.DUMMYFUNCTION("""COMPUTED_VALUE"""),"Диагностика по методу Давиденко-Овчинникова")</f>
        <v>Диагностика по методу Давиденко-Овчинникова</v>
      </c>
    </row>
    <row r="1231" spans="1:2" ht="15.75" customHeight="1" x14ac:dyDescent="0.25">
      <c r="A1231" s="13" t="str">
        <f ca="1">IFERROR(__xludf.DUMMYFUNCTION("""COMPUTED_VALUE"""),"diag_c_model3_num_in_table")</f>
        <v>diag_c_model3_num_in_table</v>
      </c>
      <c r="B1231" s="13" t="str">
        <f ca="1">IFERROR(__xludf.DUMMYFUNCTION("""COMPUTED_VALUE"""),"Номер строки в таблице 7 СТО 34.01-23-003-2019")</f>
        <v>Номер строки в таблице 7 СТО 34.01-23-003-2019</v>
      </c>
    </row>
    <row r="1232" spans="1:2" ht="15.75" customHeight="1" x14ac:dyDescent="0.25">
      <c r="A1232" s="13" t="str">
        <f ca="1">IFERROR(__xludf.DUMMYFUNCTION("""COMPUTED_VALUE"""),"diag_c_model4")</f>
        <v>diag_c_model4</v>
      </c>
      <c r="B1232" s="13" t="str">
        <f ca="1">IFERROR(__xludf.DUMMYFUNCTION("""COMPUTED_VALUE"""),"Диагностика по соотношению CO2 / CO")</f>
        <v>Диагностика по соотношению CO2 / CO</v>
      </c>
    </row>
    <row r="1233" spans="1:2" ht="15.75" customHeight="1" x14ac:dyDescent="0.25">
      <c r="A1233" s="13" t="str">
        <f ca="1">IFERROR(__xludf.DUMMYFUNCTION("""COMPUTED_VALUE"""),"diag_c_roc_c2h2")</f>
        <v>diag_c_roc_c2h2</v>
      </c>
      <c r="B1233" s="13" t="str">
        <f ca="1">IFERROR(__xludf.DUMMYFUNCTION("""COMPUTED_VALUE"""),"Статус срабатывания уставок по скорости изменения концентрации ацетилена")</f>
        <v>Статус срабатывания уставок по скорости изменения концентрации ацетилена</v>
      </c>
    </row>
    <row r="1234" spans="1:2" ht="15.75" customHeight="1" x14ac:dyDescent="0.25">
      <c r="A1234" s="13" t="str">
        <f ca="1">IFERROR(__xludf.DUMMYFUNCTION("""COMPUTED_VALUE"""),"diag_c_roc_c2h4")</f>
        <v>diag_c_roc_c2h4</v>
      </c>
      <c r="B1234" s="13" t="str">
        <f ca="1">IFERROR(__xludf.DUMMYFUNCTION("""COMPUTED_VALUE"""),"Статус срабатывания уставок по скорости изменения концентрации этилена")</f>
        <v>Статус срабатывания уставок по скорости изменения концентрации этилена</v>
      </c>
    </row>
    <row r="1235" spans="1:2" ht="15.75" customHeight="1" x14ac:dyDescent="0.25">
      <c r="A1235" s="13" t="str">
        <f ca="1">IFERROR(__xludf.DUMMYFUNCTION("""COMPUTED_VALUE"""),"diag_c_roc_c2h6")</f>
        <v>diag_c_roc_c2h6</v>
      </c>
      <c r="B1235" s="13" t="str">
        <f ca="1">IFERROR(__xludf.DUMMYFUNCTION("""COMPUTED_VALUE"""),"Статус срабатывания уставок по скорости изменения концентрации этана")</f>
        <v>Статус срабатывания уставок по скорости изменения концентрации этана</v>
      </c>
    </row>
    <row r="1236" spans="1:2" ht="15.75" customHeight="1" x14ac:dyDescent="0.25">
      <c r="A1236" s="13" t="str">
        <f ca="1">IFERROR(__xludf.DUMMYFUNCTION("""COMPUTED_VALUE"""),"diag_c_roc_ch4")</f>
        <v>diag_c_roc_ch4</v>
      </c>
      <c r="B1236" s="13" t="str">
        <f ca="1">IFERROR(__xludf.DUMMYFUNCTION("""COMPUTED_VALUE"""),"Статус срабатывания уставок по скорости изменения концентрации метана")</f>
        <v>Статус срабатывания уставок по скорости изменения концентрации метана</v>
      </c>
    </row>
    <row r="1237" spans="1:2" ht="15.75" customHeight="1" x14ac:dyDescent="0.25">
      <c r="A1237" s="13" t="str">
        <f ca="1">IFERROR(__xludf.DUMMYFUNCTION("""COMPUTED_VALUE"""),"diag_c_roc_co")</f>
        <v>diag_c_roc_co</v>
      </c>
      <c r="B1237" s="13" t="str">
        <f ca="1">IFERROR(__xludf.DUMMYFUNCTION("""COMPUTED_VALUE"""),"Статус срабатывания уставок по скорости изменения концентрации оксида углерода")</f>
        <v>Статус срабатывания уставок по скорости изменения концентрации оксида углерода</v>
      </c>
    </row>
    <row r="1238" spans="1:2" ht="15.75" customHeight="1" x14ac:dyDescent="0.25">
      <c r="A1238" s="13" t="str">
        <f ca="1">IFERROR(__xludf.DUMMYFUNCTION("""COMPUTED_VALUE"""),"diag_c_roc_co2")</f>
        <v>diag_c_roc_co2</v>
      </c>
      <c r="B1238" s="13" t="str">
        <f ca="1">IFERROR(__xludf.DUMMYFUNCTION("""COMPUTED_VALUE"""),"Статус срабатывания уставок по скорости изменения концентрации диоксида углерода")</f>
        <v>Статус срабатывания уставок по скорости изменения концентрации диоксида углерода</v>
      </c>
    </row>
    <row r="1239" spans="1:2" ht="15.75" customHeight="1" x14ac:dyDescent="0.25">
      <c r="A1239" s="13" t="str">
        <f ca="1">IFERROR(__xludf.DUMMYFUNCTION("""COMPUTED_VALUE"""),"diag_c_roc_h2")</f>
        <v>diag_c_roc_h2</v>
      </c>
      <c r="B1239" s="13" t="str">
        <f ca="1">IFERROR(__xludf.DUMMYFUNCTION("""COMPUTED_VALUE"""),"Статус срабатывания уставок по скорости изменения концентрации водорода")</f>
        <v>Статус срабатывания уставок по скорости изменения концентрации водорода</v>
      </c>
    </row>
    <row r="1240" spans="1:2" ht="15.75" customHeight="1" x14ac:dyDescent="0.25">
      <c r="A1240" s="13" t="str">
        <f ca="1">IFERROR(__xludf.DUMMYFUNCTION("""COMPUTED_VALUE"""),"diag_c_tcgh2")</f>
        <v>diag_c_tcgh2</v>
      </c>
      <c r="B1240" s="13" t="str">
        <f ca="1">IFERROR(__xludf.DUMMYFUNCTION("""COMPUTED_VALUE"""),"Статус срабатывания уставки по концентрации горючих газов и водорода")</f>
        <v>Статус срабатывания уставки по концентрации горючих газов и водорода</v>
      </c>
    </row>
    <row r="1241" spans="1:2" ht="15.75" customHeight="1" x14ac:dyDescent="0.25">
      <c r="A1241" s="13" t="str">
        <f ca="1">IFERROR(__xludf.DUMMYFUNCTION("""COMPUTED_VALUE"""),"diag_c_tcgh2_roc_abs_day")</f>
        <v>diag_c_tcgh2_roc_abs_day</v>
      </c>
      <c r="B1241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сутки")</f>
        <v>Статус срабатывания уставок по скорости роста общей концентрации горючих газов и водорода абсолютного, сутки</v>
      </c>
    </row>
    <row r="1242" spans="1:2" ht="15.75" customHeight="1" x14ac:dyDescent="0.25">
      <c r="A1242" s="13" t="str">
        <f ca="1">IFERROR(__xludf.DUMMYFUNCTION("""COMPUTED_VALUE"""),"diag_c_tcgh2_roc_abs_month")</f>
        <v>diag_c_tcgh2_roc_abs_month</v>
      </c>
      <c r="B1242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месяц")</f>
        <v>Статус срабатывания уставок по скорости роста общей концентрации горючих газов и водорода абсолютного, месяц</v>
      </c>
    </row>
    <row r="1243" spans="1:2" ht="15.75" customHeight="1" x14ac:dyDescent="0.25">
      <c r="A1243" s="13" t="str">
        <f ca="1">IFERROR(__xludf.DUMMYFUNCTION("""COMPUTED_VALUE"""),"diag_c_tcgh2_roc_abs_week")</f>
        <v>diag_c_tcgh2_roc_abs_week</v>
      </c>
      <c r="B1243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неделя")</f>
        <v>Статус срабатывания уставок по скорости роста общей концентрации горючих газов и водорода абсолютного, неделя</v>
      </c>
    </row>
    <row r="1244" spans="1:2" ht="15.75" customHeight="1" x14ac:dyDescent="0.25">
      <c r="A1244" s="13" t="str">
        <f ca="1">IFERROR(__xludf.DUMMYFUNCTION("""COMPUTED_VALUE"""),"diag_c_tcgh2_roc_abs_year")</f>
        <v>diag_c_tcgh2_roc_abs_year</v>
      </c>
      <c r="B1244" s="13" t="str">
        <f ca="1">IFERROR(__xludf.DUMMYFUNCTION("""COMPUTED_VALUE"""),"Статус срабатывания уставок по скорости роста общей концентрации горючих газов и водорода абсолютного, год")</f>
        <v>Статус срабатывания уставок по скорости роста общей концентрации горючих газов и водорода абсолютного, год</v>
      </c>
    </row>
    <row r="1245" spans="1:2" ht="15.75" customHeight="1" x14ac:dyDescent="0.25">
      <c r="A1245" s="13" t="str">
        <f ca="1">IFERROR(__xludf.DUMMYFUNCTION("""COMPUTED_VALUE"""),"diag_c_tcgh2_roc_rel_day")</f>
        <v>diag_c_tcgh2_roc_rel_day</v>
      </c>
      <c r="B1245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сутки")</f>
        <v>Статус срабатывания уставок по скорости роста общей концентрации горючих газов и водорода относительного, сутки</v>
      </c>
    </row>
    <row r="1246" spans="1:2" ht="15.75" customHeight="1" x14ac:dyDescent="0.25">
      <c r="A1246" s="13" t="str">
        <f ca="1">IFERROR(__xludf.DUMMYFUNCTION("""COMPUTED_VALUE"""),"diag_c_tcgh2_roc_rel_month")</f>
        <v>diag_c_tcgh2_roc_rel_month</v>
      </c>
      <c r="B1246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месяц")</f>
        <v>Статус срабатывания уставок по скорости роста общей концентрации горючих газов и водорода относительного, месяц</v>
      </c>
    </row>
    <row r="1247" spans="1:2" ht="15.75" customHeight="1" x14ac:dyDescent="0.25">
      <c r="A1247" s="13" t="str">
        <f ca="1">IFERROR(__xludf.DUMMYFUNCTION("""COMPUTED_VALUE"""),"diag_c_tcgh2_roc_rel_week")</f>
        <v>diag_c_tcgh2_roc_rel_week</v>
      </c>
      <c r="B1247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неделя")</f>
        <v>Статус срабатывания уставок по скорости роста общей концентрации горючих газов и водорода относительного, неделя</v>
      </c>
    </row>
    <row r="1248" spans="1:2" ht="15.75" customHeight="1" x14ac:dyDescent="0.25">
      <c r="A1248" s="13" t="str">
        <f ca="1">IFERROR(__xludf.DUMMYFUNCTION("""COMPUTED_VALUE"""),"diag_c_tcgh2_roc_rel_year")</f>
        <v>diag_c_tcgh2_roc_rel_year</v>
      </c>
      <c r="B1248" s="13" t="str">
        <f ca="1">IFERROR(__xludf.DUMMYFUNCTION("""COMPUTED_VALUE"""),"Статус срабатывания уставок по скорости роста общей концентрации горючих газов и водорода относительного, год")</f>
        <v>Статус срабатывания уставок по скорости роста общей концентрации горючих газов и водорода относительного, год</v>
      </c>
    </row>
    <row r="1249" spans="1:2" ht="15.75" customHeight="1" x14ac:dyDescent="0.25">
      <c r="A1249" s="13" t="str">
        <f ca="1">IFERROR(__xludf.DUMMYFUNCTION("""COMPUTED_VALUE"""),"diag_coeff_long")</f>
        <v>diag_coeff_long</v>
      </c>
      <c r="B1249" s="13" t="str">
        <f ca="1">IFERROR(__xludf.DUMMYFUNCTION("""COMPUTED_VALUE"""),"Диагностика по коэффициенту допустимой длительной перегрузки")</f>
        <v>Диагностика по коэффициенту допустимой длительной перегрузки</v>
      </c>
    </row>
    <row r="1250" spans="1:2" ht="15.75" customHeight="1" x14ac:dyDescent="0.25">
      <c r="A1250" s="13" t="str">
        <f ca="1">IFERROR(__xludf.DUMMYFUNCTION("""COMPUTED_VALUE"""),"diag_cooling_efficiency")</f>
        <v>diag_cooling_efficiency</v>
      </c>
      <c r="B1250" s="13" t="str">
        <f ca="1">IFERROR(__xludf.DUMMYFUNCTION("""COMPUTED_VALUE"""),"Диагностика по эффективности охлаждения")</f>
        <v>Диагностика по эффективности охлаждения</v>
      </c>
    </row>
    <row r="1251" spans="1:2" ht="15.75" customHeight="1" x14ac:dyDescent="0.25">
      <c r="A1251" s="13" t="str">
        <f ca="1">IFERROR(__xludf.DUMMYFUNCTION("""COMPUTED_VALUE"""),"diag_counter_overvoltage_110_year")</f>
        <v>diag_counter_overvoltage_110_year</v>
      </c>
      <c r="B1251" s="13" t="str">
        <f ca="1">IFERROR(__xludf.DUMMYFUNCTION("""COMPUTED_VALUE"""),"Диагностика по числу перенапряжений кратностью 1,10: за год")</f>
        <v>Диагностика по числу перенапряжений кратностью 1,10: за год</v>
      </c>
    </row>
    <row r="1252" spans="1:2" ht="15.75" customHeight="1" x14ac:dyDescent="0.25">
      <c r="A1252" s="13" t="str">
        <f ca="1">IFERROR(__xludf.DUMMYFUNCTION("""COMPUTED_VALUE"""),"diag_counter_overvoltage_125_day")</f>
        <v>diag_counter_overvoltage_125_day</v>
      </c>
      <c r="B1252" s="13" t="str">
        <f ca="1">IFERROR(__xludf.DUMMYFUNCTION("""COMPUTED_VALUE"""),"Диагностика по числу перенапряжений кратностью 1,25: за сутки")</f>
        <v>Диагностика по числу перенапряжений кратностью 1,25: за сутки</v>
      </c>
    </row>
    <row r="1253" spans="1:2" ht="15.75" customHeight="1" x14ac:dyDescent="0.25">
      <c r="A1253" s="13" t="str">
        <f ca="1">IFERROR(__xludf.DUMMYFUNCTION("""COMPUTED_VALUE"""),"diag_counter_overvoltage_125_total")</f>
        <v>diag_counter_overvoltage_125_total</v>
      </c>
      <c r="B1253" s="13" t="str">
        <f ca="1">IFERROR(__xludf.DUMMYFUNCTION("""COMPUTED_VALUE"""),"Диагностика по числу перенапряжений кратностью 1,25: всего")</f>
        <v>Диагностика по числу перенапряжений кратностью 1,25: всего</v>
      </c>
    </row>
    <row r="1254" spans="1:2" ht="15.75" customHeight="1" x14ac:dyDescent="0.25">
      <c r="A1254" s="13" t="str">
        <f ca="1">IFERROR(__xludf.DUMMYFUNCTION("""COMPUTED_VALUE"""),"diag_counter_overvoltage_125_year")</f>
        <v>diag_counter_overvoltage_125_year</v>
      </c>
      <c r="B1254" s="13" t="str">
        <f ca="1">IFERROR(__xludf.DUMMYFUNCTION("""COMPUTED_VALUE"""),"Диагностика по числу перенапряжений кратностью 1,25: за год")</f>
        <v>Диагностика по числу перенапряжений кратностью 1,25: за год</v>
      </c>
    </row>
    <row r="1255" spans="1:2" ht="15.75" customHeight="1" x14ac:dyDescent="0.25">
      <c r="A1255" s="13" t="str">
        <f ca="1">IFERROR(__xludf.DUMMYFUNCTION("""COMPUTED_VALUE"""),"diag_dens_sf6_1")</f>
        <v>diag_dens_sf6_1</v>
      </c>
      <c r="B1255" s="13" t="str">
        <f ca="1">IFERROR(__xludf.DUMMYFUNCTION("""COMPUTED_VALUE"""),"Диагностика по плотности элегаза КРУЭ. Датчик 1")</f>
        <v>Диагностика по плотности элегаза КРУЭ. Датчик 1</v>
      </c>
    </row>
    <row r="1256" spans="1:2" ht="15.75" customHeight="1" x14ac:dyDescent="0.25">
      <c r="A1256" s="13" t="str">
        <f ca="1">IFERROR(__xludf.DUMMYFUNCTION("""COMPUTED_VALUE"""),"diag_dens_sf6_10")</f>
        <v>diag_dens_sf6_10</v>
      </c>
      <c r="B1256" s="13" t="str">
        <f ca="1">IFERROR(__xludf.DUMMYFUNCTION("""COMPUTED_VALUE"""),"Диагностика по плотности элегаза КРУЭ. Датчик 10")</f>
        <v>Диагностика по плотности элегаза КРУЭ. Датчик 10</v>
      </c>
    </row>
    <row r="1257" spans="1:2" ht="15.75" customHeight="1" x14ac:dyDescent="0.25">
      <c r="A1257" s="13" t="str">
        <f ca="1">IFERROR(__xludf.DUMMYFUNCTION("""COMPUTED_VALUE"""),"diag_dens_sf6_2")</f>
        <v>diag_dens_sf6_2</v>
      </c>
      <c r="B1257" s="13" t="str">
        <f ca="1">IFERROR(__xludf.DUMMYFUNCTION("""COMPUTED_VALUE"""),"Диагностика по плотности элегаза КРУЭ. Датчик 2")</f>
        <v>Диагностика по плотности элегаза КРУЭ. Датчик 2</v>
      </c>
    </row>
    <row r="1258" spans="1:2" ht="15.75" customHeight="1" x14ac:dyDescent="0.25">
      <c r="A1258" s="13" t="str">
        <f ca="1">IFERROR(__xludf.DUMMYFUNCTION("""COMPUTED_VALUE"""),"diag_dens_sf6_3")</f>
        <v>diag_dens_sf6_3</v>
      </c>
      <c r="B1258" s="13" t="str">
        <f ca="1">IFERROR(__xludf.DUMMYFUNCTION("""COMPUTED_VALUE"""),"Диагностика по плотности элегаза КРУЭ. Датчик 3")</f>
        <v>Диагностика по плотности элегаза КРУЭ. Датчик 3</v>
      </c>
    </row>
    <row r="1259" spans="1:2" ht="15.75" customHeight="1" x14ac:dyDescent="0.25">
      <c r="A1259" s="13" t="str">
        <f ca="1">IFERROR(__xludf.DUMMYFUNCTION("""COMPUTED_VALUE"""),"diag_dens_sf6_4")</f>
        <v>diag_dens_sf6_4</v>
      </c>
      <c r="B1259" s="13" t="str">
        <f ca="1">IFERROR(__xludf.DUMMYFUNCTION("""COMPUTED_VALUE"""),"Диагностика по плотности элегаза КРУЭ. Датчик 4")</f>
        <v>Диагностика по плотности элегаза КРУЭ. Датчик 4</v>
      </c>
    </row>
    <row r="1260" spans="1:2" ht="15.75" customHeight="1" x14ac:dyDescent="0.25">
      <c r="A1260" s="13" t="str">
        <f ca="1">IFERROR(__xludf.DUMMYFUNCTION("""COMPUTED_VALUE"""),"diag_dens_sf6_5")</f>
        <v>diag_dens_sf6_5</v>
      </c>
      <c r="B1260" s="13" t="str">
        <f ca="1">IFERROR(__xludf.DUMMYFUNCTION("""COMPUTED_VALUE"""),"Диагностика по плотности элегаза КРУЭ. Датчик 5")</f>
        <v>Диагностика по плотности элегаза КРУЭ. Датчик 5</v>
      </c>
    </row>
    <row r="1261" spans="1:2" ht="15.75" customHeight="1" x14ac:dyDescent="0.25">
      <c r="A1261" s="13" t="str">
        <f ca="1">IFERROR(__xludf.DUMMYFUNCTION("""COMPUTED_VALUE"""),"diag_dens_sf6_6")</f>
        <v>diag_dens_sf6_6</v>
      </c>
      <c r="B1261" s="13" t="str">
        <f ca="1">IFERROR(__xludf.DUMMYFUNCTION("""COMPUTED_VALUE"""),"Диагностика по плотности элегаза КРУЭ. Датчик 6")</f>
        <v>Диагностика по плотности элегаза КРУЭ. Датчик 6</v>
      </c>
    </row>
    <row r="1262" spans="1:2" ht="15.75" customHeight="1" x14ac:dyDescent="0.25">
      <c r="A1262" s="13" t="str">
        <f ca="1">IFERROR(__xludf.DUMMYFUNCTION("""COMPUTED_VALUE"""),"diag_dens_sf6_7")</f>
        <v>diag_dens_sf6_7</v>
      </c>
      <c r="B1262" s="13" t="str">
        <f ca="1">IFERROR(__xludf.DUMMYFUNCTION("""COMPUTED_VALUE"""),"Диагностика по плотности элегаза КРУЭ. Датчик 7")</f>
        <v>Диагностика по плотности элегаза КРУЭ. Датчик 7</v>
      </c>
    </row>
    <row r="1263" spans="1:2" ht="15.75" customHeight="1" x14ac:dyDescent="0.25">
      <c r="A1263" s="13" t="str">
        <f ca="1">IFERROR(__xludf.DUMMYFUNCTION("""COMPUTED_VALUE"""),"diag_dens_sf6_8")</f>
        <v>diag_dens_sf6_8</v>
      </c>
      <c r="B1263" s="13" t="str">
        <f ca="1">IFERROR(__xludf.DUMMYFUNCTION("""COMPUTED_VALUE"""),"Диагностика по плотности элегаза КРУЭ. Датчик 8")</f>
        <v>Диагностика по плотности элегаза КРУЭ. Датчик 8</v>
      </c>
    </row>
    <row r="1264" spans="1:2" ht="15.75" customHeight="1" x14ac:dyDescent="0.25">
      <c r="A1264" s="13" t="str">
        <f ca="1">IFERROR(__xludf.DUMMYFUNCTION("""COMPUTED_VALUE"""),"diag_dens_sf6_9")</f>
        <v>diag_dens_sf6_9</v>
      </c>
      <c r="B1264" s="13" t="str">
        <f ca="1">IFERROR(__xludf.DUMMYFUNCTION("""COMPUTED_VALUE"""),"Диагностика по плотности элегаза КРУЭ. Датчик 9")</f>
        <v>Диагностика по плотности элегаза КРУЭ. Датчик 9</v>
      </c>
    </row>
    <row r="1265" spans="1:2" ht="15.75" customHeight="1" x14ac:dyDescent="0.25">
      <c r="A1265" s="13" t="str">
        <f ca="1">IFERROR(__xludf.DUMMYFUNCTION("""COMPUTED_VALUE"""),"diag_i_hv")</f>
        <v>diag_i_hv</v>
      </c>
      <c r="B1265" s="13" t="str">
        <f ca="1">IFERROR(__xludf.DUMMYFUNCTION("""COMPUTED_VALUE"""),"Статус контроля тока ВН")</f>
        <v>Статус контроля тока ВН</v>
      </c>
    </row>
    <row r="1266" spans="1:2" ht="15.75" customHeight="1" x14ac:dyDescent="0.25">
      <c r="A1266" s="13" t="str">
        <f ca="1">IFERROR(__xludf.DUMMYFUNCTION("""COMPUTED_VALUE"""),"diag_i_hv_max")</f>
        <v>diag_i_hv_max</v>
      </c>
      <c r="B1266" s="13" t="str">
        <f ca="1">IFERROR(__xludf.DUMMYFUNCTION("""COMPUTED_VALUE"""),"Статус наличия перегрузки по току ВН")</f>
        <v>Статус наличия перегрузки по току ВН</v>
      </c>
    </row>
    <row r="1267" spans="1:2" ht="15.75" customHeight="1" x14ac:dyDescent="0.25">
      <c r="A1267" s="13" t="str">
        <f ca="1">IFERROR(__xludf.DUMMYFUNCTION("""COMPUTED_VALUE"""),"diag_i_hv_max_duration")</f>
        <v>diag_i_hv_max_duration</v>
      </c>
      <c r="B1267" s="13" t="str">
        <f ca="1">IFERROR(__xludf.DUMMYFUNCTION("""COMPUTED_VALUE"""),"Статус контроля длительности превышения номинального тока ВН")</f>
        <v>Статус контроля длительности превышения номинального тока ВН</v>
      </c>
    </row>
    <row r="1268" spans="1:2" ht="15.75" customHeight="1" x14ac:dyDescent="0.25">
      <c r="A1268" s="13" t="str">
        <f ca="1">IFERROR(__xludf.DUMMYFUNCTION("""COMPUTED_VALUE"""),"diag_i_lv")</f>
        <v>diag_i_lv</v>
      </c>
      <c r="B1268" s="13" t="str">
        <f ca="1">IFERROR(__xludf.DUMMYFUNCTION("""COMPUTED_VALUE"""),"Статус контроля тока НН")</f>
        <v>Статус контроля тока НН</v>
      </c>
    </row>
    <row r="1269" spans="1:2" ht="15.75" customHeight="1" x14ac:dyDescent="0.25">
      <c r="A1269" s="13" t="str">
        <f ca="1">IFERROR(__xludf.DUMMYFUNCTION("""COMPUTED_VALUE"""),"diag_i_lv_max")</f>
        <v>diag_i_lv_max</v>
      </c>
      <c r="B1269" s="13" t="str">
        <f ca="1">IFERROR(__xludf.DUMMYFUNCTION("""COMPUTED_VALUE"""),"Статус наличия перегрузки по току НН")</f>
        <v>Статус наличия перегрузки по току НН</v>
      </c>
    </row>
    <row r="1270" spans="1:2" ht="15.75" customHeight="1" x14ac:dyDescent="0.25">
      <c r="A1270" s="13" t="str">
        <f ca="1">IFERROR(__xludf.DUMMYFUNCTION("""COMPUTED_VALUE"""),"diag_i_lv_max_duration")</f>
        <v>diag_i_lv_max_duration</v>
      </c>
      <c r="B1270" s="13" t="str">
        <f ca="1">IFERROR(__xludf.DUMMYFUNCTION("""COMPUTED_VALUE"""),"Статус контроля длительности превышения номинального тока НН")</f>
        <v>Статус контроля длительности превышения номинального тока НН</v>
      </c>
    </row>
    <row r="1271" spans="1:2" ht="15.75" customHeight="1" x14ac:dyDescent="0.25">
      <c r="A1271" s="13" t="str">
        <f ca="1">IFERROR(__xludf.DUMMYFUNCTION("""COMPUTED_VALUE"""),"diag_i_mv")</f>
        <v>diag_i_mv</v>
      </c>
      <c r="B1271" s="13" t="str">
        <f ca="1">IFERROR(__xludf.DUMMYFUNCTION("""COMPUTED_VALUE"""),"Статус контроля тока СН")</f>
        <v>Статус контроля тока СН</v>
      </c>
    </row>
    <row r="1272" spans="1:2" ht="15.75" customHeight="1" x14ac:dyDescent="0.25">
      <c r="A1272" s="13" t="str">
        <f ca="1">IFERROR(__xludf.DUMMYFUNCTION("""COMPUTED_VALUE"""),"diag_i_mv_max")</f>
        <v>diag_i_mv_max</v>
      </c>
      <c r="B1272" s="13" t="str">
        <f ca="1">IFERROR(__xludf.DUMMYFUNCTION("""COMPUTED_VALUE"""),"Статус наличия перегрузки по току СН")</f>
        <v>Статус наличия перегрузки по току СН</v>
      </c>
    </row>
    <row r="1273" spans="1:2" ht="15.75" customHeight="1" x14ac:dyDescent="0.25">
      <c r="A1273" s="13" t="str">
        <f ca="1">IFERROR(__xludf.DUMMYFUNCTION("""COMPUTED_VALUE"""),"diag_i_mv_max_duration")</f>
        <v>diag_i_mv_max_duration</v>
      </c>
      <c r="B1273" s="13" t="str">
        <f ca="1">IFERROR(__xludf.DUMMYFUNCTION("""COMPUTED_VALUE"""),"Статус контроля длительности превышения номинального тока СН")</f>
        <v>Статус контроля длительности превышения номинального тока СН</v>
      </c>
    </row>
    <row r="1274" spans="1:2" ht="15.75" customHeight="1" x14ac:dyDescent="0.25">
      <c r="A1274" s="13" t="str">
        <f ca="1">IFERROR(__xludf.DUMMYFUNCTION("""COMPUTED_VALUE"""),"diag_leakage_sf6_1")</f>
        <v>diag_leakage_sf6_1</v>
      </c>
      <c r="B1274" s="13" t="str">
        <f ca="1">IFERROR(__xludf.DUMMYFUNCTION("""COMPUTED_VALUE"""),"Диагностика по утечке элегаза КРУЭ. Датчик 1")</f>
        <v>Диагностика по утечке элегаза КРУЭ. Датчик 1</v>
      </c>
    </row>
    <row r="1275" spans="1:2" ht="15.75" customHeight="1" x14ac:dyDescent="0.25">
      <c r="A1275" s="13" t="str">
        <f ca="1">IFERROR(__xludf.DUMMYFUNCTION("""COMPUTED_VALUE"""),"diag_leakage_sf6_10")</f>
        <v>diag_leakage_sf6_10</v>
      </c>
      <c r="B1275" s="13" t="str">
        <f ca="1">IFERROR(__xludf.DUMMYFUNCTION("""COMPUTED_VALUE"""),"Диагностика по утечке элегаза КРУЭ. Датчик 10")</f>
        <v>Диагностика по утечке элегаза КРУЭ. Датчик 10</v>
      </c>
    </row>
    <row r="1276" spans="1:2" ht="15.75" customHeight="1" x14ac:dyDescent="0.25">
      <c r="A1276" s="13" t="str">
        <f ca="1">IFERROR(__xludf.DUMMYFUNCTION("""COMPUTED_VALUE"""),"diag_leakage_sf6_2")</f>
        <v>diag_leakage_sf6_2</v>
      </c>
      <c r="B1276" s="13" t="str">
        <f ca="1">IFERROR(__xludf.DUMMYFUNCTION("""COMPUTED_VALUE"""),"Диагностика по утечке элегаза КРУЭ. Датчик 2")</f>
        <v>Диагностика по утечке элегаза КРУЭ. Датчик 2</v>
      </c>
    </row>
    <row r="1277" spans="1:2" ht="15.75" customHeight="1" x14ac:dyDescent="0.25">
      <c r="A1277" s="13" t="str">
        <f ca="1">IFERROR(__xludf.DUMMYFUNCTION("""COMPUTED_VALUE"""),"diag_leakage_sf6_3")</f>
        <v>diag_leakage_sf6_3</v>
      </c>
      <c r="B1277" s="13" t="str">
        <f ca="1">IFERROR(__xludf.DUMMYFUNCTION("""COMPUTED_VALUE"""),"Диагностика по утечке элегаза КРУЭ. Датчик 3")</f>
        <v>Диагностика по утечке элегаза КРУЭ. Датчик 3</v>
      </c>
    </row>
    <row r="1278" spans="1:2" ht="15.75" customHeight="1" x14ac:dyDescent="0.25">
      <c r="A1278" s="13" t="str">
        <f ca="1">IFERROR(__xludf.DUMMYFUNCTION("""COMPUTED_VALUE"""),"diag_leakage_sf6_4")</f>
        <v>diag_leakage_sf6_4</v>
      </c>
      <c r="B1278" s="13" t="str">
        <f ca="1">IFERROR(__xludf.DUMMYFUNCTION("""COMPUTED_VALUE"""),"Диагностика по утечке элегаза КРУЭ. Датчик 4")</f>
        <v>Диагностика по утечке элегаза КРУЭ. Датчик 4</v>
      </c>
    </row>
    <row r="1279" spans="1:2" ht="15.75" customHeight="1" x14ac:dyDescent="0.25">
      <c r="A1279" s="13" t="str">
        <f ca="1">IFERROR(__xludf.DUMMYFUNCTION("""COMPUTED_VALUE"""),"diag_leakage_sf6_5")</f>
        <v>diag_leakage_sf6_5</v>
      </c>
      <c r="B1279" s="13" t="str">
        <f ca="1">IFERROR(__xludf.DUMMYFUNCTION("""COMPUTED_VALUE"""),"Диагностика по утечке элегаза КРУЭ. Датчик 5")</f>
        <v>Диагностика по утечке элегаза КРУЭ. Датчик 5</v>
      </c>
    </row>
    <row r="1280" spans="1:2" ht="15.75" customHeight="1" x14ac:dyDescent="0.25">
      <c r="A1280" s="13" t="str">
        <f ca="1">IFERROR(__xludf.DUMMYFUNCTION("""COMPUTED_VALUE"""),"diag_leakage_sf6_6")</f>
        <v>diag_leakage_sf6_6</v>
      </c>
      <c r="B1280" s="13" t="str">
        <f ca="1">IFERROR(__xludf.DUMMYFUNCTION("""COMPUTED_VALUE"""),"Диагностика по утечке элегаза КРУЭ. Датчик 6")</f>
        <v>Диагностика по утечке элегаза КРУЭ. Датчик 6</v>
      </c>
    </row>
    <row r="1281" spans="1:2" ht="15.75" customHeight="1" x14ac:dyDescent="0.25">
      <c r="A1281" s="13" t="str">
        <f ca="1">IFERROR(__xludf.DUMMYFUNCTION("""COMPUTED_VALUE"""),"diag_leakage_sf6_7")</f>
        <v>diag_leakage_sf6_7</v>
      </c>
      <c r="B1281" s="13" t="str">
        <f ca="1">IFERROR(__xludf.DUMMYFUNCTION("""COMPUTED_VALUE"""),"Диагностика по утечке элегаза КРУЭ. Датчик 7")</f>
        <v>Диагностика по утечке элегаза КРУЭ. Датчик 7</v>
      </c>
    </row>
    <row r="1282" spans="1:2" ht="15.75" customHeight="1" x14ac:dyDescent="0.25">
      <c r="A1282" s="13" t="str">
        <f ca="1">IFERROR(__xludf.DUMMYFUNCTION("""COMPUTED_VALUE"""),"diag_leakage_sf6_8")</f>
        <v>diag_leakage_sf6_8</v>
      </c>
      <c r="B1282" s="13" t="str">
        <f ca="1">IFERROR(__xludf.DUMMYFUNCTION("""COMPUTED_VALUE"""),"Диагностика по утечке элегаза КРУЭ. Датчик 8")</f>
        <v>Диагностика по утечке элегаза КРУЭ. Датчик 8</v>
      </c>
    </row>
    <row r="1283" spans="1:2" ht="15.75" customHeight="1" x14ac:dyDescent="0.25">
      <c r="A1283" s="13" t="str">
        <f ca="1">IFERROR(__xludf.DUMMYFUNCTION("""COMPUTED_VALUE"""),"diag_leakage_sf6_9")</f>
        <v>diag_leakage_sf6_9</v>
      </c>
      <c r="B1283" s="13" t="str">
        <f ca="1">IFERROR(__xludf.DUMMYFUNCTION("""COMPUTED_VALUE"""),"Диагностика по утечке элегаза КРУЭ. Датчик 9")</f>
        <v>Диагностика по утечке элегаза КРУЭ. Датчик 9</v>
      </c>
    </row>
    <row r="1284" spans="1:2" ht="15.75" customHeight="1" x14ac:dyDescent="0.25">
      <c r="A1284" s="13" t="str">
        <f ca="1">IFERROR(__xludf.DUMMYFUNCTION("""COMPUTED_VALUE"""),"diag_life_loss")</f>
        <v>diag_life_loss</v>
      </c>
      <c r="B1284" s="13" t="str">
        <f ca="1">IFERROR(__xludf.DUMMYFUNCTION("""COMPUTED_VALUE"""),"Диагностика по израсходованному ресурсу")</f>
        <v>Диагностика по израсходованному ресурсу</v>
      </c>
    </row>
    <row r="1285" spans="1:2" ht="15.75" customHeight="1" x14ac:dyDescent="0.25">
      <c r="A1285" s="13" t="str">
        <f ca="1">IFERROR(__xludf.DUMMYFUNCTION("""COMPUTED_VALUE"""),"diag_life_remaining")</f>
        <v>diag_life_remaining</v>
      </c>
      <c r="B1285" s="13" t="str">
        <f ca="1">IFERROR(__xludf.DUMMYFUNCTION("""COMPUTED_VALUE"""),"Диагностика по остаточному ресурсу")</f>
        <v>Диагностика по остаточному ресурсу</v>
      </c>
    </row>
    <row r="1286" spans="1:2" ht="15.75" customHeight="1" x14ac:dyDescent="0.25">
      <c r="A1286" s="13" t="str">
        <f ca="1">IFERROR(__xludf.DUMMYFUNCTION("""COMPUTED_VALUE"""),"diag_ltc_electrical_wear_pa")</f>
        <v>diag_ltc_electrical_wear_pa</v>
      </c>
      <c r="B1286" s="13" t="str">
        <f ca="1">IFERROR(__xludf.DUMMYFUNCTION("""COMPUTED_VALUE"""),"Диагностика по электрическому износу контактов РПН, фаза A")</f>
        <v>Диагностика по электрическому износу контактов РПН, фаза A</v>
      </c>
    </row>
    <row r="1287" spans="1:2" ht="15.75" customHeight="1" x14ac:dyDescent="0.25">
      <c r="A1287" s="13" t="str">
        <f ca="1">IFERROR(__xludf.DUMMYFUNCTION("""COMPUTED_VALUE"""),"diag_ltc_electrical_wear_pb")</f>
        <v>diag_ltc_electrical_wear_pb</v>
      </c>
      <c r="B1287" s="13" t="str">
        <f ca="1">IFERROR(__xludf.DUMMYFUNCTION("""COMPUTED_VALUE"""),"Диагностика по электрическому износу контактов РПН, фаза B")</f>
        <v>Диагностика по электрическому износу контактов РПН, фаза B</v>
      </c>
    </row>
    <row r="1288" spans="1:2" ht="15.75" customHeight="1" x14ac:dyDescent="0.25">
      <c r="A1288" s="13" t="str">
        <f ca="1">IFERROR(__xludf.DUMMYFUNCTION("""COMPUTED_VALUE"""),"diag_ltc_electrical_wear_pc")</f>
        <v>diag_ltc_electrical_wear_pc</v>
      </c>
      <c r="B1288" s="13" t="str">
        <f ca="1">IFERROR(__xludf.DUMMYFUNCTION("""COMPUTED_VALUE"""),"Диагностика по электрическому износу контактов РПН, фаза C")</f>
        <v>Диагностика по электрическому износу контактов РПН, фаза C</v>
      </c>
    </row>
    <row r="1289" spans="1:2" ht="15.75" customHeight="1" x14ac:dyDescent="0.25">
      <c r="A1289" s="13" t="str">
        <f ca="1">IFERROR(__xludf.DUMMYFUNCTION("""COMPUTED_VALUE"""),"diag_ltc_mechanical_wear_pa")</f>
        <v>diag_ltc_mechanical_wear_pa</v>
      </c>
      <c r="B1289" s="13" t="str">
        <f ca="1">IFERROR(__xludf.DUMMYFUNCTION("""COMPUTED_VALUE"""),"Диагностика по механическому износу контактов РПН, фаза A")</f>
        <v>Диагностика по механическому износу контактов РПН, фаза A</v>
      </c>
    </row>
    <row r="1290" spans="1:2" ht="15.75" customHeight="1" x14ac:dyDescent="0.25">
      <c r="A1290" s="13" t="str">
        <f ca="1">IFERROR(__xludf.DUMMYFUNCTION("""COMPUTED_VALUE"""),"diag_ltc_mechanical_wear_pb")</f>
        <v>diag_ltc_mechanical_wear_pb</v>
      </c>
      <c r="B1290" s="13" t="str">
        <f ca="1">IFERROR(__xludf.DUMMYFUNCTION("""COMPUTED_VALUE"""),"Диагностика по механическому износу контактов РПН, фаза B")</f>
        <v>Диагностика по механическому износу контактов РПН, фаза B</v>
      </c>
    </row>
    <row r="1291" spans="1:2" ht="15.75" customHeight="1" x14ac:dyDescent="0.25">
      <c r="A1291" s="13" t="str">
        <f ca="1">IFERROR(__xludf.DUMMYFUNCTION("""COMPUTED_VALUE"""),"diag_ltc_mechanical_wear_pc")</f>
        <v>diag_ltc_mechanical_wear_pc</v>
      </c>
      <c r="B1291" s="13" t="str">
        <f ca="1">IFERROR(__xludf.DUMMYFUNCTION("""COMPUTED_VALUE"""),"Диагностика по механическому износу контактов РПН, фаза C")</f>
        <v>Диагностика по механическому износу контактов РПН, фаза C</v>
      </c>
    </row>
    <row r="1292" spans="1:2" ht="15.75" customHeight="1" x14ac:dyDescent="0.25">
      <c r="A1292" s="13" t="str">
        <f ca="1">IFERROR(__xludf.DUMMYFUNCTION("""COMPUTED_VALUE"""),"diag_ltc_oil_level")</f>
        <v>diag_ltc_oil_level</v>
      </c>
      <c r="B1292" s="13" t="str">
        <f ca="1">IFERROR(__xludf.DUMMYFUNCTION("""COMPUTED_VALUE"""),"Диагностика по уровню масла в баке РПН")</f>
        <v>Диагностика по уровню масла в баке РПН</v>
      </c>
    </row>
    <row r="1293" spans="1:2" ht="15.75" customHeight="1" x14ac:dyDescent="0.25">
      <c r="A1293" s="13" t="str">
        <f ca="1">IFERROR(__xludf.DUMMYFUNCTION("""COMPUTED_VALUE"""),"diag_oil_level")</f>
        <v>diag_oil_level</v>
      </c>
      <c r="B1293" s="13" t="str">
        <f ca="1">IFERROR(__xludf.DUMMYFUNCTION("""COMPUTED_VALUE"""),"Диагностика по уровню масла в баке трансформатора")</f>
        <v>Диагностика по уровню масла в баке трансформатора</v>
      </c>
    </row>
    <row r="1294" spans="1:2" ht="15.75" customHeight="1" x14ac:dyDescent="0.25">
      <c r="A1294" s="13" t="str">
        <f ca="1">IFERROR(__xludf.DUMMYFUNCTION("""COMPUTED_VALUE"""),"diag_overvoltage_pa_hv")</f>
        <v>diag_overvoltage_pa_hv</v>
      </c>
      <c r="B1294" s="13" t="str">
        <f ca="1">IFERROR(__xludf.DUMMYFUNCTION("""COMPUTED_VALUE"""),"Статус срабатывания уставок по превышению фазного наибольшего рабочего напряжения, фаза А")</f>
        <v>Статус срабатывания уставок по превышению фазного наибольшего рабочего напряжения, фаза А</v>
      </c>
    </row>
    <row r="1295" spans="1:2" ht="15.75" customHeight="1" x14ac:dyDescent="0.25">
      <c r="A1295" s="13" t="str">
        <f ca="1">IFERROR(__xludf.DUMMYFUNCTION("""COMPUTED_VALUE"""),"diag_overvoltage_pab_hv")</f>
        <v>diag_overvoltage_pab_hv</v>
      </c>
      <c r="B1295" s="13" t="str">
        <f ca="1">IFERROR(__xludf.DUMMYFUNCTION("""COMPUTED_VALUE"""),"Статус срабатывания уставок по превышению линейного наибольшего рабочего напряжения, фазы А и В")</f>
        <v>Статус срабатывания уставок по превышению линейного наибольшего рабочего напряжения, фазы А и В</v>
      </c>
    </row>
    <row r="1296" spans="1:2" ht="15.75" customHeight="1" x14ac:dyDescent="0.25">
      <c r="A1296" s="13" t="str">
        <f ca="1">IFERROR(__xludf.DUMMYFUNCTION("""COMPUTED_VALUE"""),"diag_overvoltage_pb_hv")</f>
        <v>diag_overvoltage_pb_hv</v>
      </c>
      <c r="B1296" s="13" t="str">
        <f ca="1">IFERROR(__xludf.DUMMYFUNCTION("""COMPUTED_VALUE"""),"Статус срабатывания уставок по превышению фазного наибольшего рабочего напряжения, фаза В")</f>
        <v>Статус срабатывания уставок по превышению фазного наибольшего рабочего напряжения, фаза В</v>
      </c>
    </row>
    <row r="1297" spans="1:2" ht="15.75" customHeight="1" x14ac:dyDescent="0.25">
      <c r="A1297" s="13" t="str">
        <f ca="1">IFERROR(__xludf.DUMMYFUNCTION("""COMPUTED_VALUE"""),"diag_overvoltage_pbc_hv")</f>
        <v>diag_overvoltage_pbc_hv</v>
      </c>
      <c r="B1297" s="13" t="str">
        <f ca="1">IFERROR(__xludf.DUMMYFUNCTION("""COMPUTED_VALUE"""),"Статус срабатывания уставок по превышению линейного наибольшего рабочего напряжения, фазы В и С")</f>
        <v>Статус срабатывания уставок по превышению линейного наибольшего рабочего напряжения, фазы В и С</v>
      </c>
    </row>
    <row r="1298" spans="1:2" ht="15.75" customHeight="1" x14ac:dyDescent="0.25">
      <c r="A1298" s="13" t="str">
        <f ca="1">IFERROR(__xludf.DUMMYFUNCTION("""COMPUTED_VALUE"""),"diag_overvoltage_pc_hv")</f>
        <v>diag_overvoltage_pc_hv</v>
      </c>
      <c r="B1298" s="13" t="str">
        <f ca="1">IFERROR(__xludf.DUMMYFUNCTION("""COMPUTED_VALUE"""),"Статус срабатывания уставок по превышению фазного наибольшего рабочего напряжения, фаза С")</f>
        <v>Статус срабатывания уставок по превышению фазного наибольшего рабочего напряжения, фаза С</v>
      </c>
    </row>
    <row r="1299" spans="1:2" ht="15.75" customHeight="1" x14ac:dyDescent="0.25">
      <c r="A1299" s="13" t="str">
        <f ca="1">IFERROR(__xludf.DUMMYFUNCTION("""COMPUTED_VALUE"""),"diag_overvoltage_pca_hv")</f>
        <v>diag_overvoltage_pca_hv</v>
      </c>
      <c r="B1299" s="13" t="str">
        <f ca="1">IFERROR(__xludf.DUMMYFUNCTION("""COMPUTED_VALUE"""),"Статус срабатывания уставок по превышению линейного наибольшего рабочего напряжения, фазы С и А")</f>
        <v>Статус срабатывания уставок по превышению линейного наибольшего рабочего напряжения, фазы С и А</v>
      </c>
    </row>
    <row r="1300" spans="1:2" ht="15.75" customHeight="1" x14ac:dyDescent="0.25">
      <c r="A1300" s="13" t="str">
        <f ca="1">IFERROR(__xludf.DUMMYFUNCTION("""COMPUTED_VALUE"""),"diag_p_sf6_1")</f>
        <v>diag_p_sf6_1</v>
      </c>
      <c r="B1300" s="13" t="str">
        <f ca="1">IFERROR(__xludf.DUMMYFUNCTION("""COMPUTED_VALUE"""),"Диагностика по давлению элегаза КРУЭ. Датчик 1")</f>
        <v>Диагностика по давлению элегаза КРУЭ. Датчик 1</v>
      </c>
    </row>
    <row r="1301" spans="1:2" ht="15.75" customHeight="1" x14ac:dyDescent="0.25">
      <c r="A1301" s="13" t="str">
        <f ca="1">IFERROR(__xludf.DUMMYFUNCTION("""COMPUTED_VALUE"""),"diag_p_sf6_10")</f>
        <v>diag_p_sf6_10</v>
      </c>
      <c r="B1301" s="13" t="str">
        <f ca="1">IFERROR(__xludf.DUMMYFUNCTION("""COMPUTED_VALUE"""),"Диагностика по давлению элегаза КРУЭ. Датчик 10")</f>
        <v>Диагностика по давлению элегаза КРУЭ. Датчик 10</v>
      </c>
    </row>
    <row r="1302" spans="1:2" ht="15.75" customHeight="1" x14ac:dyDescent="0.25">
      <c r="A1302" s="13" t="str">
        <f ca="1">IFERROR(__xludf.DUMMYFUNCTION("""COMPUTED_VALUE"""),"diag_p_sf6_2")</f>
        <v>diag_p_sf6_2</v>
      </c>
      <c r="B1302" s="13" t="str">
        <f ca="1">IFERROR(__xludf.DUMMYFUNCTION("""COMPUTED_VALUE"""),"Диагностика по давлению элегаза КРУЭ. Датчик 2")</f>
        <v>Диагностика по давлению элегаза КРУЭ. Датчик 2</v>
      </c>
    </row>
    <row r="1303" spans="1:2" ht="15.75" customHeight="1" x14ac:dyDescent="0.25">
      <c r="A1303" s="13" t="str">
        <f ca="1">IFERROR(__xludf.DUMMYFUNCTION("""COMPUTED_VALUE"""),"diag_p_sf6_3")</f>
        <v>diag_p_sf6_3</v>
      </c>
      <c r="B1303" s="13" t="str">
        <f ca="1">IFERROR(__xludf.DUMMYFUNCTION("""COMPUTED_VALUE"""),"Диагностика по давлению элегаза КРУЭ. Датчик 3")</f>
        <v>Диагностика по давлению элегаза КРУЭ. Датчик 3</v>
      </c>
    </row>
    <row r="1304" spans="1:2" ht="15.75" customHeight="1" x14ac:dyDescent="0.25">
      <c r="A1304" s="13" t="str">
        <f ca="1">IFERROR(__xludf.DUMMYFUNCTION("""COMPUTED_VALUE"""),"diag_p_sf6_4")</f>
        <v>diag_p_sf6_4</v>
      </c>
      <c r="B1304" s="13" t="str">
        <f ca="1">IFERROR(__xludf.DUMMYFUNCTION("""COMPUTED_VALUE"""),"Диагностика по давлению элегаза КРУЭ. Датчик 4")</f>
        <v>Диагностика по давлению элегаза КРУЭ. Датчик 4</v>
      </c>
    </row>
    <row r="1305" spans="1:2" ht="15.75" customHeight="1" x14ac:dyDescent="0.25">
      <c r="A1305" s="13" t="str">
        <f ca="1">IFERROR(__xludf.DUMMYFUNCTION("""COMPUTED_VALUE"""),"diag_p_sf6_5")</f>
        <v>diag_p_sf6_5</v>
      </c>
      <c r="B1305" s="13" t="str">
        <f ca="1">IFERROR(__xludf.DUMMYFUNCTION("""COMPUTED_VALUE"""),"Диагностика по давлению элегаза КРУЭ. Датчик 5")</f>
        <v>Диагностика по давлению элегаза КРУЭ. Датчик 5</v>
      </c>
    </row>
    <row r="1306" spans="1:2" ht="15.75" customHeight="1" x14ac:dyDescent="0.25">
      <c r="A1306" s="13" t="str">
        <f ca="1">IFERROR(__xludf.DUMMYFUNCTION("""COMPUTED_VALUE"""),"diag_p_sf6_6")</f>
        <v>diag_p_sf6_6</v>
      </c>
      <c r="B1306" s="13" t="str">
        <f ca="1">IFERROR(__xludf.DUMMYFUNCTION("""COMPUTED_VALUE"""),"Диагностика по давлению элегаза КРУЭ. Датчик 6")</f>
        <v>Диагностика по давлению элегаза КРУЭ. Датчик 6</v>
      </c>
    </row>
    <row r="1307" spans="1:2" ht="15.75" customHeight="1" x14ac:dyDescent="0.25">
      <c r="A1307" s="13" t="str">
        <f ca="1">IFERROR(__xludf.DUMMYFUNCTION("""COMPUTED_VALUE"""),"diag_p_sf6_7")</f>
        <v>diag_p_sf6_7</v>
      </c>
      <c r="B1307" s="13" t="str">
        <f ca="1">IFERROR(__xludf.DUMMYFUNCTION("""COMPUTED_VALUE"""),"Диагностика по давлению элегаза КРУЭ. Датчик 7")</f>
        <v>Диагностика по давлению элегаза КРУЭ. Датчик 7</v>
      </c>
    </row>
    <row r="1308" spans="1:2" ht="15.75" customHeight="1" x14ac:dyDescent="0.25">
      <c r="A1308" s="13" t="str">
        <f ca="1">IFERROR(__xludf.DUMMYFUNCTION("""COMPUTED_VALUE"""),"diag_p_sf6_8")</f>
        <v>diag_p_sf6_8</v>
      </c>
      <c r="B1308" s="13" t="str">
        <f ca="1">IFERROR(__xludf.DUMMYFUNCTION("""COMPUTED_VALUE"""),"Диагностика по давлению элегаза КРУЭ. Датчик 8")</f>
        <v>Диагностика по давлению элегаза КРУЭ. Датчик 8</v>
      </c>
    </row>
    <row r="1309" spans="1:2" ht="15.75" customHeight="1" x14ac:dyDescent="0.25">
      <c r="A1309" s="13" t="str">
        <f ca="1">IFERROR(__xludf.DUMMYFUNCTION("""COMPUTED_VALUE"""),"diag_p_sf6_9")</f>
        <v>diag_p_sf6_9</v>
      </c>
      <c r="B1309" s="13" t="str">
        <f ca="1">IFERROR(__xludf.DUMMYFUNCTION("""COMPUTED_VALUE"""),"Диагностика по давлению элегаза КРУЭ. Датчик 9")</f>
        <v>Диагностика по давлению элегаза КРУЭ. Датчик 9</v>
      </c>
    </row>
    <row r="1310" spans="1:2" ht="15.75" customHeight="1" x14ac:dyDescent="0.25">
      <c r="A1310" s="13" t="str">
        <f ca="1">IFERROR(__xludf.DUMMYFUNCTION("""COMPUTED_VALUE"""),"diag_pd_1")</f>
        <v>diag_pd_1</v>
      </c>
      <c r="B1310" s="13" t="str">
        <f ca="1">IFERROR(__xludf.DUMMYFUNCTION("""COMPUTED_VALUE"""),"Диагностика по активности ЧР в КРУЭ, датчик 1")</f>
        <v>Диагностика по активности ЧР в КРУЭ, датчик 1</v>
      </c>
    </row>
    <row r="1311" spans="1:2" ht="15.75" customHeight="1" x14ac:dyDescent="0.25">
      <c r="A1311" s="13" t="str">
        <f ca="1">IFERROR(__xludf.DUMMYFUNCTION("""COMPUTED_VALUE"""),"diag_pd_10")</f>
        <v>diag_pd_10</v>
      </c>
      <c r="B1311" s="13" t="str">
        <f ca="1">IFERROR(__xludf.DUMMYFUNCTION("""COMPUTED_VALUE"""),"Диагностика по активности ЧР в КРУЭ, датчик 10")</f>
        <v>Диагностика по активности ЧР в КРУЭ, датчик 10</v>
      </c>
    </row>
    <row r="1312" spans="1:2" ht="15.75" customHeight="1" x14ac:dyDescent="0.25">
      <c r="A1312" s="13" t="str">
        <f ca="1">IFERROR(__xludf.DUMMYFUNCTION("""COMPUTED_VALUE"""),"diag_pd_2")</f>
        <v>diag_pd_2</v>
      </c>
      <c r="B1312" s="13" t="str">
        <f ca="1">IFERROR(__xludf.DUMMYFUNCTION("""COMPUTED_VALUE"""),"Диагностика по активности ЧР в КРУЭ, датчик 2")</f>
        <v>Диагностика по активности ЧР в КРУЭ, датчик 2</v>
      </c>
    </row>
    <row r="1313" spans="1:2" ht="15.75" customHeight="1" x14ac:dyDescent="0.25">
      <c r="A1313" s="13" t="str">
        <f ca="1">IFERROR(__xludf.DUMMYFUNCTION("""COMPUTED_VALUE"""),"diag_pd_3")</f>
        <v>diag_pd_3</v>
      </c>
      <c r="B1313" s="13" t="str">
        <f ca="1">IFERROR(__xludf.DUMMYFUNCTION("""COMPUTED_VALUE"""),"Диагностика по активности ЧР в КРУЭ, датчик 3")</f>
        <v>Диагностика по активности ЧР в КРУЭ, датчик 3</v>
      </c>
    </row>
    <row r="1314" spans="1:2" ht="15.75" customHeight="1" x14ac:dyDescent="0.25">
      <c r="A1314" s="13" t="str">
        <f ca="1">IFERROR(__xludf.DUMMYFUNCTION("""COMPUTED_VALUE"""),"diag_pd_4")</f>
        <v>diag_pd_4</v>
      </c>
      <c r="B1314" s="13" t="str">
        <f ca="1">IFERROR(__xludf.DUMMYFUNCTION("""COMPUTED_VALUE"""),"Диагностика по активности ЧР в КРУЭ, датчик 4")</f>
        <v>Диагностика по активности ЧР в КРУЭ, датчик 4</v>
      </c>
    </row>
    <row r="1315" spans="1:2" ht="15.75" customHeight="1" x14ac:dyDescent="0.25">
      <c r="A1315" s="13" t="str">
        <f ca="1">IFERROR(__xludf.DUMMYFUNCTION("""COMPUTED_VALUE"""),"diag_pd_5")</f>
        <v>diag_pd_5</v>
      </c>
      <c r="B1315" s="13" t="str">
        <f ca="1">IFERROR(__xludf.DUMMYFUNCTION("""COMPUTED_VALUE"""),"Диагностика по активности ЧР в КРУЭ, датчик 5")</f>
        <v>Диагностика по активности ЧР в КРУЭ, датчик 5</v>
      </c>
    </row>
    <row r="1316" spans="1:2" ht="15.75" customHeight="1" x14ac:dyDescent="0.25">
      <c r="A1316" s="13" t="str">
        <f ca="1">IFERROR(__xludf.DUMMYFUNCTION("""COMPUTED_VALUE"""),"diag_pd_6")</f>
        <v>diag_pd_6</v>
      </c>
      <c r="B1316" s="13" t="str">
        <f ca="1">IFERROR(__xludf.DUMMYFUNCTION("""COMPUTED_VALUE"""),"Диагностика по активности ЧР в КРУЭ, датчик 6")</f>
        <v>Диагностика по активности ЧР в КРУЭ, датчик 6</v>
      </c>
    </row>
    <row r="1317" spans="1:2" ht="15.75" customHeight="1" x14ac:dyDescent="0.25">
      <c r="A1317" s="13" t="str">
        <f ca="1">IFERROR(__xludf.DUMMYFUNCTION("""COMPUTED_VALUE"""),"diag_pd_7")</f>
        <v>diag_pd_7</v>
      </c>
      <c r="B1317" s="13" t="str">
        <f ca="1">IFERROR(__xludf.DUMMYFUNCTION("""COMPUTED_VALUE"""),"Диагностика по активности ЧР в КРУЭ, датчик 7")</f>
        <v>Диагностика по активности ЧР в КРУЭ, датчик 7</v>
      </c>
    </row>
    <row r="1318" spans="1:2" ht="15.75" customHeight="1" x14ac:dyDescent="0.25">
      <c r="A1318" s="13" t="str">
        <f ca="1">IFERROR(__xludf.DUMMYFUNCTION("""COMPUTED_VALUE"""),"diag_pd_8")</f>
        <v>diag_pd_8</v>
      </c>
      <c r="B1318" s="13" t="str">
        <f ca="1">IFERROR(__xludf.DUMMYFUNCTION("""COMPUTED_VALUE"""),"Диагностика по активности ЧР в КРУЭ, датчик 8")</f>
        <v>Диагностика по активности ЧР в КРУЭ, датчик 8</v>
      </c>
    </row>
    <row r="1319" spans="1:2" ht="15.75" customHeight="1" x14ac:dyDescent="0.25">
      <c r="A1319" s="13" t="str">
        <f ca="1">IFERROR(__xludf.DUMMYFUNCTION("""COMPUTED_VALUE"""),"diag_pd_9")</f>
        <v>diag_pd_9</v>
      </c>
      <c r="B1319" s="13" t="str">
        <f ca="1">IFERROR(__xludf.DUMMYFUNCTION("""COMPUTED_VALUE"""),"Диагностика по активности ЧР в КРУЭ, датчик 9")</f>
        <v>Диагностика по активности ЧР в КРУЭ, датчик 9</v>
      </c>
    </row>
    <row r="1320" spans="1:2" ht="15.75" customHeight="1" x14ac:dyDescent="0.25">
      <c r="A1320" s="13" t="str">
        <f ca="1">IFERROR(__xludf.DUMMYFUNCTION("""COMPUTED_VALUE"""),"diag_pd_general")</f>
        <v>diag_pd_general</v>
      </c>
      <c r="B1320" s="13" t="str">
        <f ca="1">IFERROR(__xludf.DUMMYFUNCTION("""COMPUTED_VALUE"""),"Общая диагностика по активности ЧР в КРУЭ")</f>
        <v>Общая диагностика по активности ЧР в КРУЭ</v>
      </c>
    </row>
    <row r="1321" spans="1:2" ht="15.75" customHeight="1" x14ac:dyDescent="0.25">
      <c r="A1321" s="13" t="str">
        <f ca="1">IFERROR(__xludf.DUMMYFUNCTION("""COMPUTED_VALUE"""),"diag_pd_level")</f>
        <v>diag_pd_level</v>
      </c>
      <c r="B1321" s="13" t="str">
        <f ca="1">IFERROR(__xludf.DUMMYFUNCTION("""COMPUTED_VALUE"""),"Диагностика по активности ЧР")</f>
        <v>Диагностика по активности ЧР</v>
      </c>
    </row>
    <row r="1322" spans="1:2" ht="15.75" customHeight="1" x14ac:dyDescent="0.25">
      <c r="A1322" s="13" t="str">
        <f ca="1">IFERROR(__xludf.DUMMYFUNCTION("""COMPUTED_VALUE"""),"diag_roc_pd_1")</f>
        <v>diag_roc_pd_1</v>
      </c>
      <c r="B1322" s="13" t="str">
        <f ca="1">IFERROR(__xludf.DUMMYFUNCTION("""COMPUTED_VALUE"""),"Диагностика по относительному изменению характеристик ЧР в КРУЭ, датчик 1")</f>
        <v>Диагностика по относительному изменению характеристик ЧР в КРУЭ, датчик 1</v>
      </c>
    </row>
    <row r="1323" spans="1:2" ht="15.75" customHeight="1" x14ac:dyDescent="0.25">
      <c r="A1323" s="13" t="str">
        <f ca="1">IFERROR(__xludf.DUMMYFUNCTION("""COMPUTED_VALUE"""),"diag_roc_pd_10")</f>
        <v>diag_roc_pd_10</v>
      </c>
      <c r="B1323" s="13" t="str">
        <f ca="1">IFERROR(__xludf.DUMMYFUNCTION("""COMPUTED_VALUE"""),"Диагностика по относительному изменению характеристик ЧР в КРУЭ, датчик 10")</f>
        <v>Диагностика по относительному изменению характеристик ЧР в КРУЭ, датчик 10</v>
      </c>
    </row>
    <row r="1324" spans="1:2" ht="15.75" customHeight="1" x14ac:dyDescent="0.25">
      <c r="A1324" s="13" t="str">
        <f ca="1">IFERROR(__xludf.DUMMYFUNCTION("""COMPUTED_VALUE"""),"diag_roc_pd_2")</f>
        <v>diag_roc_pd_2</v>
      </c>
      <c r="B1324" s="13" t="str">
        <f ca="1">IFERROR(__xludf.DUMMYFUNCTION("""COMPUTED_VALUE"""),"Диагностика по относительному изменению характеристик ЧР в КРУЭ, датчик 2")</f>
        <v>Диагностика по относительному изменению характеристик ЧР в КРУЭ, датчик 2</v>
      </c>
    </row>
    <row r="1325" spans="1:2" ht="15.75" customHeight="1" x14ac:dyDescent="0.25">
      <c r="A1325" s="13" t="str">
        <f ca="1">IFERROR(__xludf.DUMMYFUNCTION("""COMPUTED_VALUE"""),"diag_roc_pd_3")</f>
        <v>diag_roc_pd_3</v>
      </c>
      <c r="B1325" s="13" t="str">
        <f ca="1">IFERROR(__xludf.DUMMYFUNCTION("""COMPUTED_VALUE"""),"Диагностика по относительному изменению характеристик ЧР в КРУЭ, датчик 3")</f>
        <v>Диагностика по относительному изменению характеристик ЧР в КРУЭ, датчик 3</v>
      </c>
    </row>
    <row r="1326" spans="1:2" ht="15.75" customHeight="1" x14ac:dyDescent="0.25">
      <c r="A1326" s="13" t="str">
        <f ca="1">IFERROR(__xludf.DUMMYFUNCTION("""COMPUTED_VALUE"""),"diag_roc_pd_4")</f>
        <v>diag_roc_pd_4</v>
      </c>
      <c r="B1326" s="13" t="str">
        <f ca="1">IFERROR(__xludf.DUMMYFUNCTION("""COMPUTED_VALUE"""),"Диагностика по относительному изменению характеристик ЧР в КРУЭ, датчик 4")</f>
        <v>Диагностика по относительному изменению характеристик ЧР в КРУЭ, датчик 4</v>
      </c>
    </row>
    <row r="1327" spans="1:2" ht="15.75" customHeight="1" x14ac:dyDescent="0.25">
      <c r="A1327" s="13" t="str">
        <f ca="1">IFERROR(__xludf.DUMMYFUNCTION("""COMPUTED_VALUE"""),"diag_roc_pd_5")</f>
        <v>diag_roc_pd_5</v>
      </c>
      <c r="B1327" s="13" t="str">
        <f ca="1">IFERROR(__xludf.DUMMYFUNCTION("""COMPUTED_VALUE"""),"Диагностика по относительному изменению характеристик ЧР в КРУЭ, датчик 5")</f>
        <v>Диагностика по относительному изменению характеристик ЧР в КРУЭ, датчик 5</v>
      </c>
    </row>
    <row r="1328" spans="1:2" ht="15.75" customHeight="1" x14ac:dyDescent="0.25">
      <c r="A1328" s="13" t="str">
        <f ca="1">IFERROR(__xludf.DUMMYFUNCTION("""COMPUTED_VALUE"""),"diag_roc_pd_6")</f>
        <v>diag_roc_pd_6</v>
      </c>
      <c r="B1328" s="13" t="str">
        <f ca="1">IFERROR(__xludf.DUMMYFUNCTION("""COMPUTED_VALUE"""),"Диагностика по относительному изменению характеристик ЧР в КРУЭ, датчик 6")</f>
        <v>Диагностика по относительному изменению характеристик ЧР в КРУЭ, датчик 6</v>
      </c>
    </row>
    <row r="1329" spans="1:2" ht="15.75" customHeight="1" x14ac:dyDescent="0.25">
      <c r="A1329" s="13" t="str">
        <f ca="1">IFERROR(__xludf.DUMMYFUNCTION("""COMPUTED_VALUE"""),"diag_roc_pd_7")</f>
        <v>diag_roc_pd_7</v>
      </c>
      <c r="B1329" s="13" t="str">
        <f ca="1">IFERROR(__xludf.DUMMYFUNCTION("""COMPUTED_VALUE"""),"Диагностика по относительному изменению характеристик ЧР в КРУЭ, датчик 7")</f>
        <v>Диагностика по относительному изменению характеристик ЧР в КРУЭ, датчик 7</v>
      </c>
    </row>
    <row r="1330" spans="1:2" ht="15.75" customHeight="1" x14ac:dyDescent="0.25">
      <c r="A1330" s="13" t="str">
        <f ca="1">IFERROR(__xludf.DUMMYFUNCTION("""COMPUTED_VALUE"""),"diag_roc_pd_8")</f>
        <v>diag_roc_pd_8</v>
      </c>
      <c r="B1330" s="13" t="str">
        <f ca="1">IFERROR(__xludf.DUMMYFUNCTION("""COMPUTED_VALUE"""),"Диагностика по относительному изменению характеристик ЧР в КРУЭ, датчик 8")</f>
        <v>Диагностика по относительному изменению характеристик ЧР в КРУЭ, датчик 8</v>
      </c>
    </row>
    <row r="1331" spans="1:2" ht="15.75" customHeight="1" x14ac:dyDescent="0.25">
      <c r="A1331" s="13" t="str">
        <f ca="1">IFERROR(__xludf.DUMMYFUNCTION("""COMPUTED_VALUE"""),"diag_roc_pd_9")</f>
        <v>diag_roc_pd_9</v>
      </c>
      <c r="B1331" s="13" t="str">
        <f ca="1">IFERROR(__xludf.DUMMYFUNCTION("""COMPUTED_VALUE"""),"Диагностика по относительному изменению характеристик ЧР в КРУЭ, датчик 9")</f>
        <v>Диагностика по относительному изменению характеристик ЧР в КРУЭ, датчик 9</v>
      </c>
    </row>
    <row r="1332" spans="1:2" ht="15.75" customHeight="1" x14ac:dyDescent="0.25">
      <c r="A1332" s="13" t="str">
        <f ca="1">IFERROR(__xludf.DUMMYFUNCTION("""COMPUTED_VALUE"""),"diag_rs")</f>
        <v>diag_rs</v>
      </c>
      <c r="B1332" s="13" t="str">
        <f ca="1">IFERROR(__xludf.DUMMYFUNCTION("""COMPUTED_VALUE"""),"Статус срабатывания уставок по влажности масла относительной")</f>
        <v>Статус срабатывания уставок по влажности масла относительной</v>
      </c>
    </row>
    <row r="1333" spans="1:2" ht="15.75" customHeight="1" x14ac:dyDescent="0.25">
      <c r="A1333" s="13" t="str">
        <f ca="1">IFERROR(__xludf.DUMMYFUNCTION("""COMPUTED_VALUE"""),"diag_sf6_liquefaction_1")</f>
        <v>diag_sf6_liquefaction_1</v>
      </c>
      <c r="B1333" s="13" t="str">
        <f ca="1">IFERROR(__xludf.DUMMYFUNCTION("""COMPUTED_VALUE"""),"Диагностика по температуре сжижения элегаза КРУЭ. Датчик 1")</f>
        <v>Диагностика по температуре сжижения элегаза КРУЭ. Датчик 1</v>
      </c>
    </row>
    <row r="1334" spans="1:2" ht="15.75" customHeight="1" x14ac:dyDescent="0.25">
      <c r="A1334" s="13" t="str">
        <f ca="1">IFERROR(__xludf.DUMMYFUNCTION("""COMPUTED_VALUE"""),"diag_sf6_liquefaction_10")</f>
        <v>diag_sf6_liquefaction_10</v>
      </c>
      <c r="B1334" s="13" t="str">
        <f ca="1">IFERROR(__xludf.DUMMYFUNCTION("""COMPUTED_VALUE"""),"Диагностика по температуре сжижения элегаза КРУЭ. Датчик 10")</f>
        <v>Диагностика по температуре сжижения элегаза КРУЭ. Датчик 10</v>
      </c>
    </row>
    <row r="1335" spans="1:2" ht="15.75" customHeight="1" x14ac:dyDescent="0.25">
      <c r="A1335" s="13" t="str">
        <f ca="1">IFERROR(__xludf.DUMMYFUNCTION("""COMPUTED_VALUE"""),"diag_sf6_liquefaction_2")</f>
        <v>diag_sf6_liquefaction_2</v>
      </c>
      <c r="B1335" s="13" t="str">
        <f ca="1">IFERROR(__xludf.DUMMYFUNCTION("""COMPUTED_VALUE"""),"Диагностика по температуре сжижения элегаза КРУЭ. Датчик 2")</f>
        <v>Диагностика по температуре сжижения элегаза КРУЭ. Датчик 2</v>
      </c>
    </row>
    <row r="1336" spans="1:2" ht="15.75" customHeight="1" x14ac:dyDescent="0.25">
      <c r="A1336" s="13" t="str">
        <f ca="1">IFERROR(__xludf.DUMMYFUNCTION("""COMPUTED_VALUE"""),"diag_sf6_liquefaction_3")</f>
        <v>diag_sf6_liquefaction_3</v>
      </c>
      <c r="B1336" s="13" t="str">
        <f ca="1">IFERROR(__xludf.DUMMYFUNCTION("""COMPUTED_VALUE"""),"Диагностика по температуре сжижения элегаза КРУЭ. Датчик 3")</f>
        <v>Диагностика по температуре сжижения элегаза КРУЭ. Датчик 3</v>
      </c>
    </row>
    <row r="1337" spans="1:2" ht="15.75" customHeight="1" x14ac:dyDescent="0.25">
      <c r="A1337" s="13" t="str">
        <f ca="1">IFERROR(__xludf.DUMMYFUNCTION("""COMPUTED_VALUE"""),"diag_sf6_liquefaction_4")</f>
        <v>diag_sf6_liquefaction_4</v>
      </c>
      <c r="B1337" s="13" t="str">
        <f ca="1">IFERROR(__xludf.DUMMYFUNCTION("""COMPUTED_VALUE"""),"Диагностика по температуре сжижения элегаза КРУЭ. Датчик 4")</f>
        <v>Диагностика по температуре сжижения элегаза КРУЭ. Датчик 4</v>
      </c>
    </row>
    <row r="1338" spans="1:2" ht="15.75" customHeight="1" x14ac:dyDescent="0.25">
      <c r="A1338" s="13" t="str">
        <f ca="1">IFERROR(__xludf.DUMMYFUNCTION("""COMPUTED_VALUE"""),"diag_sf6_liquefaction_5")</f>
        <v>diag_sf6_liquefaction_5</v>
      </c>
      <c r="B1338" s="13" t="str">
        <f ca="1">IFERROR(__xludf.DUMMYFUNCTION("""COMPUTED_VALUE"""),"Диагностика по температуре сжижения элегаза КРУЭ. Датчик 5")</f>
        <v>Диагностика по температуре сжижения элегаза КРУЭ. Датчик 5</v>
      </c>
    </row>
    <row r="1339" spans="1:2" ht="15.75" customHeight="1" x14ac:dyDescent="0.25">
      <c r="A1339" s="13" t="str">
        <f ca="1">IFERROR(__xludf.DUMMYFUNCTION("""COMPUTED_VALUE"""),"diag_sf6_liquefaction_6")</f>
        <v>diag_sf6_liquefaction_6</v>
      </c>
      <c r="B1339" s="13" t="str">
        <f ca="1">IFERROR(__xludf.DUMMYFUNCTION("""COMPUTED_VALUE"""),"Диагностика по температуре сжижения элегаза КРУЭ. Датчик 6")</f>
        <v>Диагностика по температуре сжижения элегаза КРУЭ. Датчик 6</v>
      </c>
    </row>
    <row r="1340" spans="1:2" ht="15.75" customHeight="1" x14ac:dyDescent="0.25">
      <c r="A1340" s="13" t="str">
        <f ca="1">IFERROR(__xludf.DUMMYFUNCTION("""COMPUTED_VALUE"""),"diag_sf6_liquefaction_7")</f>
        <v>diag_sf6_liquefaction_7</v>
      </c>
      <c r="B1340" s="13" t="str">
        <f ca="1">IFERROR(__xludf.DUMMYFUNCTION("""COMPUTED_VALUE"""),"Диагностика по температуре сжижения элегаза КРУЭ. Датчик 7")</f>
        <v>Диагностика по температуре сжижения элегаза КРУЭ. Датчик 7</v>
      </c>
    </row>
    <row r="1341" spans="1:2" ht="15.75" customHeight="1" x14ac:dyDescent="0.25">
      <c r="A1341" s="13" t="str">
        <f ca="1">IFERROR(__xludf.DUMMYFUNCTION("""COMPUTED_VALUE"""),"diag_sf6_liquefaction_8")</f>
        <v>diag_sf6_liquefaction_8</v>
      </c>
      <c r="B1341" s="13" t="str">
        <f ca="1">IFERROR(__xludf.DUMMYFUNCTION("""COMPUTED_VALUE"""),"Диагностика по температуре сжижения элегаза КРУЭ. Датчик 8")</f>
        <v>Диагностика по температуре сжижения элегаза КРУЭ. Датчик 8</v>
      </c>
    </row>
    <row r="1342" spans="1:2" ht="15.75" customHeight="1" x14ac:dyDescent="0.25">
      <c r="A1342" s="13" t="str">
        <f ca="1">IFERROR(__xludf.DUMMYFUNCTION("""COMPUTED_VALUE"""),"diag_sf6_liquefaction_9")</f>
        <v>diag_sf6_liquefaction_9</v>
      </c>
      <c r="B1342" s="13" t="str">
        <f ca="1">IFERROR(__xludf.DUMMYFUNCTION("""COMPUTED_VALUE"""),"Диагностика по температуре сжижения элегаза КРУЭ. Датчик 9")</f>
        <v>Диагностика по температуре сжижения элегаза КРУЭ. Датчик 9</v>
      </c>
    </row>
    <row r="1343" spans="1:2" ht="15.75" customHeight="1" x14ac:dyDescent="0.25">
      <c r="A1343" s="13" t="str">
        <f ca="1">IFERROR(__xludf.DUMMYFUNCTION("""COMPUTED_VALUE"""),"diag_t_cont_busbar_pa")</f>
        <v>diag_t_cont_busbar_pa</v>
      </c>
      <c r="B1343" s="13" t="str">
        <f ca="1">IFERROR(__xludf.DUMMYFUNCTION("""COMPUTED_VALUE"""),"Статус превышения уставки по ДЗ температуры контактных соединений. Отсек сборных шин. Фаза A")</f>
        <v>Статус превышения уставки по ДЗ температуры контактных соединений. Отсек сборных шин. Фаза A</v>
      </c>
    </row>
    <row r="1344" spans="1:2" ht="15.75" customHeight="1" x14ac:dyDescent="0.25">
      <c r="A1344" s="13" t="str">
        <f ca="1">IFERROR(__xludf.DUMMYFUNCTION("""COMPUTED_VALUE"""),"diag_t_cont_busbar_pb")</f>
        <v>diag_t_cont_busbar_pb</v>
      </c>
      <c r="B1344" s="13" t="str">
        <f ca="1">IFERROR(__xludf.DUMMYFUNCTION("""COMPUTED_VALUE"""),"Статус превышения уставки по ДЗ температуры контактных соединений. Отсек сборных шин. Фаза B")</f>
        <v>Статус превышения уставки по ДЗ температуры контактных соединений. Отсек сборных шин. Фаза B</v>
      </c>
    </row>
    <row r="1345" spans="1:2" ht="15.75" customHeight="1" x14ac:dyDescent="0.25">
      <c r="A1345" s="13" t="str">
        <f ca="1">IFERROR(__xludf.DUMMYFUNCTION("""COMPUTED_VALUE"""),"diag_t_cont_busbar_pc")</f>
        <v>diag_t_cont_busbar_pc</v>
      </c>
      <c r="B1345" s="13" t="str">
        <f ca="1">IFERROR(__xludf.DUMMYFUNCTION("""COMPUTED_VALUE"""),"Статус превышения уставки по ДЗ температуры контактных соединений. Отсек сборных шин. Фаза C")</f>
        <v>Статус превышения уставки по ДЗ температуры контактных соединений. Отсек сборных шин. Фаза C</v>
      </c>
    </row>
    <row r="1346" spans="1:2" ht="15.75" customHeight="1" x14ac:dyDescent="0.25">
      <c r="A1346" s="13" t="str">
        <f ca="1">IFERROR(__xludf.DUMMYFUNCTION("""COMPUTED_VALUE"""),"diag_t_cont_input_bt_pa")</f>
        <v>diag_t_cont_input_bt_pa</v>
      </c>
      <c r="B1346" s="13" t="str">
        <f ca="1">IFERROR(__xludf.DUMMYFUNCTION("""COMPUTED_VALUE"""),"Статус превышения уставки по ДЗ температуры контактных соединений отсека ввода. Нижний изолятор. Фаза A")</f>
        <v>Статус превышения уставки по ДЗ температуры контактных соединений отсека ввода. Нижний изолятор. Фаза A</v>
      </c>
    </row>
    <row r="1347" spans="1:2" ht="15.75" customHeight="1" x14ac:dyDescent="0.25">
      <c r="A1347" s="13" t="str">
        <f ca="1">IFERROR(__xludf.DUMMYFUNCTION("""COMPUTED_VALUE"""),"diag_t_cont_input_bt_pb")</f>
        <v>diag_t_cont_input_bt_pb</v>
      </c>
      <c r="B1347" s="13" t="str">
        <f ca="1">IFERROR(__xludf.DUMMYFUNCTION("""COMPUTED_VALUE"""),"Статус превышения уставки по ДЗ температуры контактных соединений отсека ввода. Нижний изолятор. Фаза B")</f>
        <v>Статус превышения уставки по ДЗ температуры контактных соединений отсека ввода. Нижний изолятор. Фаза B</v>
      </c>
    </row>
    <row r="1348" spans="1:2" ht="15.75" customHeight="1" x14ac:dyDescent="0.25">
      <c r="A1348" s="13" t="str">
        <f ca="1">IFERROR(__xludf.DUMMYFUNCTION("""COMPUTED_VALUE"""),"diag_t_cont_input_bt_pc")</f>
        <v>diag_t_cont_input_bt_pc</v>
      </c>
      <c r="B1348" s="13" t="str">
        <f ca="1">IFERROR(__xludf.DUMMYFUNCTION("""COMPUTED_VALUE"""),"Статус превышения уставки по ДЗ температуры контактных соединений отсека ввода. Нижний изолятор. Фаза C")</f>
        <v>Статус превышения уставки по ДЗ температуры контактных соединений отсека ввода. Нижний изолятор. Фаза C</v>
      </c>
    </row>
    <row r="1349" spans="1:2" ht="15.75" customHeight="1" x14ac:dyDescent="0.25">
      <c r="A1349" s="13" t="str">
        <f ca="1">IFERROR(__xludf.DUMMYFUNCTION("""COMPUTED_VALUE"""),"diag_t_cont_input_tp_pa")</f>
        <v>diag_t_cont_input_tp_pa</v>
      </c>
      <c r="B1349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A")</f>
        <v>Статус превышения уставки по ДЗ температуры контактных соединений отсека ввода. Верхний изолятор. Фаза A</v>
      </c>
    </row>
    <row r="1350" spans="1:2" ht="15.75" customHeight="1" x14ac:dyDescent="0.25">
      <c r="A1350" s="13" t="str">
        <f ca="1">IFERROR(__xludf.DUMMYFUNCTION("""COMPUTED_VALUE"""),"diag_t_cont_input_tp_pb")</f>
        <v>diag_t_cont_input_tp_pb</v>
      </c>
      <c r="B1350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B")</f>
        <v>Статус превышения уставки по ДЗ температуры контактных соединений отсека ввода. Верхний изолятор. Фаза B</v>
      </c>
    </row>
    <row r="1351" spans="1:2" ht="15.75" customHeight="1" x14ac:dyDescent="0.25">
      <c r="A1351" s="13" t="str">
        <f ca="1">IFERROR(__xludf.DUMMYFUNCTION("""COMPUTED_VALUE"""),"diag_t_cont_input_tp_pc")</f>
        <v>diag_t_cont_input_tp_pc</v>
      </c>
      <c r="B1351" s="13" t="str">
        <f ca="1">IFERROR(__xludf.DUMMYFUNCTION("""COMPUTED_VALUE"""),"Статус превышения уставки по ДЗ температуры контактных соединений отсека ввода. Верхний изолятор. Фаза C")</f>
        <v>Статус превышения уставки по ДЗ температуры контактных соединений отсека ввода. Верхний изолятор. Фаза C</v>
      </c>
    </row>
    <row r="1352" spans="1:2" ht="15.75" customHeight="1" x14ac:dyDescent="0.25">
      <c r="A1352" s="13" t="str">
        <f ca="1">IFERROR(__xludf.DUMMYFUNCTION("""COMPUTED_VALUE"""),"diag_t_cont_pa")</f>
        <v>diag_t_cont_pa</v>
      </c>
      <c r="B1352" s="13" t="str">
        <f ca="1">IFERROR(__xludf.DUMMYFUNCTION("""COMPUTED_VALUE"""),"Статус срабатывания уставки по превышению ДЗ температуры контактных соединений. Фаза A")</f>
        <v>Статус срабатывания уставки по превышению ДЗ температуры контактных соединений. Фаза A</v>
      </c>
    </row>
    <row r="1353" spans="1:2" ht="15.75" customHeight="1" x14ac:dyDescent="0.25">
      <c r="A1353" s="13" t="str">
        <f ca="1">IFERROR(__xludf.DUMMYFUNCTION("""COMPUTED_VALUE"""),"diag_t_cont_pb")</f>
        <v>diag_t_cont_pb</v>
      </c>
      <c r="B1353" s="13" t="str">
        <f ca="1">IFERROR(__xludf.DUMMYFUNCTION("""COMPUTED_VALUE"""),"Статус срабатывания уставки по превышению ДЗ температуры контактных соединений. Фаза B")</f>
        <v>Статус срабатывания уставки по превышению ДЗ температуры контактных соединений. Фаза B</v>
      </c>
    </row>
    <row r="1354" spans="1:2" ht="15.75" customHeight="1" x14ac:dyDescent="0.25">
      <c r="A1354" s="13" t="str">
        <f ca="1">IFERROR(__xludf.DUMMYFUNCTION("""COMPUTED_VALUE"""),"diag_t_cont_pc")</f>
        <v>diag_t_cont_pc</v>
      </c>
      <c r="B1354" s="13" t="str">
        <f ca="1">IFERROR(__xludf.DUMMYFUNCTION("""COMPUTED_VALUE"""),"Статус срабатывания уставки по превышению ДЗ температуры контактных соединений. Фаза C")</f>
        <v>Статус срабатывания уставки по превышению ДЗ температуры контактных соединений. Фаза C</v>
      </c>
    </row>
    <row r="1355" spans="1:2" ht="15.75" customHeight="1" x14ac:dyDescent="0.25">
      <c r="A1355" s="13" t="str">
        <f ca="1">IFERROR(__xludf.DUMMYFUNCTION("""COMPUTED_VALUE"""),"diag_t_hst")</f>
        <v>diag_t_hst</v>
      </c>
      <c r="B1355" s="13" t="str">
        <f ca="1">IFERROR(__xludf.DUMMYFUNCTION("""COMPUTED_VALUE"""),"Статус срабатывания уставки по превышению ДЗ температуры наиболее нагретой точки")</f>
        <v>Статус срабатывания уставки по превышению ДЗ температуры наиболее нагретой точки</v>
      </c>
    </row>
    <row r="1356" spans="1:2" ht="15.75" customHeight="1" x14ac:dyDescent="0.25">
      <c r="A1356" s="13" t="str">
        <f ca="1">IFERROR(__xludf.DUMMYFUNCTION("""COMPUTED_VALUE"""),"diag_t_ltc")</f>
        <v>diag_t_ltc</v>
      </c>
      <c r="B1356" s="13" t="str">
        <f ca="1">IFERROR(__xludf.DUMMYFUNCTION("""COMPUTED_VALUE"""),"Статус срабатывания уставки по превышению ДЗ температуры масла в баке РПН")</f>
        <v>Статус срабатывания уставки по превышению ДЗ температуры масла в баке РПН</v>
      </c>
    </row>
    <row r="1357" spans="1:2" ht="15.75" customHeight="1" x14ac:dyDescent="0.25">
      <c r="A1357" s="13" t="str">
        <f ca="1">IFERROR(__xludf.DUMMYFUNCTION("""COMPUTED_VALUE"""),"diag_t_tp")</f>
        <v>diag_t_tp</v>
      </c>
      <c r="B1357" s="13" t="str">
        <f ca="1">IFERROR(__xludf.DUMMYFUNCTION("""COMPUTED_VALUE"""),"Статус срабатывания уставки по превышению ДЗ температуры верхних слоёв масла")</f>
        <v>Статус срабатывания уставки по превышению ДЗ температуры верхних слоёв масла</v>
      </c>
    </row>
    <row r="1358" spans="1:2" ht="15.75" customHeight="1" x14ac:dyDescent="0.25">
      <c r="A1358" s="13" t="str">
        <f ca="1">IFERROR(__xludf.DUMMYFUNCTION("""COMPUTED_VALUE"""),"diag_wcl")</f>
        <v>diag_wcl</v>
      </c>
      <c r="B1358" s="13" t="str">
        <f ca="1">IFERROR(__xludf.DUMMYFUNCTION("""COMPUTED_VALUE"""),"Статус срабатывания уставок по влажности масла")</f>
        <v>Статус срабатывания уставок по влажности масла</v>
      </c>
    </row>
    <row r="1359" spans="1:2" ht="15.75" customHeight="1" x14ac:dyDescent="0.25">
      <c r="A1359" s="13" t="str">
        <f ca="1">IFERROR(__xludf.DUMMYFUNCTION("""COMPUTED_VALUE"""),"diag_wcl_roc_abs_day")</f>
        <v>diag_wcl_roc_abs_day</v>
      </c>
      <c r="B1359" s="13" t="str">
        <f ca="1">IFERROR(__xludf.DUMMYFUNCTION("""COMPUTED_VALUE"""),"Статус срабатывания уставок по скорости роста влажности масла абсолютная, день")</f>
        <v>Статус срабатывания уставок по скорости роста влажности масла абсолютная, день</v>
      </c>
    </row>
    <row r="1360" spans="1:2" ht="15.75" customHeight="1" x14ac:dyDescent="0.25">
      <c r="A1360" s="13" t="str">
        <f ca="1">IFERROR(__xludf.DUMMYFUNCTION("""COMPUTED_VALUE"""),"diag_wcl_roc_abs_month")</f>
        <v>diag_wcl_roc_abs_month</v>
      </c>
      <c r="B1360" s="13" t="str">
        <f ca="1">IFERROR(__xludf.DUMMYFUNCTION("""COMPUTED_VALUE"""),"Статус срабатывания уставок по скорости роста влажности масла абсолютная, месяц")</f>
        <v>Статус срабатывания уставок по скорости роста влажности масла абсолютная, месяц</v>
      </c>
    </row>
    <row r="1361" spans="1:2" ht="15.75" customHeight="1" x14ac:dyDescent="0.25">
      <c r="A1361" s="13" t="str">
        <f ca="1">IFERROR(__xludf.DUMMYFUNCTION("""COMPUTED_VALUE"""),"diag_wcl_roc_abs_week")</f>
        <v>diag_wcl_roc_abs_week</v>
      </c>
      <c r="B1361" s="13" t="str">
        <f ca="1">IFERROR(__xludf.DUMMYFUNCTION("""COMPUTED_VALUE"""),"Статус срабатывания уставок по скорости роста влажности масла абсолютная, неделя")</f>
        <v>Статус срабатывания уставок по скорости роста влажности масла абсолютная, неделя</v>
      </c>
    </row>
    <row r="1362" spans="1:2" ht="15.75" customHeight="1" x14ac:dyDescent="0.25">
      <c r="A1362" s="13" t="str">
        <f ca="1">IFERROR(__xludf.DUMMYFUNCTION("""COMPUTED_VALUE"""),"diag_wcl_roc_abs_year")</f>
        <v>diag_wcl_roc_abs_year</v>
      </c>
      <c r="B1362" s="13" t="str">
        <f ca="1">IFERROR(__xludf.DUMMYFUNCTION("""COMPUTED_VALUE"""),"Статус срабатывания уставок по скорости роста влажности масла абсолютная, год")</f>
        <v>Статус срабатывания уставок по скорости роста влажности масла абсолютная, год</v>
      </c>
    </row>
    <row r="1363" spans="1:2" ht="15.75" customHeight="1" x14ac:dyDescent="0.25">
      <c r="A1363" s="13" t="str">
        <f ca="1">IFERROR(__xludf.DUMMYFUNCTION("""COMPUTED_VALUE"""),"diag_wcl_roc_rel_day")</f>
        <v>diag_wcl_roc_rel_day</v>
      </c>
      <c r="B1363" s="13" t="str">
        <f ca="1">IFERROR(__xludf.DUMMYFUNCTION("""COMPUTED_VALUE"""),"Статус срабатывания уставок по скорости роста влажности масла относительная, день")</f>
        <v>Статус срабатывания уставок по скорости роста влажности масла относительная, день</v>
      </c>
    </row>
    <row r="1364" spans="1:2" ht="15.75" customHeight="1" x14ac:dyDescent="0.25">
      <c r="A1364" s="13" t="str">
        <f ca="1">IFERROR(__xludf.DUMMYFUNCTION("""COMPUTED_VALUE"""),"diag_wcl_roc_rel_month")</f>
        <v>diag_wcl_roc_rel_month</v>
      </c>
      <c r="B1364" s="13" t="str">
        <f ca="1">IFERROR(__xludf.DUMMYFUNCTION("""COMPUTED_VALUE"""),"Статус срабатывания уставок по скорости роста влажности масла относительная, месяц")</f>
        <v>Статус срабатывания уставок по скорости роста влажности масла относительная, месяц</v>
      </c>
    </row>
    <row r="1365" spans="1:2" ht="15.75" customHeight="1" x14ac:dyDescent="0.25">
      <c r="A1365" s="13" t="str">
        <f ca="1">IFERROR(__xludf.DUMMYFUNCTION("""COMPUTED_VALUE"""),"diag_wcl_roc_rel_week")</f>
        <v>diag_wcl_roc_rel_week</v>
      </c>
      <c r="B1365" s="13" t="str">
        <f ca="1">IFERROR(__xludf.DUMMYFUNCTION("""COMPUTED_VALUE"""),"Статус срабатывания уставок по скорости роста влажности масла относительная, неделя")</f>
        <v>Статус срабатывания уставок по скорости роста влажности масла относительная, неделя</v>
      </c>
    </row>
    <row r="1366" spans="1:2" ht="15.75" customHeight="1" x14ac:dyDescent="0.25">
      <c r="A1366" s="13" t="str">
        <f ca="1">IFERROR(__xludf.DUMMYFUNCTION("""COMPUTED_VALUE"""),"diag_wcl_roc_rel_year")</f>
        <v>diag_wcl_roc_rel_year</v>
      </c>
      <c r="B1366" s="13" t="str">
        <f ca="1">IFERROR(__xludf.DUMMYFUNCTION("""COMPUTED_VALUE"""),"Статус срабатывания уставок по скорости роста влажности масла относительная, год")</f>
        <v>Статус срабатывания уставок по скорости роста влажности масла относительная, год</v>
      </c>
    </row>
    <row r="1367" spans="1:2" ht="15.75" customHeight="1" x14ac:dyDescent="0.25">
      <c r="A1367" s="13" t="str">
        <f ca="1">IFERROR(__xludf.DUMMYFUNCTION("""COMPUTED_VALUE"""),"diag_wcp")</f>
        <v>diag_wcp</v>
      </c>
      <c r="B1367" s="13" t="str">
        <f ca="1">IFERROR(__xludf.DUMMYFUNCTION("""COMPUTED_VALUE"""),"Статус срабатывания уставок по влажности твёрдой изоляции")</f>
        <v>Статус срабатывания уставок по влажности твёрдой изоляции</v>
      </c>
    </row>
    <row r="1368" spans="1:2" ht="15.75" customHeight="1" x14ac:dyDescent="0.25">
      <c r="A1368" s="13" t="str">
        <f ca="1">IFERROR(__xludf.DUMMYFUNCTION("""COMPUTED_VALUE"""),"diag_wcp_roc_abs_day")</f>
        <v>diag_wcp_roc_abs_day</v>
      </c>
      <c r="B1368" s="13" t="str">
        <f ca="1">IFERROR(__xludf.DUMMYFUNCTION("""COMPUTED_VALUE"""),"Статус срабатывания уставок по скорости роста влажности бумаги абсолютная, день")</f>
        <v>Статус срабатывания уставок по скорости роста влажности бумаги абсолютная, день</v>
      </c>
    </row>
    <row r="1369" spans="1:2" ht="15.75" customHeight="1" x14ac:dyDescent="0.25">
      <c r="A1369" s="13" t="str">
        <f ca="1">IFERROR(__xludf.DUMMYFUNCTION("""COMPUTED_VALUE"""),"diag_wcp_roc_abs_month")</f>
        <v>diag_wcp_roc_abs_month</v>
      </c>
      <c r="B1369" s="13" t="str">
        <f ca="1">IFERROR(__xludf.DUMMYFUNCTION("""COMPUTED_VALUE"""),"Статус срабатывания уставок по скорости роста влажности бумаги абсолютная, месяц")</f>
        <v>Статус срабатывания уставок по скорости роста влажности бумаги абсолютная, месяц</v>
      </c>
    </row>
    <row r="1370" spans="1:2" ht="15.75" customHeight="1" x14ac:dyDescent="0.25">
      <c r="A1370" s="13" t="str">
        <f ca="1">IFERROR(__xludf.DUMMYFUNCTION("""COMPUTED_VALUE"""),"diag_wcp_roc_abs_week")</f>
        <v>diag_wcp_roc_abs_week</v>
      </c>
      <c r="B1370" s="13" t="str">
        <f ca="1">IFERROR(__xludf.DUMMYFUNCTION("""COMPUTED_VALUE"""),"Статус срабатывания уставок по скорости роста влажности бумаги абсолютная, неделя")</f>
        <v>Статус срабатывания уставок по скорости роста влажности бумаги абсолютная, неделя</v>
      </c>
    </row>
    <row r="1371" spans="1:2" ht="15.75" customHeight="1" x14ac:dyDescent="0.25">
      <c r="A1371" s="13" t="str">
        <f ca="1">IFERROR(__xludf.DUMMYFUNCTION("""COMPUTED_VALUE"""),"diag_wcp_roc_abs_year")</f>
        <v>diag_wcp_roc_abs_year</v>
      </c>
      <c r="B1371" s="13" t="str">
        <f ca="1">IFERROR(__xludf.DUMMYFUNCTION("""COMPUTED_VALUE"""),"Статус срабатывания уставок по скорости роста влажности бумаги абсолютная, год")</f>
        <v>Статус срабатывания уставок по скорости роста влажности бумаги абсолютная, год</v>
      </c>
    </row>
    <row r="1372" spans="1:2" ht="15.75" customHeight="1" x14ac:dyDescent="0.25">
      <c r="A1372" s="13" t="str">
        <f ca="1">IFERROR(__xludf.DUMMYFUNCTION("""COMPUTED_VALUE"""),"diag_wcp_roc_rel_day")</f>
        <v>diag_wcp_roc_rel_day</v>
      </c>
      <c r="B1372" s="13" t="str">
        <f ca="1">IFERROR(__xludf.DUMMYFUNCTION("""COMPUTED_VALUE"""),"Статус срабатывания уставок по скорости роста влажности бумаги относительная, день")</f>
        <v>Статус срабатывания уставок по скорости роста влажности бумаги относительная, день</v>
      </c>
    </row>
    <row r="1373" spans="1:2" ht="15.75" customHeight="1" x14ac:dyDescent="0.25">
      <c r="A1373" s="13" t="str">
        <f ca="1">IFERROR(__xludf.DUMMYFUNCTION("""COMPUTED_VALUE"""),"diag_wcp_roc_rel_month")</f>
        <v>diag_wcp_roc_rel_month</v>
      </c>
      <c r="B1373" s="13" t="str">
        <f ca="1">IFERROR(__xludf.DUMMYFUNCTION("""COMPUTED_VALUE"""),"Статус срабатывания уставок по скорости роста влажности бумаги относительная, месяц")</f>
        <v>Статус срабатывания уставок по скорости роста влажности бумаги относительная, месяц</v>
      </c>
    </row>
    <row r="1374" spans="1:2" ht="15.75" customHeight="1" x14ac:dyDescent="0.25">
      <c r="A1374" s="13" t="str">
        <f ca="1">IFERROR(__xludf.DUMMYFUNCTION("""COMPUTED_VALUE"""),"diag_wcp_roc_rel_week")</f>
        <v>diag_wcp_roc_rel_week</v>
      </c>
      <c r="B1374" s="13" t="str">
        <f ca="1">IFERROR(__xludf.DUMMYFUNCTION("""COMPUTED_VALUE"""),"Статус срабатывания уставок по скорости роста влажности бумаги относительная, неделя")</f>
        <v>Статус срабатывания уставок по скорости роста влажности бумаги относительная, неделя</v>
      </c>
    </row>
    <row r="1375" spans="1:2" ht="15.75" customHeight="1" x14ac:dyDescent="0.25">
      <c r="A1375" s="13" t="str">
        <f ca="1">IFERROR(__xludf.DUMMYFUNCTION("""COMPUTED_VALUE"""),"diag_wcp_roc_rel_year")</f>
        <v>diag_wcp_roc_rel_year</v>
      </c>
      <c r="B1375" s="13" t="str">
        <f ca="1">IFERROR(__xludf.DUMMYFUNCTION("""COMPUTED_VALUE"""),"Статус срабатывания уставок по скорости роста влажности бумаги относительная, год")</f>
        <v>Статус срабатывания уставок по скорости роста влажности бумаги относительная, год</v>
      </c>
    </row>
    <row r="1376" spans="1:2" ht="15.75" customHeight="1" x14ac:dyDescent="0.25">
      <c r="A1376" s="13" t="str">
        <f ca="1">IFERROR(__xludf.DUMMYFUNCTION("""COMPUTED_VALUE"""),"dq_noload")</f>
        <v>dq_noload</v>
      </c>
      <c r="B1376" s="13" t="str">
        <f ca="1">IFERROR(__xludf.DUMMYFUNCTION("""COMPUTED_VALUE"""),"Постоянная составляющая потерь реактивной мощности хх")</f>
        <v>Постоянная составляющая потерь реактивной мощности хх</v>
      </c>
    </row>
    <row r="1377" spans="1:2" ht="15.75" customHeight="1" x14ac:dyDescent="0.25">
      <c r="A1377" s="13" t="str">
        <f ca="1">IFERROR(__xludf.DUMMYFUNCTION("""COMPUTED_VALUE"""),"dq_shortcircuit")</f>
        <v>dq_shortcircuit</v>
      </c>
      <c r="B1377" s="13" t="str">
        <f ca="1">IFERROR(__xludf.DUMMYFUNCTION("""COMPUTED_VALUE"""),"Постоянная составляющая потерь реактивной мощности кз")</f>
        <v>Постоянная составляющая потерь реактивной мощности кз</v>
      </c>
    </row>
    <row r="1378" spans="1:2" ht="15.75" customHeight="1" x14ac:dyDescent="0.25">
      <c r="A1378" s="13" t="str">
        <f ca="1">IFERROR(__xludf.DUMMYFUNCTION("""COMPUTED_VALUE"""),"duration_overload_fault")</f>
        <v>duration_overload_fault</v>
      </c>
      <c r="B1378" s="13" t="str">
        <f ca="1">IFERROR(__xludf.DUMMYFUNCTION("""COMPUTED_VALUE"""),"Диапазон продолжительности нагрузки")</f>
        <v>Диапазон продолжительности нагрузки</v>
      </c>
    </row>
    <row r="1379" spans="1:2" ht="15.75" customHeight="1" x14ac:dyDescent="0.25">
      <c r="A1379" s="13" t="str">
        <f ca="1">IFERROR(__xludf.DUMMYFUNCTION("""COMPUTED_VALUE"""),"duration_overload_hv")</f>
        <v>duration_overload_hv</v>
      </c>
      <c r="B1379" s="13" t="str">
        <f ca="1">IFERROR(__xludf.DUMMYFUNCTION("""COMPUTED_VALUE"""),"Продолжительность работы с перегрузкой ВН")</f>
        <v>Продолжительность работы с перегрузкой ВН</v>
      </c>
    </row>
    <row r="1380" spans="1:2" ht="15.75" customHeight="1" x14ac:dyDescent="0.25">
      <c r="A1380" s="13" t="str">
        <f ca="1">IFERROR(__xludf.DUMMYFUNCTION("""COMPUTED_VALUE"""),"duration_overload_lv")</f>
        <v>duration_overload_lv</v>
      </c>
      <c r="B1380" s="13" t="str">
        <f ca="1">IFERROR(__xludf.DUMMYFUNCTION("""COMPUTED_VALUE"""),"Продолжительность работы с перегрузкой НН")</f>
        <v>Продолжительность работы с перегрузкой НН</v>
      </c>
    </row>
    <row r="1381" spans="1:2" ht="15.75" customHeight="1" x14ac:dyDescent="0.25">
      <c r="A1381" s="13" t="str">
        <f ca="1">IFERROR(__xludf.DUMMYFUNCTION("""COMPUTED_VALUE"""),"duration_overload_mv")</f>
        <v>duration_overload_mv</v>
      </c>
      <c r="B1381" s="13" t="str">
        <f ca="1">IFERROR(__xludf.DUMMYFUNCTION("""COMPUTED_VALUE"""),"Продолжительность работы с перегрузкой СН")</f>
        <v>Продолжительность работы с перегрузкой СН</v>
      </c>
    </row>
    <row r="1382" spans="1:2" ht="15.75" customHeight="1" x14ac:dyDescent="0.25">
      <c r="A1382" s="13" t="str">
        <f ca="1">IFERROR(__xludf.DUMMYFUNCTION("""COMPUTED_VALUE"""),"f_outage")</f>
        <v>f_outage</v>
      </c>
      <c r="B1382" s="13" t="str">
        <f ca="1">IFERROR(__xludf.DUMMYFUNCTION("""COMPUTED_VALUE"""),"Флаг останова трансформатора")</f>
        <v>Флаг останова трансформатора</v>
      </c>
    </row>
    <row r="1383" spans="1:2" ht="15.75" customHeight="1" x14ac:dyDescent="0.25">
      <c r="A1383" s="13" t="str">
        <f ca="1">IFERROR(__xludf.DUMMYFUNCTION("""COMPUTED_VALUE"""),"f_overload")</f>
        <v>f_overload</v>
      </c>
      <c r="B1383" s="13" t="str">
        <f ca="1">IFERROR(__xludf.DUMMYFUNCTION("""COMPUTED_VALUE"""),"Флаг наличия перегрузки")</f>
        <v>Флаг наличия перегрузки</v>
      </c>
    </row>
    <row r="1384" spans="1:2" ht="15.75" customHeight="1" x14ac:dyDescent="0.25">
      <c r="A1384" s="13" t="str">
        <f ca="1">IFERROR(__xludf.DUMMYFUNCTION("""COMPUTED_VALUE"""),"f_overload_permitted")</f>
        <v>f_overload_permitted</v>
      </c>
      <c r="B1384" s="13" t="str">
        <f ca="1">IFERROR(__xludf.DUMMYFUNCTION("""COMPUTED_VALUE"""),"Флаг допустимости повышенного износа изоляции")</f>
        <v>Флаг допустимости повышенного износа изоляции</v>
      </c>
    </row>
    <row r="1385" spans="1:2" ht="15.75" customHeight="1" x14ac:dyDescent="0.25">
      <c r="A1385" s="13" t="str">
        <f ca="1">IFERROR(__xludf.DUMMYFUNCTION("""COMPUTED_VALUE"""),"f_paper_thermally_upgraded")</f>
        <v>f_paper_thermally_upgraded</v>
      </c>
      <c r="B1385" s="13" t="str">
        <f ca="1">IFERROR(__xludf.DUMMYFUNCTION("""COMPUTED_VALUE"""),"Флаг термической обработки бумаги")</f>
        <v>Флаг термической обработки бумаги</v>
      </c>
    </row>
    <row r="1386" spans="1:2" ht="15.75" customHeight="1" x14ac:dyDescent="0.25">
      <c r="A1386" s="13" t="str">
        <f ca="1">IFERROR(__xludf.DUMMYFUNCTION("""COMPUTED_VALUE"""),"f_select_t_tp_hst")</f>
        <v>f_select_t_tp_hst</v>
      </c>
      <c r="B1386" s="13" t="str">
        <f ca="1">IFERROR(__xludf.DUMMYFUNCTION("""COMPUTED_VALUE"""),"Выбор режима перегрузки по температуре")</f>
        <v>Выбор режима перегрузки по температуре</v>
      </c>
    </row>
    <row r="1387" spans="1:2" ht="15.75" customHeight="1" x14ac:dyDescent="0.25">
      <c r="A1387" s="13" t="str">
        <f ca="1">IFERROR(__xludf.DUMMYFUNCTION("""COMPUTED_VALUE"""),"flag_degas")</f>
        <v>flag_degas</v>
      </c>
      <c r="B1387" s="13" t="str">
        <f ca="1">IFERROR(__xludf.DUMMYFUNCTION("""COMPUTED_VALUE"""),"Флаг проведения дегазации")</f>
        <v>Флаг проведения дегазации</v>
      </c>
    </row>
    <row r="1388" spans="1:2" ht="15.75" customHeight="1" x14ac:dyDescent="0.25">
      <c r="A1388" s="13" t="str">
        <f ca="1">IFERROR(__xludf.DUMMYFUNCTION("""COMPUTED_VALUE"""),"flag_oil_drying")</f>
        <v>flag_oil_drying</v>
      </c>
      <c r="B1388" s="13" t="str">
        <f ca="1">IFERROR(__xludf.DUMMYFUNCTION("""COMPUTED_VALUE"""),"Флаг проведения сушки")</f>
        <v>Флаг проведения сушки</v>
      </c>
    </row>
    <row r="1389" spans="1:2" ht="15.75" customHeight="1" x14ac:dyDescent="0.25">
      <c r="A1389" s="13" t="str">
        <f ca="1">IFERROR(__xludf.DUMMYFUNCTION("""COMPUTED_VALUE"""),"forecast_depth")</f>
        <v>forecast_depth</v>
      </c>
      <c r="B1389" s="13" t="str">
        <f ca="1">IFERROR(__xludf.DUMMYFUNCTION("""COMPUTED_VALUE"""),"Глубина прогнозирования")</f>
        <v>Глубина прогнозирования</v>
      </c>
    </row>
    <row r="1390" spans="1:2" ht="15.75" customHeight="1" x14ac:dyDescent="0.25">
      <c r="A1390" s="13" t="str">
        <f ca="1">IFERROR(__xludf.DUMMYFUNCTION("""COMPUTED_VALUE"""),"gas_relay_alarm0")</f>
        <v>gas_relay_alarm0</v>
      </c>
      <c r="B1390" s="13" t="str">
        <f ca="1">IFERROR(__xludf.DUMMYFUNCTION("""COMPUTED_VALUE"""),"Работа газового реле на сигнал")</f>
        <v>Работа газового реле на сигнал</v>
      </c>
    </row>
    <row r="1391" spans="1:2" ht="15.75" customHeight="1" x14ac:dyDescent="0.25">
      <c r="A1391" s="13" t="str">
        <f ca="1">IFERROR(__xludf.DUMMYFUNCTION("""COMPUTED_VALUE"""),"gas_relay_alarm1")</f>
        <v>gas_relay_alarm1</v>
      </c>
      <c r="B1391" s="13" t="str">
        <f ca="1">IFERROR(__xludf.DUMMYFUNCTION("""COMPUTED_VALUE"""),"Работа газового реле на отключение")</f>
        <v>Работа газового реле на отключение</v>
      </c>
    </row>
    <row r="1392" spans="1:2" ht="15.75" customHeight="1" x14ac:dyDescent="0.25">
      <c r="A1392" s="13" t="str">
        <f ca="1">IFERROR(__xludf.DUMMYFUNCTION("""COMPUTED_VALUE"""),"gis_alarm0")</f>
        <v>gis_alarm0</v>
      </c>
      <c r="B1392" s="13" t="str">
        <f ca="1">IFERROR(__xludf.DUMMYFUNCTION("""COMPUTED_VALUE"""),"Предупредительная сигнализация по состоянию ячейки КРУЭ")</f>
        <v>Предупредительная сигнализация по состоянию ячейки КРУЭ</v>
      </c>
    </row>
    <row r="1393" spans="1:2" ht="15.75" customHeight="1" x14ac:dyDescent="0.25">
      <c r="A1393" s="13" t="str">
        <f ca="1">IFERROR(__xludf.DUMMYFUNCTION("""COMPUTED_VALUE"""),"gis_alarm1")</f>
        <v>gis_alarm1</v>
      </c>
      <c r="B1393" s="13" t="str">
        <f ca="1">IFERROR(__xludf.DUMMYFUNCTION("""COMPUTED_VALUE"""),"Аварийная сигнализация по состоянию ячейки КРУЭ")</f>
        <v>Аварийная сигнализация по состоянию ячейки КРУЭ</v>
      </c>
    </row>
    <row r="1394" spans="1:2" ht="15.75" customHeight="1" x14ac:dyDescent="0.25">
      <c r="A1394" s="13" t="str">
        <f ca="1">IFERROR(__xludf.DUMMYFUNCTION("""COMPUTED_VALUE"""),"gis_device_fault")</f>
        <v>gis_device_fault</v>
      </c>
      <c r="B1394" s="13" t="str">
        <f ca="1">IFERROR(__xludf.DUMMYFUNCTION("""COMPUTED_VALUE"""),"Неисправность прибора контроля элегаза КРУЭ")</f>
        <v>Неисправность прибора контроля элегаза КРУЭ</v>
      </c>
    </row>
    <row r="1395" spans="1:2" ht="15.75" customHeight="1" x14ac:dyDescent="0.25">
      <c r="A1395" s="13" t="str">
        <f ca="1">IFERROR(__xludf.DUMMYFUNCTION("""COMPUTED_VALUE"""),"hi_min")</f>
        <v>hi_min</v>
      </c>
      <c r="B1395" s="13" t="str">
        <f ca="1">IFERROR(__xludf.DUMMYFUNCTION("""COMPUTED_VALUE"""),"Минимальный ИТС")</f>
        <v>Минимальный ИТС</v>
      </c>
    </row>
    <row r="1396" spans="1:2" ht="15.75" customHeight="1" x14ac:dyDescent="0.25">
      <c r="A1396" s="13" t="str">
        <f ca="1">IFERROR(__xludf.DUMMYFUNCTION("""COMPUTED_VALUE"""),"hi_offline")</f>
        <v>hi_offline</v>
      </c>
      <c r="B1396" s="13" t="str">
        <f ca="1">IFERROR(__xludf.DUMMYFUNCTION("""COMPUTED_VALUE"""),"Оффлайн ИТС, ручное")</f>
        <v>Оффлайн ИТС, ручное</v>
      </c>
    </row>
    <row r="1397" spans="1:2" ht="15.75" customHeight="1" x14ac:dyDescent="0.25">
      <c r="A1397" s="13" t="str">
        <f ca="1">IFERROR(__xludf.DUMMYFUNCTION("""COMPUTED_VALUE"""),"hi_offline_external")</f>
        <v>hi_offline_external</v>
      </c>
      <c r="B1397" s="13" t="str">
        <f ca="1">IFERROR(__xludf.DUMMYFUNCTION("""COMPUTED_VALUE"""),"Оффлайн ИТС, внешние ИС")</f>
        <v>Оффлайн ИТС, внешние ИС</v>
      </c>
    </row>
    <row r="1398" spans="1:2" ht="15.75" customHeight="1" x14ac:dyDescent="0.25">
      <c r="A1398" s="13" t="str">
        <f ca="1">IFERROR(__xludf.DUMMYFUNCTION("""COMPUTED_VALUE"""),"hi_updated")</f>
        <v>hi_updated</v>
      </c>
      <c r="B1398" s="13" t="str">
        <f ca="1">IFERROR(__xludf.DUMMYFUNCTION("""COMPUTED_VALUE"""),"ИТС с корректировкой на онлайн-данные")</f>
        <v>ИТС с корректировкой на онлайн-данные</v>
      </c>
    </row>
    <row r="1399" spans="1:2" ht="15.75" customHeight="1" x14ac:dyDescent="0.25">
      <c r="A1399" s="13" t="str">
        <f ca="1">IFERROR(__xludf.DUMMYFUNCTION("""COMPUTED_VALUE"""),"i_hv_max_avg")</f>
        <v>i_hv_max_avg</v>
      </c>
      <c r="B1399" s="13" t="str">
        <f ca="1">IFERROR(__xludf.DUMMYFUNCTION("""COMPUTED_VALUE"""),"Среднее часовое значение максимального тока")</f>
        <v>Среднее часовое значение максимального тока</v>
      </c>
    </row>
    <row r="1400" spans="1:2" ht="15.75" customHeight="1" x14ac:dyDescent="0.25">
      <c r="A1400" s="13" t="str">
        <f ca="1">IFERROR(__xludf.DUMMYFUNCTION("""COMPUTED_VALUE"""),"i_hv_max_avg_forecast")</f>
        <v>i_hv_max_avg_forecast</v>
      </c>
      <c r="B1400" s="13" t="str">
        <f ca="1">IFERROR(__xludf.DUMMYFUNCTION("""COMPUTED_VALUE"""),"Прогноз средних часовых значений максимального тока")</f>
        <v>Прогноз средних часовых значений максимального тока</v>
      </c>
    </row>
    <row r="1401" spans="1:2" ht="15.75" customHeight="1" x14ac:dyDescent="0.25">
      <c r="A1401" s="13" t="str">
        <f ca="1">IFERROR(__xludf.DUMMYFUNCTION("""COMPUTED_VALUE"""),"i_hv_max_correct_lim0")</f>
        <v>i_hv_max_correct_lim0</v>
      </c>
      <c r="B1401" s="13" t="str">
        <f ca="1">IFERROR(__xludf.DUMMYFUNCTION("""COMPUTED_VALUE"""),"ДЗ тока ВН")</f>
        <v>ДЗ тока ВН</v>
      </c>
    </row>
    <row r="1402" spans="1:2" ht="15.75" customHeight="1" x14ac:dyDescent="0.25">
      <c r="A1402" s="13" t="str">
        <f ca="1">IFERROR(__xludf.DUMMYFUNCTION("""COMPUTED_VALUE"""),"i_hv_max_correct_lim1")</f>
        <v>i_hv_max_correct_lim1</v>
      </c>
      <c r="B1402" s="13" t="str">
        <f ca="1">IFERROR(__xludf.DUMMYFUNCTION("""COMPUTED_VALUE"""),"ПДЗ тока ВН")</f>
        <v>ПДЗ тока ВН</v>
      </c>
    </row>
    <row r="1403" spans="1:2" ht="15.75" customHeight="1" x14ac:dyDescent="0.25">
      <c r="A1403" s="13" t="str">
        <f ca="1">IFERROR(__xludf.DUMMYFUNCTION("""COMPUTED_VALUE"""),"i_hv_max_correct_oe")</f>
        <v>i_hv_max_correct_oe</v>
      </c>
      <c r="B1403" s="13" t="str">
        <f ca="1">IFERROR(__xludf.DUMMYFUNCTION("""COMPUTED_VALUE"""),"Максимальный скорректированный фазный ток ВН в о.е.")</f>
        <v>Максимальный скорректированный фазный ток ВН в о.е.</v>
      </c>
    </row>
    <row r="1404" spans="1:2" ht="15.75" customHeight="1" x14ac:dyDescent="0.25">
      <c r="A1404" s="13" t="str">
        <f ca="1">IFERROR(__xludf.DUMMYFUNCTION("""COMPUTED_VALUE"""),"i_hv_max_oe")</f>
        <v>i_hv_max_oe</v>
      </c>
      <c r="B1404" s="13" t="str">
        <f ca="1">IFERROR(__xludf.DUMMYFUNCTION("""COMPUTED_VALUE"""),"Максимальный фазный ток ВН в о.е. без учёта корректировок")</f>
        <v>Максимальный фазный ток ВН в о.е. без учёта корректировок</v>
      </c>
    </row>
    <row r="1405" spans="1:2" ht="15.75" customHeight="1" x14ac:dyDescent="0.25">
      <c r="A1405" s="13" t="str">
        <f ca="1">IFERROR(__xludf.DUMMYFUNCTION("""COMPUTED_VALUE"""),"i_hv_rated_correct")</f>
        <v>i_hv_rated_correct</v>
      </c>
      <c r="B1405" s="13" t="str">
        <f ca="1">IFERROR(__xludf.DUMMYFUNCTION("""COMPUTED_VALUE"""),"Скорректированный номинальный ток ВН")</f>
        <v>Скорректированный номинальный ток ВН</v>
      </c>
    </row>
    <row r="1406" spans="1:2" ht="15.75" customHeight="1" x14ac:dyDescent="0.25">
      <c r="A1406" s="13" t="str">
        <f ca="1">IFERROR(__xludf.DUMMYFUNCTION("""COMPUTED_VALUE"""),"i_leakage_lim0")</f>
        <v>i_leakage_lim0</v>
      </c>
      <c r="B1406" s="13" t="str">
        <f ca="1">IFERROR(__xludf.DUMMYFUNCTION("""COMPUTED_VALUE"""),"ДЗ тока поверхностной утечки")</f>
        <v>ДЗ тока поверхностной утечки</v>
      </c>
    </row>
    <row r="1407" spans="1:2" ht="15.75" customHeight="1" x14ac:dyDescent="0.25">
      <c r="A1407" s="13" t="str">
        <f ca="1">IFERROR(__xludf.DUMMYFUNCTION("""COMPUTED_VALUE"""),"i_leakage_lim1")</f>
        <v>i_leakage_lim1</v>
      </c>
      <c r="B1407" s="13" t="str">
        <f ca="1">IFERROR(__xludf.DUMMYFUNCTION("""COMPUTED_VALUE"""),"ПДЗ тока поверхностной утечки")</f>
        <v>ПДЗ тока поверхностной утечки</v>
      </c>
    </row>
    <row r="1408" spans="1:2" ht="15.75" customHeight="1" x14ac:dyDescent="0.25">
      <c r="A1408" s="13" t="str">
        <f ca="1">IFERROR(__xludf.DUMMYFUNCTION("""COMPUTED_VALUE"""),"i_leakage_pa")</f>
        <v>i_leakage_pa</v>
      </c>
      <c r="B1408" s="13" t="str">
        <f ca="1">IFERROR(__xludf.DUMMYFUNCTION("""COMPUTED_VALUE"""),"Ток утечки основной изоляции ввода, фаза A")</f>
        <v>Ток утечки основной изоляции ввода, фаза A</v>
      </c>
    </row>
    <row r="1409" spans="1:2" ht="15.75" customHeight="1" x14ac:dyDescent="0.25">
      <c r="A1409" s="13" t="str">
        <f ca="1">IFERROR(__xludf.DUMMYFUNCTION("""COMPUTED_VALUE"""),"i_leakage_pb")</f>
        <v>i_leakage_pb</v>
      </c>
      <c r="B1409" s="13" t="str">
        <f ca="1">IFERROR(__xludf.DUMMYFUNCTION("""COMPUTED_VALUE"""),"Ток утечки основной изоляции ввода, фаза B")</f>
        <v>Ток утечки основной изоляции ввода, фаза B</v>
      </c>
    </row>
    <row r="1410" spans="1:2" ht="15.75" customHeight="1" x14ac:dyDescent="0.25">
      <c r="A1410" s="13" t="str">
        <f ca="1">IFERROR(__xludf.DUMMYFUNCTION("""COMPUTED_VALUE"""),"i_leakage_pc")</f>
        <v>i_leakage_pc</v>
      </c>
      <c r="B1410" s="13" t="str">
        <f ca="1">IFERROR(__xludf.DUMMYFUNCTION("""COMPUTED_VALUE"""),"Ток утечки основной изоляции ввода, фаза C")</f>
        <v>Ток утечки основной изоляции ввода, фаза C</v>
      </c>
    </row>
    <row r="1411" spans="1:2" ht="15.75" customHeight="1" x14ac:dyDescent="0.25">
      <c r="A1411" s="13" t="str">
        <f ca="1">IFERROR(__xludf.DUMMYFUNCTION("""COMPUTED_VALUE"""),"i_lv_max_correct_lim0")</f>
        <v>i_lv_max_correct_lim0</v>
      </c>
      <c r="B1411" s="13" t="str">
        <f ca="1">IFERROR(__xludf.DUMMYFUNCTION("""COMPUTED_VALUE"""),"ДЗ тока НН")</f>
        <v>ДЗ тока НН</v>
      </c>
    </row>
    <row r="1412" spans="1:2" ht="15.75" customHeight="1" x14ac:dyDescent="0.25">
      <c r="A1412" s="13" t="str">
        <f ca="1">IFERROR(__xludf.DUMMYFUNCTION("""COMPUTED_VALUE"""),"i_lv_max_correct_lim1")</f>
        <v>i_lv_max_correct_lim1</v>
      </c>
      <c r="B1412" s="13" t="str">
        <f ca="1">IFERROR(__xludf.DUMMYFUNCTION("""COMPUTED_VALUE"""),"ПДЗ тока НН")</f>
        <v>ПДЗ тока НН</v>
      </c>
    </row>
    <row r="1413" spans="1:2" ht="15.75" customHeight="1" x14ac:dyDescent="0.25">
      <c r="A1413" s="13" t="str">
        <f ca="1">IFERROR(__xludf.DUMMYFUNCTION("""COMPUTED_VALUE"""),"i_lv_max_correct_oe")</f>
        <v>i_lv_max_correct_oe</v>
      </c>
      <c r="B1413" s="13" t="str">
        <f ca="1">IFERROR(__xludf.DUMMYFUNCTION("""COMPUTED_VALUE"""),"Максимальный скорректированный фазный ток НН в о.е.")</f>
        <v>Максимальный скорректированный фазный ток НН в о.е.</v>
      </c>
    </row>
    <row r="1414" spans="1:2" ht="15.75" customHeight="1" x14ac:dyDescent="0.25">
      <c r="A1414" s="13" t="str">
        <f ca="1">IFERROR(__xludf.DUMMYFUNCTION("""COMPUTED_VALUE"""),"i_lv_max_oe")</f>
        <v>i_lv_max_oe</v>
      </c>
      <c r="B1414" s="13" t="str">
        <f ca="1">IFERROR(__xludf.DUMMYFUNCTION("""COMPUTED_VALUE"""),"Максимальный фазный ток НН в о.е. без учёта корректировок")</f>
        <v>Максимальный фазный ток НН в о.е. без учёта корректировок</v>
      </c>
    </row>
    <row r="1415" spans="1:2" ht="15.75" customHeight="1" x14ac:dyDescent="0.25">
      <c r="A1415" s="13" t="str">
        <f ca="1">IFERROR(__xludf.DUMMYFUNCTION("""COMPUTED_VALUE"""),"i_lv_rated_correct")</f>
        <v>i_lv_rated_correct</v>
      </c>
      <c r="B1415" s="13" t="str">
        <f ca="1">IFERROR(__xludf.DUMMYFUNCTION("""COMPUTED_VALUE"""),"Скорректированный номинальный ток НН")</f>
        <v>Скорректированный номинальный ток НН</v>
      </c>
    </row>
    <row r="1416" spans="1:2" ht="15.75" customHeight="1" x14ac:dyDescent="0.25">
      <c r="A1416" s="13" t="str">
        <f ca="1">IFERROR(__xludf.DUMMYFUNCTION("""COMPUTED_VALUE"""),"i_mv_max_correct_lim0")</f>
        <v>i_mv_max_correct_lim0</v>
      </c>
      <c r="B1416" s="13" t="str">
        <f ca="1">IFERROR(__xludf.DUMMYFUNCTION("""COMPUTED_VALUE"""),"ДЗ тока СН")</f>
        <v>ДЗ тока СН</v>
      </c>
    </row>
    <row r="1417" spans="1:2" ht="15.75" customHeight="1" x14ac:dyDescent="0.25">
      <c r="A1417" s="13" t="str">
        <f ca="1">IFERROR(__xludf.DUMMYFUNCTION("""COMPUTED_VALUE"""),"i_mv_max_correct_lim1")</f>
        <v>i_mv_max_correct_lim1</v>
      </c>
      <c r="B1417" s="13" t="str">
        <f ca="1">IFERROR(__xludf.DUMMYFUNCTION("""COMPUTED_VALUE"""),"ПДЗ тока СН")</f>
        <v>ПДЗ тока СН</v>
      </c>
    </row>
    <row r="1418" spans="1:2" ht="15.75" customHeight="1" x14ac:dyDescent="0.25">
      <c r="A1418" s="13" t="str">
        <f ca="1">IFERROR(__xludf.DUMMYFUNCTION("""COMPUTED_VALUE"""),"i_mv_max_correct_oe")</f>
        <v>i_mv_max_correct_oe</v>
      </c>
      <c r="B1418" s="13" t="str">
        <f ca="1">IFERROR(__xludf.DUMMYFUNCTION("""COMPUTED_VALUE"""),"Максимальный скорректированный фазный ток СН в о.е.")</f>
        <v>Максимальный скорректированный фазный ток СН в о.е.</v>
      </c>
    </row>
    <row r="1419" spans="1:2" ht="15.75" customHeight="1" x14ac:dyDescent="0.25">
      <c r="A1419" s="13" t="str">
        <f ca="1">IFERROR(__xludf.DUMMYFUNCTION("""COMPUTED_VALUE"""),"i_mv_max_oe")</f>
        <v>i_mv_max_oe</v>
      </c>
      <c r="B1419" s="13" t="str">
        <f ca="1">IFERROR(__xludf.DUMMYFUNCTION("""COMPUTED_VALUE"""),"Максимальный фазный ток СН в о.е. без учёта корректировок")</f>
        <v>Максимальный фазный ток СН в о.е. без учёта корректировок</v>
      </c>
    </row>
    <row r="1420" spans="1:2" ht="15.75" customHeight="1" x14ac:dyDescent="0.25">
      <c r="A1420" s="13" t="str">
        <f ca="1">IFERROR(__xludf.DUMMYFUNCTION("""COMPUTED_VALUE"""),"i_mv_rated_correct")</f>
        <v>i_mv_rated_correct</v>
      </c>
      <c r="B1420" s="13" t="str">
        <f ca="1">IFERROR(__xludf.DUMMYFUNCTION("""COMPUTED_VALUE"""),"Скорректированный номинальный ток СН")</f>
        <v>Скорректированный номинальный ток СН</v>
      </c>
    </row>
    <row r="1421" spans="1:2" ht="15.75" customHeight="1" x14ac:dyDescent="0.25">
      <c r="A1421" s="13" t="str">
        <f ca="1">IFERROR(__xludf.DUMMYFUNCTION("""COMPUTED_VALUE"""),"i_pa_hv")</f>
        <v>i_pa_hv</v>
      </c>
      <c r="B1421" s="13" t="str">
        <f ca="1">IFERROR(__xludf.DUMMYFUNCTION("""COMPUTED_VALUE"""),"Ток ВН, фаза A")</f>
        <v>Ток ВН, фаза A</v>
      </c>
    </row>
    <row r="1422" spans="1:2" ht="15.75" customHeight="1" x14ac:dyDescent="0.25">
      <c r="A1422" s="13" t="str">
        <f ca="1">IFERROR(__xludf.DUMMYFUNCTION("""COMPUTED_VALUE"""),"i_pa_lv")</f>
        <v>i_pa_lv</v>
      </c>
      <c r="B1422" s="13" t="str">
        <f ca="1">IFERROR(__xludf.DUMMYFUNCTION("""COMPUTED_VALUE"""),"Ток НН, фаза A")</f>
        <v>Ток НН, фаза A</v>
      </c>
    </row>
    <row r="1423" spans="1:2" ht="15.75" customHeight="1" x14ac:dyDescent="0.25">
      <c r="A1423" s="13" t="str">
        <f ca="1">IFERROR(__xludf.DUMMYFUNCTION("""COMPUTED_VALUE"""),"i_pa_lv1")</f>
        <v>i_pa_lv1</v>
      </c>
      <c r="B1423" s="13" t="str">
        <f ca="1">IFERROR(__xludf.DUMMYFUNCTION("""COMPUTED_VALUE"""),"Ток НН1, фаза A")</f>
        <v>Ток НН1, фаза A</v>
      </c>
    </row>
    <row r="1424" spans="1:2" ht="15.75" customHeight="1" x14ac:dyDescent="0.25">
      <c r="A1424" s="13" t="str">
        <f ca="1">IFERROR(__xludf.DUMMYFUNCTION("""COMPUTED_VALUE"""),"i_pa_lv2")</f>
        <v>i_pa_lv2</v>
      </c>
      <c r="B1424" s="13" t="str">
        <f ca="1">IFERROR(__xludf.DUMMYFUNCTION("""COMPUTED_VALUE"""),"Ток НН2, фаза A")</f>
        <v>Ток НН2, фаза A</v>
      </c>
    </row>
    <row r="1425" spans="1:2" ht="15.75" customHeight="1" x14ac:dyDescent="0.25">
      <c r="A1425" s="13" t="str">
        <f ca="1">IFERROR(__xludf.DUMMYFUNCTION("""COMPUTED_VALUE"""),"i_pa_mv")</f>
        <v>i_pa_mv</v>
      </c>
      <c r="B1425" s="13" t="str">
        <f ca="1">IFERROR(__xludf.DUMMYFUNCTION("""COMPUTED_VALUE"""),"Ток СН, фаза A")</f>
        <v>Ток СН, фаза A</v>
      </c>
    </row>
    <row r="1426" spans="1:2" ht="15.75" customHeight="1" x14ac:dyDescent="0.25">
      <c r="A1426" s="13" t="str">
        <f ca="1">IFERROR(__xludf.DUMMYFUNCTION("""COMPUTED_VALUE"""),"i_pb_hv")</f>
        <v>i_pb_hv</v>
      </c>
      <c r="B1426" s="13" t="str">
        <f ca="1">IFERROR(__xludf.DUMMYFUNCTION("""COMPUTED_VALUE"""),"Ток ВН, фаза B")</f>
        <v>Ток ВН, фаза B</v>
      </c>
    </row>
    <row r="1427" spans="1:2" ht="15.75" customHeight="1" x14ac:dyDescent="0.25">
      <c r="A1427" s="13" t="str">
        <f ca="1">IFERROR(__xludf.DUMMYFUNCTION("""COMPUTED_VALUE"""),"i_pb_lv")</f>
        <v>i_pb_lv</v>
      </c>
      <c r="B1427" s="13" t="str">
        <f ca="1">IFERROR(__xludf.DUMMYFUNCTION("""COMPUTED_VALUE"""),"Ток НН, фаза B")</f>
        <v>Ток НН, фаза B</v>
      </c>
    </row>
    <row r="1428" spans="1:2" ht="15.75" customHeight="1" x14ac:dyDescent="0.25">
      <c r="A1428" s="13" t="str">
        <f ca="1">IFERROR(__xludf.DUMMYFUNCTION("""COMPUTED_VALUE"""),"i_pb_lv1")</f>
        <v>i_pb_lv1</v>
      </c>
      <c r="B1428" s="13" t="str">
        <f ca="1">IFERROR(__xludf.DUMMYFUNCTION("""COMPUTED_VALUE"""),"Ток НН1, фаза B")</f>
        <v>Ток НН1, фаза B</v>
      </c>
    </row>
    <row r="1429" spans="1:2" ht="15.75" customHeight="1" x14ac:dyDescent="0.25">
      <c r="A1429" s="13" t="str">
        <f ca="1">IFERROR(__xludf.DUMMYFUNCTION("""COMPUTED_VALUE"""),"i_pb_lv2")</f>
        <v>i_pb_lv2</v>
      </c>
      <c r="B1429" s="13" t="str">
        <f ca="1">IFERROR(__xludf.DUMMYFUNCTION("""COMPUTED_VALUE"""),"Ток НН2, фаза B")</f>
        <v>Ток НН2, фаза B</v>
      </c>
    </row>
    <row r="1430" spans="1:2" ht="15.75" customHeight="1" x14ac:dyDescent="0.25">
      <c r="A1430" s="13" t="str">
        <f ca="1">IFERROR(__xludf.DUMMYFUNCTION("""COMPUTED_VALUE"""),"i_pb_mv")</f>
        <v>i_pb_mv</v>
      </c>
      <c r="B1430" s="13" t="str">
        <f ca="1">IFERROR(__xludf.DUMMYFUNCTION("""COMPUTED_VALUE"""),"Ток СН, фаза B")</f>
        <v>Ток СН, фаза B</v>
      </c>
    </row>
    <row r="1431" spans="1:2" ht="15.75" customHeight="1" x14ac:dyDescent="0.25">
      <c r="A1431" s="13" t="str">
        <f ca="1">IFERROR(__xludf.DUMMYFUNCTION("""COMPUTED_VALUE"""),"i_pc_hv")</f>
        <v>i_pc_hv</v>
      </c>
      <c r="B1431" s="13" t="str">
        <f ca="1">IFERROR(__xludf.DUMMYFUNCTION("""COMPUTED_VALUE"""),"Ток ВН, фаза C")</f>
        <v>Ток ВН, фаза C</v>
      </c>
    </row>
    <row r="1432" spans="1:2" ht="15.75" customHeight="1" x14ac:dyDescent="0.25">
      <c r="A1432" s="13" t="str">
        <f ca="1">IFERROR(__xludf.DUMMYFUNCTION("""COMPUTED_VALUE"""),"i_pc_lv")</f>
        <v>i_pc_lv</v>
      </c>
      <c r="B1432" s="13" t="str">
        <f ca="1">IFERROR(__xludf.DUMMYFUNCTION("""COMPUTED_VALUE"""),"Ток НН, фаза C")</f>
        <v>Ток НН, фаза C</v>
      </c>
    </row>
    <row r="1433" spans="1:2" ht="15.75" customHeight="1" x14ac:dyDescent="0.25">
      <c r="A1433" s="13" t="str">
        <f ca="1">IFERROR(__xludf.DUMMYFUNCTION("""COMPUTED_VALUE"""),"i_pc_lv1")</f>
        <v>i_pc_lv1</v>
      </c>
      <c r="B1433" s="13" t="str">
        <f ca="1">IFERROR(__xludf.DUMMYFUNCTION("""COMPUTED_VALUE"""),"Ток НН1, фаза C")</f>
        <v>Ток НН1, фаза C</v>
      </c>
    </row>
    <row r="1434" spans="1:2" ht="15.75" customHeight="1" x14ac:dyDescent="0.25">
      <c r="A1434" s="13" t="str">
        <f ca="1">IFERROR(__xludf.DUMMYFUNCTION("""COMPUTED_VALUE"""),"i_pc_lv2")</f>
        <v>i_pc_lv2</v>
      </c>
      <c r="B1434" s="13" t="str">
        <f ca="1">IFERROR(__xludf.DUMMYFUNCTION("""COMPUTED_VALUE"""),"Ток НН2, фаза C")</f>
        <v>Ток НН2, фаза C</v>
      </c>
    </row>
    <row r="1435" spans="1:2" ht="15.75" customHeight="1" x14ac:dyDescent="0.25">
      <c r="A1435" s="13" t="str">
        <f ca="1">IFERROR(__xludf.DUMMYFUNCTION("""COMPUTED_VALUE"""),"i_pc_mv")</f>
        <v>i_pc_mv</v>
      </c>
      <c r="B1435" s="13" t="str">
        <f ca="1">IFERROR(__xludf.DUMMYFUNCTION("""COMPUTED_VALUE"""),"Ток СН, фаза C")</f>
        <v>Ток СН, фаза C</v>
      </c>
    </row>
    <row r="1436" spans="1:2" ht="15.75" customHeight="1" x14ac:dyDescent="0.25">
      <c r="A1436" s="13" t="str">
        <f ca="1">IFERROR(__xludf.DUMMYFUNCTION("""COMPUTED_VALUE"""),"itsu_1044")</f>
        <v>itsu_1044</v>
      </c>
      <c r="B1436" s="13" t="str">
        <f ca="1">IFERROR(__xludf.DUMMYFUNCTION("""COMPUTED_VALUE"""),"ИТСУ ""Изоляционная система""")</f>
        <v>ИТСУ "Изоляционная система"</v>
      </c>
    </row>
    <row r="1437" spans="1:2" ht="15.75" customHeight="1" x14ac:dyDescent="0.25">
      <c r="A1437" s="13" t="str">
        <f ca="1">IFERROR(__xludf.DUMMYFUNCTION("""COMPUTED_VALUE"""),"itsu_1044_corr_online")</f>
        <v>itsu_1044_corr_online</v>
      </c>
      <c r="B1437" s="13" t="str">
        <f ca="1">IFERROR(__xludf.DUMMYFUNCTION("""COMPUTED_VALUE"""),"Корректировка ИТСУ ""Изоляционная система"" по онлайн-данным")</f>
        <v>Корректировка ИТСУ "Изоляционная система" по онлайн-данным</v>
      </c>
    </row>
    <row r="1438" spans="1:2" ht="15.75" customHeight="1" x14ac:dyDescent="0.25">
      <c r="A1438" s="13" t="str">
        <f ca="1">IFERROR(__xludf.DUMMYFUNCTION("""COMPUTED_VALUE"""),"itsu_1044_external")</f>
        <v>itsu_1044_external</v>
      </c>
      <c r="B1438" s="13" t="str">
        <f ca="1">IFERROR(__xludf.DUMMYFUNCTION("""COMPUTED_VALUE"""),"Оффлайн ИТСУ ""Изоляционная система"", внешние ИС")</f>
        <v>Оффлайн ИТСУ "Изоляционная система", внешние ИС</v>
      </c>
    </row>
    <row r="1439" spans="1:2" ht="15.75" customHeight="1" x14ac:dyDescent="0.25">
      <c r="A1439" s="13" t="str">
        <f ca="1">IFERROR(__xludf.DUMMYFUNCTION("""COMPUTED_VALUE"""),"itsu_1044_offline")</f>
        <v>itsu_1044_offline</v>
      </c>
      <c r="B1439" s="13" t="str">
        <f ca="1">IFERROR(__xludf.DUMMYFUNCTION("""COMPUTED_VALUE"""),"Оффлайн ИТСУ ""Изоляционная система"", ручное")</f>
        <v>Оффлайн ИТСУ "Изоляционная система", ручное</v>
      </c>
    </row>
    <row r="1440" spans="1:2" ht="15.75" customHeight="1" x14ac:dyDescent="0.25">
      <c r="A1440" s="13" t="str">
        <f ca="1">IFERROR(__xludf.DUMMYFUNCTION("""COMPUTED_VALUE"""),"itsu_1081")</f>
        <v>itsu_1081</v>
      </c>
      <c r="B1440" s="13" t="str">
        <f ca="1">IFERROR(__xludf.DUMMYFUNCTION("""COMPUTED_VALUE"""),"ИТСУ ""Магнитопровод""")</f>
        <v>ИТСУ "Магнитопровод"</v>
      </c>
    </row>
    <row r="1441" spans="1:2" ht="15.75" customHeight="1" x14ac:dyDescent="0.25">
      <c r="A1441" s="13" t="str">
        <f ca="1">IFERROR(__xludf.DUMMYFUNCTION("""COMPUTED_VALUE"""),"itsu_1081_external")</f>
        <v>itsu_1081_external</v>
      </c>
      <c r="B1441" s="13" t="str">
        <f ca="1">IFERROR(__xludf.DUMMYFUNCTION("""COMPUTED_VALUE"""),"Оффлайн ИТСУ ""Магнитопровод"", внешние ИС")</f>
        <v>Оффлайн ИТСУ "Магнитопровод", внешние ИС</v>
      </c>
    </row>
    <row r="1442" spans="1:2" ht="15.75" customHeight="1" x14ac:dyDescent="0.25">
      <c r="A1442" s="13" t="str">
        <f ca="1">IFERROR(__xludf.DUMMYFUNCTION("""COMPUTED_VALUE"""),"itsu_1081_offline")</f>
        <v>itsu_1081_offline</v>
      </c>
      <c r="B1442" s="13" t="str">
        <f ca="1">IFERROR(__xludf.DUMMYFUNCTION("""COMPUTED_VALUE"""),"Оффлайн ИТСУ ""Магнитопровод"", ручное")</f>
        <v>Оффлайн ИТСУ "Магнитопровод", ручное</v>
      </c>
    </row>
    <row r="1443" spans="1:2" ht="15.75" customHeight="1" x14ac:dyDescent="0.25">
      <c r="A1443" s="13" t="str">
        <f ca="1">IFERROR(__xludf.DUMMYFUNCTION("""COMPUTED_VALUE"""),"itsu_1085")</f>
        <v>itsu_1085</v>
      </c>
      <c r="B1443" s="13" t="str">
        <f ca="1">IFERROR(__xludf.DUMMYFUNCTION("""COMPUTED_VALUE"""),"ИТСУ ""Обмотки трансформатора""")</f>
        <v>ИТСУ "Обмотки трансформатора"</v>
      </c>
    </row>
    <row r="1444" spans="1:2" ht="15.75" customHeight="1" x14ac:dyDescent="0.25">
      <c r="A1444" s="13" t="str">
        <f ca="1">IFERROR(__xludf.DUMMYFUNCTION("""COMPUTED_VALUE"""),"itsu_1085_corr_online")</f>
        <v>itsu_1085_corr_online</v>
      </c>
      <c r="B1444" s="13" t="str">
        <f ca="1">IFERROR(__xludf.DUMMYFUNCTION("""COMPUTED_VALUE"""),"Корректировка ИТСУ ""Обмотки трансформатора"" по онлайн-данным")</f>
        <v>Корректировка ИТСУ "Обмотки трансформатора" по онлайн-данным</v>
      </c>
    </row>
    <row r="1445" spans="1:2" ht="15.75" customHeight="1" x14ac:dyDescent="0.25">
      <c r="A1445" s="13" t="str">
        <f ca="1">IFERROR(__xludf.DUMMYFUNCTION("""COMPUTED_VALUE"""),"itsu_1085_external")</f>
        <v>itsu_1085_external</v>
      </c>
      <c r="B1445" s="13" t="str">
        <f ca="1">IFERROR(__xludf.DUMMYFUNCTION("""COMPUTED_VALUE"""),"Оффлайн ИТСУ ""Обмотки трансформатора"", внешние ИС")</f>
        <v>Оффлайн ИТСУ "Обмотки трансформатора", внешние ИС</v>
      </c>
    </row>
    <row r="1446" spans="1:2" ht="15.75" customHeight="1" x14ac:dyDescent="0.25">
      <c r="A1446" s="13" t="str">
        <f ca="1">IFERROR(__xludf.DUMMYFUNCTION("""COMPUTED_VALUE"""),"itsu_1085_offline")</f>
        <v>itsu_1085_offline</v>
      </c>
      <c r="B1446" s="13" t="str">
        <f ca="1">IFERROR(__xludf.DUMMYFUNCTION("""COMPUTED_VALUE"""),"Оффлайн ИТСУ ""Обмотки трансформатора"", ручное")</f>
        <v>Оффлайн ИТСУ "Обмотки трансформатора", ручное</v>
      </c>
    </row>
    <row r="1447" spans="1:2" ht="15.75" customHeight="1" x14ac:dyDescent="0.25">
      <c r="A1447" s="13" t="str">
        <f ca="1">IFERROR(__xludf.DUMMYFUNCTION("""COMPUTED_VALUE"""),"itsu_992_corr_online")</f>
        <v>itsu_992_corr_online</v>
      </c>
      <c r="B1447" s="13" t="str">
        <f ca="1">IFERROR(__xludf.DUMMYFUNCTION("""COMPUTED_VALUE"""),"Корректировка ИТСУ ""Высоковольтный ввод"" по онлайн-данным")</f>
        <v>Корректировка ИТСУ "Высоковольтный ввод" по онлайн-данным</v>
      </c>
    </row>
    <row r="1448" spans="1:2" ht="15.75" customHeight="1" x14ac:dyDescent="0.25">
      <c r="A1448" s="13" t="str">
        <f ca="1">IFERROR(__xludf.DUMMYFUNCTION("""COMPUTED_VALUE"""),"itsu0_1044")</f>
        <v>itsu0_1044</v>
      </c>
      <c r="B1448" s="13" t="str">
        <f ca="1">IFERROR(__xludf.DUMMYFUNCTION("""COMPUTED_VALUE"""),"ИТСУ ""Изоляционная система"" на дату расчёта ИТС офлайн")</f>
        <v>ИТСУ "Изоляционная система" на дату расчёта ИТС офлайн</v>
      </c>
    </row>
    <row r="1449" spans="1:2" ht="15.75" customHeight="1" x14ac:dyDescent="0.25">
      <c r="A1449" s="13" t="str">
        <f ca="1">IFERROR(__xludf.DUMMYFUNCTION("""COMPUTED_VALUE"""),"itsu0_1085")</f>
        <v>itsu0_1085</v>
      </c>
      <c r="B1449" s="13" t="str">
        <f ca="1">IFERROR(__xludf.DUMMYFUNCTION("""COMPUTED_VALUE"""),"ИТСУ ""Обмотки трансформатора"" на дату расчёта ИТС офлайн")</f>
        <v>ИТСУ "Обмотки трансформатора" на дату расчёта ИТС офлайн</v>
      </c>
    </row>
    <row r="1450" spans="1:2" ht="15.75" customHeight="1" x14ac:dyDescent="0.25">
      <c r="A1450" s="13" t="str">
        <f ca="1">IFERROR(__xludf.DUMMYFUNCTION("""COMPUTED_VALUE"""),"itsu0_992")</f>
        <v>itsu0_992</v>
      </c>
      <c r="B1450" s="13" t="str">
        <f ca="1">IFERROR(__xludf.DUMMYFUNCTION("""COMPUTED_VALUE"""),"ИТСУ ""Высоковольтный ввод"" на дату расчёта ИТС офлайн")</f>
        <v>ИТСУ "Высоковольтный ввод" на дату расчёта ИТС офлайн</v>
      </c>
    </row>
    <row r="1451" spans="1:2" ht="15.75" customHeight="1" x14ac:dyDescent="0.25">
      <c r="A1451" s="13" t="str">
        <f ca="1">IFERROR(__xludf.DUMMYFUNCTION("""COMPUTED_VALUE"""),"itsz")</f>
        <v>itsz</v>
      </c>
      <c r="B1451" s="13" t="str">
        <f ca="1">IFERROR(__xludf.DUMMYFUNCTION("""COMPUTED_VALUE"""),"ИТС – метод ЭДИС-нормативные критерии")</f>
        <v>ИТС – метод ЭДИС-нормативные критерии</v>
      </c>
    </row>
    <row r="1452" spans="1:2" ht="15.75" customHeight="1" x14ac:dyDescent="0.25">
      <c r="A1452" s="13" t="str">
        <f ca="1">IFERROR(__xludf.DUMMYFUNCTION("""COMPUTED_VALUE"""),"k_arr_a")</f>
        <v>k_arr_a</v>
      </c>
      <c r="B1452" s="13" t="str">
        <f ca="1">IFERROR(__xludf.DUMMYFUNCTION("""COMPUTED_VALUE"""),"Коэффициент Аррениуса a")</f>
        <v>Коэффициент Аррениуса a</v>
      </c>
    </row>
    <row r="1453" spans="1:2" ht="15.75" customHeight="1" x14ac:dyDescent="0.25">
      <c r="A1453" s="13" t="str">
        <f ca="1">IFERROR(__xludf.DUMMYFUNCTION("""COMPUTED_VALUE"""),"k_arr_a_manual")</f>
        <v>k_arr_a_manual</v>
      </c>
      <c r="B1453" s="13" t="str">
        <f ca="1">IFERROR(__xludf.DUMMYFUNCTION("""COMPUTED_VALUE"""),"Коэффициент Аррениуса a")</f>
        <v>Коэффициент Аррениуса a</v>
      </c>
    </row>
    <row r="1454" spans="1:2" ht="15.75" customHeight="1" x14ac:dyDescent="0.25">
      <c r="A1454" s="13" t="str">
        <f ca="1">IFERROR(__xludf.DUMMYFUNCTION("""COMPUTED_VALUE"""),"k_arr_b")</f>
        <v>k_arr_b</v>
      </c>
      <c r="B1454" s="13" t="str">
        <f ca="1">IFERROR(__xludf.DUMMYFUNCTION("""COMPUTED_VALUE"""),"Коэффициент Аррениуса b")</f>
        <v>Коэффициент Аррениуса b</v>
      </c>
    </row>
    <row r="1455" spans="1:2" ht="15.75" customHeight="1" x14ac:dyDescent="0.25">
      <c r="A1455" s="13" t="str">
        <f ca="1">IFERROR(__xludf.DUMMYFUNCTION("""COMPUTED_VALUE"""),"k_arr_b_manual")</f>
        <v>k_arr_b_manual</v>
      </c>
      <c r="B1455" s="13" t="str">
        <f ca="1">IFERROR(__xludf.DUMMYFUNCTION("""COMPUTED_VALUE"""),"Коэффициент Аррениуса b")</f>
        <v>Коэффициент Аррениуса b</v>
      </c>
    </row>
    <row r="1456" spans="1:2" ht="15.75" customHeight="1" x14ac:dyDescent="0.25">
      <c r="A1456" s="13" t="str">
        <f ca="1">IFERROR(__xludf.DUMMYFUNCTION("""COMPUTED_VALUE"""),"k_bush_c_temp")</f>
        <v>k_bush_c_temp</v>
      </c>
      <c r="B1456" s="13" t="str">
        <f ca="1">IFERROR(__xludf.DUMMYFUNCTION("""COMPUTED_VALUE"""),"Форма температурной зависимости ёмкости")</f>
        <v>Форма температурной зависимости ёмкости</v>
      </c>
    </row>
    <row r="1457" spans="1:2" ht="15.75" customHeight="1" x14ac:dyDescent="0.25">
      <c r="A1457" s="13" t="str">
        <f ca="1">IFERROR(__xludf.DUMMYFUNCTION("""COMPUTED_VALUE"""),"k_bush_c_temp_manual")</f>
        <v>k_bush_c_temp_manual</v>
      </c>
      <c r="B1457" s="13" t="str">
        <f ca="1">IFERROR(__xludf.DUMMYFUNCTION("""COMPUTED_VALUE"""),"Форма температурной зависимости ёмкости, ручное")</f>
        <v>Форма температурной зависимости ёмкости, ручное</v>
      </c>
    </row>
    <row r="1458" spans="1:2" ht="15.75" customHeight="1" x14ac:dyDescent="0.25">
      <c r="A1458" s="13" t="str">
        <f ca="1">IFERROR(__xludf.DUMMYFUNCTION("""COMPUTED_VALUE"""),"k_bush_tgd_temp")</f>
        <v>k_bush_tgd_temp</v>
      </c>
      <c r="B1458" s="13" t="str">
        <f ca="1">IFERROR(__xludf.DUMMYFUNCTION("""COMPUTED_VALUE"""),"Форма температурной зависимости тангенса")</f>
        <v>Форма температурной зависимости тангенса</v>
      </c>
    </row>
    <row r="1459" spans="1:2" ht="15.75" customHeight="1" x14ac:dyDescent="0.25">
      <c r="A1459" s="13" t="str">
        <f ca="1">IFERROR(__xludf.DUMMYFUNCTION("""COMPUTED_VALUE"""),"k_bush_tgd_temp_manual")</f>
        <v>k_bush_tgd_temp_manual</v>
      </c>
      <c r="B1459" s="13" t="str">
        <f ca="1">IFERROR(__xludf.DUMMYFUNCTION("""COMPUTED_VALUE"""),"Форма температурной зависимости тангенса, ручное")</f>
        <v>Форма температурной зависимости тангенса, ручное</v>
      </c>
    </row>
    <row r="1460" spans="1:2" ht="15.75" customHeight="1" x14ac:dyDescent="0.25">
      <c r="A1460" s="13" t="str">
        <f ca="1">IFERROR(__xludf.DUMMYFUNCTION("""COMPUTED_VALUE"""),"k_current")</f>
        <v>k_current</v>
      </c>
      <c r="B1460" s="13" t="str">
        <f ca="1">IFERROR(__xludf.DUMMYFUNCTION("""COMPUTED_VALUE"""),"Коэффициент перегрузки по току")</f>
        <v>Коэффициент перегрузки по току</v>
      </c>
    </row>
    <row r="1461" spans="1:2" ht="15.75" customHeight="1" x14ac:dyDescent="0.25">
      <c r="A1461" s="13" t="str">
        <f ca="1">IFERROR(__xludf.DUMMYFUNCTION("""COMPUTED_VALUE"""),"k_current_rated")</f>
        <v>k_current_rated</v>
      </c>
      <c r="B1461" s="13" t="str">
        <f ca="1">IFERROR(__xludf.DUMMYFUNCTION("""COMPUTED_VALUE"""),"Коэффициент нагрузки по номинальному току")</f>
        <v>Коэффициент нагрузки по номинальному току</v>
      </c>
    </row>
    <row r="1462" spans="1:2" ht="15.75" customHeight="1" x14ac:dyDescent="0.25">
      <c r="A1462" s="13" t="str">
        <f ca="1">IFERROR(__xludf.DUMMYFUNCTION("""COMPUTED_VALUE"""),"k_fu_1044")</f>
        <v>k_fu_1044</v>
      </c>
      <c r="B1462" s="13" t="str">
        <f ca="1">IFERROR(__xludf.DUMMYFUNCTION("""COMPUTED_VALUE"""),"Весовые коэффициенты узла: изоляционная система")</f>
        <v>Весовые коэффициенты узла: изоляционная система</v>
      </c>
    </row>
    <row r="1463" spans="1:2" ht="15.75" customHeight="1" x14ac:dyDescent="0.25">
      <c r="A1463" s="13" t="str">
        <f ca="1">IFERROR(__xludf.DUMMYFUNCTION("""COMPUTED_VALUE"""),"k_fu_1081")</f>
        <v>k_fu_1081</v>
      </c>
      <c r="B1463" s="13" t="str">
        <f ca="1">IFERROR(__xludf.DUMMYFUNCTION("""COMPUTED_VALUE"""),"Весовые коэффициенты узла: магнитопровод")</f>
        <v>Весовые коэффициенты узла: магнитопровод</v>
      </c>
    </row>
    <row r="1464" spans="1:2" ht="15.75" customHeight="1" x14ac:dyDescent="0.25">
      <c r="A1464" s="13" t="str">
        <f ca="1">IFERROR(__xludf.DUMMYFUNCTION("""COMPUTED_VALUE"""),"k_fu_1085")</f>
        <v>k_fu_1085</v>
      </c>
      <c r="B1464" s="13" t="str">
        <f ca="1">IFERROR(__xludf.DUMMYFUNCTION("""COMPUTED_VALUE"""),"Весовые коэффициенты узла: обмотки трансформатора")</f>
        <v>Весовые коэффициенты узла: обмотки трансформатора</v>
      </c>
    </row>
    <row r="1465" spans="1:2" ht="15.75" customHeight="1" x14ac:dyDescent="0.25">
      <c r="A1465" s="13" t="str">
        <f ca="1">IFERROR(__xludf.DUMMYFUNCTION("""COMPUTED_VALUE"""),"k_fu_992")</f>
        <v>k_fu_992</v>
      </c>
      <c r="B1465" s="13" t="str">
        <f ca="1">IFERROR(__xludf.DUMMYFUNCTION("""COMPUTED_VALUE"""),"Весовые коэффициенты узла: высоковольтный ввод")</f>
        <v>Весовые коэффициенты узла: высоковольтный ввод</v>
      </c>
    </row>
    <row r="1466" spans="1:2" ht="15.75" customHeight="1" x14ac:dyDescent="0.25">
      <c r="A1466" s="13" t="str">
        <f ca="1">IFERROR(__xludf.DUMMYFUNCTION("""COMPUTED_VALUE"""),"k_gpfu_1015")</f>
        <v>k_gpfu_1015</v>
      </c>
      <c r="B1466" s="13" t="str">
        <f ca="1">IFERROR(__xludf.DUMMYFUNCTION("""COMPUTED_VALUE"""),"Весовые коэффициенты группы параметров: состояние изоляции")</f>
        <v>Весовые коэффициенты группы параметров: состояние изоляции</v>
      </c>
    </row>
    <row r="1467" spans="1:2" ht="15.75" customHeight="1" x14ac:dyDescent="0.25">
      <c r="A1467" s="13" t="str">
        <f ca="1">IFERROR(__xludf.DUMMYFUNCTION("""COMPUTED_VALUE"""),"k_gpfu_1044")</f>
        <v>k_gpfu_1044</v>
      </c>
      <c r="B1467" s="13" t="str">
        <f ca="1">IFERROR(__xludf.DUMMYFUNCTION("""COMPUTED_VALUE"""),"Весовые коэффициенты группы параметров: состояние масла")</f>
        <v>Весовые коэффициенты группы параметров: состояние масла</v>
      </c>
    </row>
    <row r="1468" spans="1:2" ht="15.75" customHeight="1" x14ac:dyDescent="0.25">
      <c r="A1468" s="13" t="str">
        <f ca="1">IFERROR(__xludf.DUMMYFUNCTION("""COMPUTED_VALUE"""),"k_gpfu_1058")</f>
        <v>k_gpfu_1058</v>
      </c>
      <c r="B1468" s="13" t="str">
        <f ca="1">IFERROR(__xludf.DUMMYFUNCTION("""COMPUTED_VALUE"""),"Весовые коэффициенты группы параметров: хроматографический анализ")</f>
        <v>Весовые коэффициенты группы параметров: хроматографический анализ</v>
      </c>
    </row>
    <row r="1469" spans="1:2" ht="15.75" customHeight="1" x14ac:dyDescent="0.25">
      <c r="A1469" s="13" t="str">
        <f ca="1">IFERROR(__xludf.DUMMYFUNCTION("""COMPUTED_VALUE"""),"k_gpfu_1091")</f>
        <v>k_gpfu_1091</v>
      </c>
      <c r="B1469" s="13" t="str">
        <f ca="1">IFERROR(__xludf.DUMMYFUNCTION("""COMPUTED_VALUE"""),"Весовые коэффициенты группы параметров: состояние твёрдой изоляции")</f>
        <v>Весовые коэффициенты группы параметров: состояние твёрдой изоляции</v>
      </c>
    </row>
    <row r="1470" spans="1:2" ht="15.75" customHeight="1" x14ac:dyDescent="0.25">
      <c r="A1470" s="13" t="str">
        <f ca="1">IFERROR(__xludf.DUMMYFUNCTION("""COMPUTED_VALUE"""),"k_overload_fault")</f>
        <v>k_overload_fault</v>
      </c>
      <c r="B1470" s="13" t="str">
        <f ca="1">IFERROR(__xludf.DUMMYFUNCTION("""COMPUTED_VALUE"""),"Коэффициент допустимой аварийной перегрузки")</f>
        <v>Коэффициент допустимой аварийной перегрузки</v>
      </c>
    </row>
    <row r="1471" spans="1:2" ht="15.75" customHeight="1" x14ac:dyDescent="0.25">
      <c r="A1471" s="13" t="str">
        <f ca="1">IFERROR(__xludf.DUMMYFUNCTION("""COMPUTED_VALUE"""),"k_overvoltage")</f>
        <v>k_overvoltage</v>
      </c>
      <c r="B1471" s="13" t="str">
        <f ca="1">IFERROR(__xludf.DUMMYFUNCTION("""COMPUTED_VALUE"""),"Справочник кратностей и длительностей перенапряжений")</f>
        <v>Справочник кратностей и длительностей перенапряжений</v>
      </c>
    </row>
    <row r="1472" spans="1:2" ht="15.75" customHeight="1" x14ac:dyDescent="0.25">
      <c r="A1472" s="13" t="str">
        <f ca="1">IFERROR(__xludf.DUMMYFUNCTION("""COMPUTED_VALUE"""),"k_overvoltage_duration_lim0")</f>
        <v>k_overvoltage_duration_lim0</v>
      </c>
      <c r="B1472" s="13" t="str">
        <f ca="1">IFERROR(__xludf.DUMMYFUNCTION("""COMPUTED_VALUE"""),"Допустимые длительности перенапряжения")</f>
        <v>Допустимые длительности перенапряжения</v>
      </c>
    </row>
    <row r="1473" spans="1:2" ht="15.75" customHeight="1" x14ac:dyDescent="0.25">
      <c r="A1473" s="13" t="str">
        <f ca="1">IFERROR(__xludf.DUMMYFUNCTION("""COMPUTED_VALUE"""),"k_overvoltage_max_hv")</f>
        <v>k_overvoltage_max_hv</v>
      </c>
      <c r="B1473" s="13" t="str">
        <f ca="1">IFERROR(__xludf.DUMMYFUNCTION("""COMPUTED_VALUE"""),"Максимальная кратность превышения наибольшего рабочего напряжения, ВН")</f>
        <v>Максимальная кратность превышения наибольшего рабочего напряжения, ВН</v>
      </c>
    </row>
    <row r="1474" spans="1:2" ht="15.75" customHeight="1" x14ac:dyDescent="0.25">
      <c r="A1474" s="13" t="str">
        <f ca="1">IFERROR(__xludf.DUMMYFUNCTION("""COMPUTED_VALUE"""),"k_overvoltage_max_lv")</f>
        <v>k_overvoltage_max_lv</v>
      </c>
      <c r="B1474" s="13" t="str">
        <f ca="1">IFERROR(__xludf.DUMMYFUNCTION("""COMPUTED_VALUE"""),"Максимальная кратность превышения наибольшего рабочего напряжения, НН")</f>
        <v>Максимальная кратность превышения наибольшего рабочего напряжения, НН</v>
      </c>
    </row>
    <row r="1475" spans="1:2" ht="15.75" customHeight="1" x14ac:dyDescent="0.25">
      <c r="A1475" s="13" t="str">
        <f ca="1">IFERROR(__xludf.DUMMYFUNCTION("""COMPUTED_VALUE"""),"k_overvoltage_max_mv")</f>
        <v>k_overvoltage_max_mv</v>
      </c>
      <c r="B1475" s="13" t="str">
        <f ca="1">IFERROR(__xludf.DUMMYFUNCTION("""COMPUTED_VALUE"""),"Максимальная кратность превышения наибольшего рабочего напряжения, СН")</f>
        <v>Максимальная кратность превышения наибольшего рабочего напряжения, СН</v>
      </c>
    </row>
    <row r="1476" spans="1:2" ht="15.75" customHeight="1" x14ac:dyDescent="0.25">
      <c r="A1476" s="13" t="str">
        <f ca="1">IFERROR(__xludf.DUMMYFUNCTION("""COMPUTED_VALUE"""),"k_overvoltage_pa_hv")</f>
        <v>k_overvoltage_pa_hv</v>
      </c>
      <c r="B1476" s="13" t="str">
        <f ca="1">IFERROR(__xludf.DUMMYFUNCTION("""COMPUTED_VALUE"""),"Кратность превышения фазного наибольшего рабочего напряжения, фаза А")</f>
        <v>Кратность превышения фазного наибольшего рабочего напряжения, фаза А</v>
      </c>
    </row>
    <row r="1477" spans="1:2" ht="15.75" customHeight="1" x14ac:dyDescent="0.25">
      <c r="A1477" s="13" t="str">
        <f ca="1">IFERROR(__xludf.DUMMYFUNCTION("""COMPUTED_VALUE"""),"k_overvoltage_pab_hv")</f>
        <v>k_overvoltage_pab_hv</v>
      </c>
      <c r="B1477" s="13" t="str">
        <f ca="1">IFERROR(__xludf.DUMMYFUNCTION("""COMPUTED_VALUE"""),"Кратность превышения линейного наибольшего рабочего напряжения, фазы А и В")</f>
        <v>Кратность превышения линейного наибольшего рабочего напряжения, фазы А и В</v>
      </c>
    </row>
    <row r="1478" spans="1:2" ht="15.75" customHeight="1" x14ac:dyDescent="0.25">
      <c r="A1478" s="13" t="str">
        <f ca="1">IFERROR(__xludf.DUMMYFUNCTION("""COMPUTED_VALUE"""),"k_overvoltage_pb_hv")</f>
        <v>k_overvoltage_pb_hv</v>
      </c>
      <c r="B1478" s="13" t="str">
        <f ca="1">IFERROR(__xludf.DUMMYFUNCTION("""COMPUTED_VALUE"""),"Кратность превышения фазного наибольшего рабочего напряжения, фаза В")</f>
        <v>Кратность превышения фазного наибольшего рабочего напряжения, фаза В</v>
      </c>
    </row>
    <row r="1479" spans="1:2" ht="15.75" customHeight="1" x14ac:dyDescent="0.25">
      <c r="A1479" s="13" t="str">
        <f ca="1">IFERROR(__xludf.DUMMYFUNCTION("""COMPUTED_VALUE"""),"k_overvoltage_pbc_hv")</f>
        <v>k_overvoltage_pbc_hv</v>
      </c>
      <c r="B1479" s="13" t="str">
        <f ca="1">IFERROR(__xludf.DUMMYFUNCTION("""COMPUTED_VALUE"""),"Кратность превышения линейного наибольшего рабочего напряжения, фазы В и С")</f>
        <v>Кратность превышения линейного наибольшего рабочего напряжения, фазы В и С</v>
      </c>
    </row>
    <row r="1480" spans="1:2" ht="15.75" customHeight="1" x14ac:dyDescent="0.25">
      <c r="A1480" s="13" t="str">
        <f ca="1">IFERROR(__xludf.DUMMYFUNCTION("""COMPUTED_VALUE"""),"k_overvoltage_pc_hv")</f>
        <v>k_overvoltage_pc_hv</v>
      </c>
      <c r="B1480" s="13" t="str">
        <f ca="1">IFERROR(__xludf.DUMMYFUNCTION("""COMPUTED_VALUE"""),"Кратность превышения фазного наибольшего рабочего напряжения, фаза С")</f>
        <v>Кратность превышения фазного наибольшего рабочего напряжения, фаза С</v>
      </c>
    </row>
    <row r="1481" spans="1:2" ht="15.75" customHeight="1" x14ac:dyDescent="0.25">
      <c r="A1481" s="13" t="str">
        <f ca="1">IFERROR(__xludf.DUMMYFUNCTION("""COMPUTED_VALUE"""),"k_overvoltage_pca_hv")</f>
        <v>k_overvoltage_pca_hv</v>
      </c>
      <c r="B1481" s="13" t="str">
        <f ca="1">IFERROR(__xludf.DUMMYFUNCTION("""COMPUTED_VALUE"""),"Кратность превышения линейного наибольшего рабочего напряжения, фазы С и А")</f>
        <v>Кратность превышения линейного наибольшего рабочего напряжения, фазы С и А</v>
      </c>
    </row>
    <row r="1482" spans="1:2" ht="15.75" customHeight="1" x14ac:dyDescent="0.25">
      <c r="A1482" s="13" t="str">
        <f ca="1">IFERROR(__xludf.DUMMYFUNCTION("""COMPUTED_VALUE"""),"k_power_ageing_koh")</f>
        <v>k_power_ageing_koh</v>
      </c>
      <c r="B1482" s="13" t="str">
        <f ca="1">IFERROR(__xludf.DUMMYFUNCTION("""COMPUTED_VALUE"""),"Показатель степени в поправке на кислотное число")</f>
        <v>Показатель степени в поправке на кислотное число</v>
      </c>
    </row>
    <row r="1483" spans="1:2" ht="15.75" customHeight="1" x14ac:dyDescent="0.25">
      <c r="A1483" s="13" t="str">
        <f ca="1">IFERROR(__xludf.DUMMYFUNCTION("""COMPUTED_VALUE"""),"k_power_ageing_koh_manual")</f>
        <v>k_power_ageing_koh_manual</v>
      </c>
      <c r="B1483" s="13" t="str">
        <f ca="1">IFERROR(__xludf.DUMMYFUNCTION("""COMPUTED_VALUE"""),"Показатель степени в поправке на кислотное число, ручное")</f>
        <v>Показатель степени в поправке на кислотное число, ручное</v>
      </c>
    </row>
    <row r="1484" spans="1:2" ht="15.75" customHeight="1" x14ac:dyDescent="0.25">
      <c r="A1484" s="13" t="str">
        <f ca="1">IFERROR(__xludf.DUMMYFUNCTION("""COMPUTED_VALUE"""),"k_power_ageing_wcp")</f>
        <v>k_power_ageing_wcp</v>
      </c>
      <c r="B1484" s="13" t="str">
        <f ca="1">IFERROR(__xludf.DUMMYFUNCTION("""COMPUTED_VALUE"""),"Показатель степени в поправке на влажность")</f>
        <v>Показатель степени в поправке на влажность</v>
      </c>
    </row>
    <row r="1485" spans="1:2" ht="15.75" customHeight="1" x14ac:dyDescent="0.25">
      <c r="A1485" s="13" t="str">
        <f ca="1">IFERROR(__xludf.DUMMYFUNCTION("""COMPUTED_VALUE"""),"k_power_ageing_wcp_manual")</f>
        <v>k_power_ageing_wcp_manual</v>
      </c>
      <c r="B1485" s="13" t="str">
        <f ca="1">IFERROR(__xludf.DUMMYFUNCTION("""COMPUTED_VALUE"""),"Показатель степени в поправке на влажность, ручное")</f>
        <v>Показатель степени в поправке на влажность, ручное</v>
      </c>
    </row>
    <row r="1486" spans="1:2" ht="15.75" customHeight="1" x14ac:dyDescent="0.25">
      <c r="A1486" s="13" t="str">
        <f ca="1">IFERROR(__xludf.DUMMYFUNCTION("""COMPUTED_VALUE"""),"k_sf6_p_dens")</f>
        <v>k_sf6_p_dens</v>
      </c>
      <c r="B1486" s="13" t="str">
        <f ca="1">IFERROR(__xludf.DUMMYFUNCTION("""COMPUTED_VALUE"""),"Форма зависимости температуры сжижения от давления элегаза КРУЭ")</f>
        <v>Форма зависимости температуры сжижения от давления элегаза КРУЭ</v>
      </c>
    </row>
    <row r="1487" spans="1:2" ht="15.75" customHeight="1" x14ac:dyDescent="0.25">
      <c r="A1487" s="13" t="str">
        <f ca="1">IFERROR(__xludf.DUMMYFUNCTION("""COMPUTED_VALUE"""),"k_sf6_p_dens_manual")</f>
        <v>k_sf6_p_dens_manual</v>
      </c>
      <c r="B1487" s="13" t="str">
        <f ca="1">IFERROR(__xludf.DUMMYFUNCTION("""COMPUTED_VALUE"""),"Форма зависимости температуры сжижения от давления элегаза КРУЭ, ручная")</f>
        <v>Форма зависимости температуры сжижения от давления элегаза КРУЭ, ручная</v>
      </c>
    </row>
    <row r="1488" spans="1:2" ht="15.75" customHeight="1" x14ac:dyDescent="0.25">
      <c r="A1488" s="13" t="str">
        <f ca="1">IFERROR(__xludf.DUMMYFUNCTION("""COMPUTED_VALUE"""),"k_sf6_p_temp")</f>
        <v>k_sf6_p_temp</v>
      </c>
      <c r="B1488" s="13" t="str">
        <f ca="1">IFERROR(__xludf.DUMMYFUNCTION("""COMPUTED_VALUE"""),"Форма зависимости номинальной плотности элегаза  КРУЭ от давления")</f>
        <v>Форма зависимости номинальной плотности элегаза  КРУЭ от давления</v>
      </c>
    </row>
    <row r="1489" spans="1:2" ht="15.75" customHeight="1" x14ac:dyDescent="0.25">
      <c r="A1489" s="13" t="str">
        <f ca="1">IFERROR(__xludf.DUMMYFUNCTION("""COMPUTED_VALUE"""),"k_sf6_p_temp_manual")</f>
        <v>k_sf6_p_temp_manual</v>
      </c>
      <c r="B1489" s="13" t="str">
        <f ca="1">IFERROR(__xludf.DUMMYFUNCTION("""COMPUTED_VALUE"""),"Форма зависимости номинальной плотности элегаза КРУЭ от давления, ручная")</f>
        <v>Форма зависимости номинальной плотности элегаза КРУЭ от давления, ручная</v>
      </c>
    </row>
    <row r="1490" spans="1:2" ht="15.75" customHeight="1" x14ac:dyDescent="0.25">
      <c r="A1490" s="13" t="str">
        <f ca="1">IFERROR(__xludf.DUMMYFUNCTION("""COMPUTED_VALUE"""),"k_therm_k_11")</f>
        <v>k_therm_k_11</v>
      </c>
      <c r="B1490" s="13" t="str">
        <f ca="1">IFERROR(__xludf.DUMMYFUNCTION("""COMPUTED_VALUE"""),"Тепловые постоянные модели: k_11")</f>
        <v>Тепловые постоянные модели: k_11</v>
      </c>
    </row>
    <row r="1491" spans="1:2" ht="15.75" customHeight="1" x14ac:dyDescent="0.25">
      <c r="A1491" s="13" t="str">
        <f ca="1">IFERROR(__xludf.DUMMYFUNCTION("""COMPUTED_VALUE"""),"k_therm_k_11_manual")</f>
        <v>k_therm_k_11_manual</v>
      </c>
      <c r="B1491" s="13" t="str">
        <f ca="1">IFERROR(__xludf.DUMMYFUNCTION("""COMPUTED_VALUE"""),"Тепловые постоянные модели: k_11, ручное")</f>
        <v>Тепловые постоянные модели: k_11, ручное</v>
      </c>
    </row>
    <row r="1492" spans="1:2" ht="15.75" customHeight="1" x14ac:dyDescent="0.25">
      <c r="A1492" s="13" t="str">
        <f ca="1">IFERROR(__xludf.DUMMYFUNCTION("""COMPUTED_VALUE"""),"k_therm_k_21")</f>
        <v>k_therm_k_21</v>
      </c>
      <c r="B1492" s="13" t="str">
        <f ca="1">IFERROR(__xludf.DUMMYFUNCTION("""COMPUTED_VALUE"""),"Тепловые постоянные модели: k_21")</f>
        <v>Тепловые постоянные модели: k_21</v>
      </c>
    </row>
    <row r="1493" spans="1:2" ht="15.75" customHeight="1" x14ac:dyDescent="0.25">
      <c r="A1493" s="13" t="str">
        <f ca="1">IFERROR(__xludf.DUMMYFUNCTION("""COMPUTED_VALUE"""),"k_therm_k_21_manual")</f>
        <v>k_therm_k_21_manual</v>
      </c>
      <c r="B1493" s="13" t="str">
        <f ca="1">IFERROR(__xludf.DUMMYFUNCTION("""COMPUTED_VALUE"""),"Тепловые постоянные модели: k_21, ручное")</f>
        <v>Тепловые постоянные модели: k_21, ручное</v>
      </c>
    </row>
    <row r="1494" spans="1:2" ht="15.75" customHeight="1" x14ac:dyDescent="0.25">
      <c r="A1494" s="13" t="str">
        <f ca="1">IFERROR(__xludf.DUMMYFUNCTION("""COMPUTED_VALUE"""),"k_therm_k_22")</f>
        <v>k_therm_k_22</v>
      </c>
      <c r="B1494" s="13" t="str">
        <f ca="1">IFERROR(__xludf.DUMMYFUNCTION("""COMPUTED_VALUE"""),"Тепловые постоянные модели: k_22")</f>
        <v>Тепловые постоянные модели: k_22</v>
      </c>
    </row>
    <row r="1495" spans="1:2" ht="15.75" customHeight="1" x14ac:dyDescent="0.25">
      <c r="A1495" s="13" t="str">
        <f ca="1">IFERROR(__xludf.DUMMYFUNCTION("""COMPUTED_VALUE"""),"k_therm_k_22_manual")</f>
        <v>k_therm_k_22_manual</v>
      </c>
      <c r="B1495" s="13" t="str">
        <f ca="1">IFERROR(__xludf.DUMMYFUNCTION("""COMPUTED_VALUE"""),"Тепловые постоянные модели: k_22, ручное")</f>
        <v>Тепловые постоянные модели: k_22, ручное</v>
      </c>
    </row>
    <row r="1496" spans="1:2" ht="15.75" customHeight="1" x14ac:dyDescent="0.25">
      <c r="A1496" s="13" t="str">
        <f ca="1">IFERROR(__xludf.DUMMYFUNCTION("""COMPUTED_VALUE"""),"k_therm_tau_0")</f>
        <v>k_therm_tau_0</v>
      </c>
      <c r="B1496" s="13" t="str">
        <f ca="1">IFERROR(__xludf.DUMMYFUNCTION("""COMPUTED_VALUE"""),"Тепловые постоянные модели: tau_0")</f>
        <v>Тепловые постоянные модели: tau_0</v>
      </c>
    </row>
    <row r="1497" spans="1:2" ht="15.75" customHeight="1" x14ac:dyDescent="0.25">
      <c r="A1497" s="13" t="str">
        <f ca="1">IFERROR(__xludf.DUMMYFUNCTION("""COMPUTED_VALUE"""),"k_therm_tau_0_manual")</f>
        <v>k_therm_tau_0_manual</v>
      </c>
      <c r="B1497" s="13" t="str">
        <f ca="1">IFERROR(__xludf.DUMMYFUNCTION("""COMPUTED_VALUE"""),"Тепловые постоянные модели: tau_0, ручное")</f>
        <v>Тепловые постоянные модели: tau_0, ручное</v>
      </c>
    </row>
    <row r="1498" spans="1:2" ht="15.75" customHeight="1" x14ac:dyDescent="0.25">
      <c r="A1498" s="13" t="str">
        <f ca="1">IFERROR(__xludf.DUMMYFUNCTION("""COMPUTED_VALUE"""),"k_therm_tau_w")</f>
        <v>k_therm_tau_w</v>
      </c>
      <c r="B1498" s="13" t="str">
        <f ca="1">IFERROR(__xludf.DUMMYFUNCTION("""COMPUTED_VALUE"""),"Тепловые постоянные модели: tau_w")</f>
        <v>Тепловые постоянные модели: tau_w</v>
      </c>
    </row>
    <row r="1499" spans="1:2" ht="15.75" customHeight="1" x14ac:dyDescent="0.25">
      <c r="A1499" s="13" t="str">
        <f ca="1">IFERROR(__xludf.DUMMYFUNCTION("""COMPUTED_VALUE"""),"k_therm_tau_w_manual")</f>
        <v>k_therm_tau_w_manual</v>
      </c>
      <c r="B1499" s="13" t="str">
        <f ca="1">IFERROR(__xludf.DUMMYFUNCTION("""COMPUTED_VALUE"""),"Тепловые постоянные модели: tau_w, ручное")</f>
        <v>Тепловые постоянные модели: tau_w, ручное</v>
      </c>
    </row>
    <row r="1500" spans="1:2" ht="15.75" customHeight="1" x14ac:dyDescent="0.25">
      <c r="A1500" s="13" t="str">
        <f ca="1">IFERROR(__xludf.DUMMYFUNCTION("""COMPUTED_VALUE"""),"k_therm_x")</f>
        <v>k_therm_x</v>
      </c>
      <c r="B1500" s="13" t="str">
        <f ca="1">IFERROR(__xludf.DUMMYFUNCTION("""COMPUTED_VALUE"""),"Тепловые постоянные модели: x")</f>
        <v>Тепловые постоянные модели: x</v>
      </c>
    </row>
    <row r="1501" spans="1:2" ht="15.75" customHeight="1" x14ac:dyDescent="0.25">
      <c r="A1501" s="13" t="str">
        <f ca="1">IFERROR(__xludf.DUMMYFUNCTION("""COMPUTED_VALUE"""),"k_therm_x_manual")</f>
        <v>k_therm_x_manual</v>
      </c>
      <c r="B1501" s="13" t="str">
        <f ca="1">IFERROR(__xludf.DUMMYFUNCTION("""COMPUTED_VALUE"""),"Тепловые постоянные модели: x, ручное")</f>
        <v>Тепловые постоянные модели: x, ручное</v>
      </c>
    </row>
    <row r="1502" spans="1:2" ht="15.75" customHeight="1" x14ac:dyDescent="0.25">
      <c r="A1502" s="13" t="str">
        <f ca="1">IFERROR(__xludf.DUMMYFUNCTION("""COMPUTED_VALUE"""),"k_therm_y")</f>
        <v>k_therm_y</v>
      </c>
      <c r="B1502" s="13" t="str">
        <f ca="1">IFERROR(__xludf.DUMMYFUNCTION("""COMPUTED_VALUE"""),"Тепловые постоянные модели: y")</f>
        <v>Тепловые постоянные модели: y</v>
      </c>
    </row>
    <row r="1503" spans="1:2" ht="15.75" customHeight="1" x14ac:dyDescent="0.25">
      <c r="A1503" s="13" t="str">
        <f ca="1">IFERROR(__xludf.DUMMYFUNCTION("""COMPUTED_VALUE"""),"k_therm_y_manual")</f>
        <v>k_therm_y_manual</v>
      </c>
      <c r="B1503" s="13" t="str">
        <f ca="1">IFERROR(__xludf.DUMMYFUNCTION("""COMPUTED_VALUE"""),"Тепловые постоянные модели: y, ручное")</f>
        <v>Тепловые постоянные модели: y, ручное</v>
      </c>
    </row>
    <row r="1504" spans="1:2" ht="15.75" customHeight="1" x14ac:dyDescent="0.25">
      <c r="A1504" s="13" t="str">
        <f ca="1">IFERROR(__xludf.DUMMYFUNCTION("""COMPUTED_VALUE"""),"koh_diff_lim0")</f>
        <v>koh_diff_lim0</v>
      </c>
      <c r="B1504" s="13" t="str">
        <f ca="1">IFERROR(__xludf.DUMMYFUNCTION("""COMPUTED_VALUE"""),"Уставка по изменению кислотного числа")</f>
        <v>Уставка по изменению кислотного числа</v>
      </c>
    </row>
    <row r="1505" spans="1:2" ht="15.75" customHeight="1" x14ac:dyDescent="0.25">
      <c r="A1505" s="13" t="str">
        <f ca="1">IFERROR(__xludf.DUMMYFUNCTION("""COMPUTED_VALUE"""),"koh_off")</f>
        <v>koh_off</v>
      </c>
      <c r="B1505" s="13" t="str">
        <f ca="1">IFERROR(__xludf.DUMMYFUNCTION("""COMPUTED_VALUE"""),"Оффлайн-измерения: кислотное число")</f>
        <v>Оффлайн-измерения: кислотное число</v>
      </c>
    </row>
    <row r="1506" spans="1:2" ht="15.75" customHeight="1" x14ac:dyDescent="0.25">
      <c r="A1506" s="13" t="str">
        <f ca="1">IFERROR(__xludf.DUMMYFUNCTION("""COMPUTED_VALUE"""),"koh_offline")</f>
        <v>koh_offline</v>
      </c>
      <c r="B1506" s="13" t="str">
        <f ca="1">IFERROR(__xludf.DUMMYFUNCTION("""COMPUTED_VALUE"""),"Кислотное число (офлайн)")</f>
        <v>Кислотное число (офлайн)</v>
      </c>
    </row>
    <row r="1507" spans="1:2" ht="15.75" customHeight="1" x14ac:dyDescent="0.25">
      <c r="A1507" s="13" t="str">
        <f ca="1">IFERROR(__xludf.DUMMYFUNCTION("""COMPUTED_VALUE"""),"koh_rated")</f>
        <v>koh_rated</v>
      </c>
      <c r="B1507" s="13" t="str">
        <f ca="1">IFERROR(__xludf.DUMMYFUNCTION("""COMPUTED_VALUE"""),"Номинальное значение кислотного числа")</f>
        <v>Номинальное значение кислотного числа</v>
      </c>
    </row>
    <row r="1508" spans="1:2" ht="15.75" customHeight="1" x14ac:dyDescent="0.25">
      <c r="A1508" s="13" t="str">
        <f ca="1">IFERROR(__xludf.DUMMYFUNCTION("""COMPUTED_VALUE"""),"koh_rated_manual")</f>
        <v>koh_rated_manual</v>
      </c>
      <c r="B1508" s="13" t="str">
        <f ca="1">IFERROR(__xludf.DUMMYFUNCTION("""COMPUTED_VALUE"""),"Номинальное значение кислотного числа, ручное")</f>
        <v>Номинальное значение кислотного числа, ручное</v>
      </c>
    </row>
    <row r="1509" spans="1:2" ht="15.75" customHeight="1" x14ac:dyDescent="0.25">
      <c r="A1509" s="13" t="str">
        <f ca="1">IFERROR(__xludf.DUMMYFUNCTION("""COMPUTED_VALUE"""),"leakage_sf6_day_1")</f>
        <v>leakage_sf6_day_1</v>
      </c>
      <c r="B1509" s="13" t="str">
        <f ca="1">IFERROR(__xludf.DUMMYFUNCTION("""COMPUTED_VALUE"""),"Скорость утечки элегаза КРУЭ за сутки. Датчик 1")</f>
        <v>Скорость утечки элегаза КРУЭ за сутки. Датчик 1</v>
      </c>
    </row>
    <row r="1510" spans="1:2" ht="15.75" customHeight="1" x14ac:dyDescent="0.25">
      <c r="A1510" s="13" t="str">
        <f ca="1">IFERROR(__xludf.DUMMYFUNCTION("""COMPUTED_VALUE"""),"leakage_sf6_day_10")</f>
        <v>leakage_sf6_day_10</v>
      </c>
      <c r="B1510" s="13" t="str">
        <f ca="1">IFERROR(__xludf.DUMMYFUNCTION("""COMPUTED_VALUE"""),"Скорость утечки элегаза КРУЭ за сутки. Датчик 10")</f>
        <v>Скорость утечки элегаза КРУЭ за сутки. Датчик 10</v>
      </c>
    </row>
    <row r="1511" spans="1:2" ht="15.75" customHeight="1" x14ac:dyDescent="0.25">
      <c r="A1511" s="13" t="str">
        <f ca="1">IFERROR(__xludf.DUMMYFUNCTION("""COMPUTED_VALUE"""),"leakage_sf6_day_2")</f>
        <v>leakage_sf6_day_2</v>
      </c>
      <c r="B1511" s="13" t="str">
        <f ca="1">IFERROR(__xludf.DUMMYFUNCTION("""COMPUTED_VALUE"""),"Скорость утечки элегаза КРУЭ за сутки. Датчик 2")</f>
        <v>Скорость утечки элегаза КРУЭ за сутки. Датчик 2</v>
      </c>
    </row>
    <row r="1512" spans="1:2" ht="15.75" customHeight="1" x14ac:dyDescent="0.25">
      <c r="A1512" s="13" t="str">
        <f ca="1">IFERROR(__xludf.DUMMYFUNCTION("""COMPUTED_VALUE"""),"leakage_sf6_day_3")</f>
        <v>leakage_sf6_day_3</v>
      </c>
      <c r="B1512" s="13" t="str">
        <f ca="1">IFERROR(__xludf.DUMMYFUNCTION("""COMPUTED_VALUE"""),"Скорость утечки элегаза КРУЭ за сутки. Датчик 3")</f>
        <v>Скорость утечки элегаза КРУЭ за сутки. Датчик 3</v>
      </c>
    </row>
    <row r="1513" spans="1:2" ht="15.75" customHeight="1" x14ac:dyDescent="0.25">
      <c r="A1513" s="13" t="str">
        <f ca="1">IFERROR(__xludf.DUMMYFUNCTION("""COMPUTED_VALUE"""),"leakage_sf6_day_4")</f>
        <v>leakage_sf6_day_4</v>
      </c>
      <c r="B1513" s="13" t="str">
        <f ca="1">IFERROR(__xludf.DUMMYFUNCTION("""COMPUTED_VALUE"""),"Скорость утечки элегаза КРУЭ за сутки. Датчик 4")</f>
        <v>Скорость утечки элегаза КРУЭ за сутки. Датчик 4</v>
      </c>
    </row>
    <row r="1514" spans="1:2" ht="15.75" customHeight="1" x14ac:dyDescent="0.25">
      <c r="A1514" s="13" t="str">
        <f ca="1">IFERROR(__xludf.DUMMYFUNCTION("""COMPUTED_VALUE"""),"leakage_sf6_day_5")</f>
        <v>leakage_sf6_day_5</v>
      </c>
      <c r="B1514" s="13" t="str">
        <f ca="1">IFERROR(__xludf.DUMMYFUNCTION("""COMPUTED_VALUE"""),"Скорость утечки элегаза КРУЭ за сутки. Датчик 5")</f>
        <v>Скорость утечки элегаза КРУЭ за сутки. Датчик 5</v>
      </c>
    </row>
    <row r="1515" spans="1:2" ht="15.75" customHeight="1" x14ac:dyDescent="0.25">
      <c r="A1515" s="13" t="str">
        <f ca="1">IFERROR(__xludf.DUMMYFUNCTION("""COMPUTED_VALUE"""),"leakage_sf6_day_6")</f>
        <v>leakage_sf6_day_6</v>
      </c>
      <c r="B1515" s="13" t="str">
        <f ca="1">IFERROR(__xludf.DUMMYFUNCTION("""COMPUTED_VALUE"""),"Скорость утечки элегаза КРУЭ за сутки. Датчик 6")</f>
        <v>Скорость утечки элегаза КРУЭ за сутки. Датчик 6</v>
      </c>
    </row>
    <row r="1516" spans="1:2" ht="15.75" customHeight="1" x14ac:dyDescent="0.25">
      <c r="A1516" s="13" t="str">
        <f ca="1">IFERROR(__xludf.DUMMYFUNCTION("""COMPUTED_VALUE"""),"leakage_sf6_day_7")</f>
        <v>leakage_sf6_day_7</v>
      </c>
      <c r="B1516" s="13" t="str">
        <f ca="1">IFERROR(__xludf.DUMMYFUNCTION("""COMPUTED_VALUE"""),"Скорость утечки элегаза КРУЭ за сутки. Датчик 7")</f>
        <v>Скорость утечки элегаза КРУЭ за сутки. Датчик 7</v>
      </c>
    </row>
    <row r="1517" spans="1:2" ht="15.75" customHeight="1" x14ac:dyDescent="0.25">
      <c r="A1517" s="13" t="str">
        <f ca="1">IFERROR(__xludf.DUMMYFUNCTION("""COMPUTED_VALUE"""),"leakage_sf6_day_8")</f>
        <v>leakage_sf6_day_8</v>
      </c>
      <c r="B1517" s="13" t="str">
        <f ca="1">IFERROR(__xludf.DUMMYFUNCTION("""COMPUTED_VALUE"""),"Скорость утечки элегаза КРУЭ за сутки. Датчик 8")</f>
        <v>Скорость утечки элегаза КРУЭ за сутки. Датчик 8</v>
      </c>
    </row>
    <row r="1518" spans="1:2" ht="15.75" customHeight="1" x14ac:dyDescent="0.25">
      <c r="A1518" s="13" t="str">
        <f ca="1">IFERROR(__xludf.DUMMYFUNCTION("""COMPUTED_VALUE"""),"leakage_sf6_day_9")</f>
        <v>leakage_sf6_day_9</v>
      </c>
      <c r="B1518" s="13" t="str">
        <f ca="1">IFERROR(__xludf.DUMMYFUNCTION("""COMPUTED_VALUE"""),"Скорость утечки элегаза КРУЭ за сутки. Датчик 9")</f>
        <v>Скорость утечки элегаза КРУЭ за сутки. Датчик 9</v>
      </c>
    </row>
    <row r="1519" spans="1:2" ht="15.75" customHeight="1" x14ac:dyDescent="0.25">
      <c r="A1519" s="13" t="str">
        <f ca="1">IFERROR(__xludf.DUMMYFUNCTION("""COMPUTED_VALUE"""),"leakage_sf6_lim1")</f>
        <v>leakage_sf6_lim1</v>
      </c>
      <c r="B1519" s="13" t="str">
        <f ca="1">IFERROR(__xludf.DUMMYFUNCTION("""COMPUTED_VALUE"""),"ПДЗ утечки элегаза КРУЭ")</f>
        <v>ПДЗ утечки элегаза КРУЭ</v>
      </c>
    </row>
    <row r="1520" spans="1:2" ht="15.75" customHeight="1" x14ac:dyDescent="0.25">
      <c r="A1520" s="13" t="str">
        <f ca="1">IFERROR(__xludf.DUMMYFUNCTION("""COMPUTED_VALUE"""),"leakage_sf6_lim1_manual")</f>
        <v>leakage_sf6_lim1_manual</v>
      </c>
      <c r="B1520" s="13" t="str">
        <f ca="1">IFERROR(__xludf.DUMMYFUNCTION("""COMPUTED_VALUE"""),"ПДЗ утечки элегаза КРУЭ, ручное")</f>
        <v>ПДЗ утечки элегаза КРУЭ, ручное</v>
      </c>
    </row>
    <row r="1521" spans="1:2" ht="15.75" customHeight="1" x14ac:dyDescent="0.25">
      <c r="A1521" s="13" t="str">
        <f ca="1">IFERROR(__xludf.DUMMYFUNCTION("""COMPUTED_VALUE"""),"leakage_sf6_month_1")</f>
        <v>leakage_sf6_month_1</v>
      </c>
      <c r="B1521" s="13" t="str">
        <f ca="1">IFERROR(__xludf.DUMMYFUNCTION("""COMPUTED_VALUE"""),"Скорость утечки элегаза КРУЭ за месяц. Датчик 1")</f>
        <v>Скорость утечки элегаза КРУЭ за месяц. Датчик 1</v>
      </c>
    </row>
    <row r="1522" spans="1:2" ht="15.75" customHeight="1" x14ac:dyDescent="0.25">
      <c r="A1522" s="13" t="str">
        <f ca="1">IFERROR(__xludf.DUMMYFUNCTION("""COMPUTED_VALUE"""),"leakage_sf6_month_10")</f>
        <v>leakage_sf6_month_10</v>
      </c>
      <c r="B1522" s="13" t="str">
        <f ca="1">IFERROR(__xludf.DUMMYFUNCTION("""COMPUTED_VALUE"""),"Скорость утечки элегаза КРУЭ за месяц. Датчик 10")</f>
        <v>Скорость утечки элегаза КРУЭ за месяц. Датчик 10</v>
      </c>
    </row>
    <row r="1523" spans="1:2" ht="15.75" customHeight="1" x14ac:dyDescent="0.25">
      <c r="A1523" s="13" t="str">
        <f ca="1">IFERROR(__xludf.DUMMYFUNCTION("""COMPUTED_VALUE"""),"leakage_sf6_month_2")</f>
        <v>leakage_sf6_month_2</v>
      </c>
      <c r="B1523" s="13" t="str">
        <f ca="1">IFERROR(__xludf.DUMMYFUNCTION("""COMPUTED_VALUE"""),"Скорость утечки элегаза КРУЭ за месяц. Датчик 2")</f>
        <v>Скорость утечки элегаза КРУЭ за месяц. Датчик 2</v>
      </c>
    </row>
    <row r="1524" spans="1:2" ht="15.75" customHeight="1" x14ac:dyDescent="0.25">
      <c r="A1524" s="13" t="str">
        <f ca="1">IFERROR(__xludf.DUMMYFUNCTION("""COMPUTED_VALUE"""),"leakage_sf6_month_3")</f>
        <v>leakage_sf6_month_3</v>
      </c>
      <c r="B1524" s="13" t="str">
        <f ca="1">IFERROR(__xludf.DUMMYFUNCTION("""COMPUTED_VALUE"""),"Скорость утечки элегаза КРУЭ за месяц. Датчик 3")</f>
        <v>Скорость утечки элегаза КРУЭ за месяц. Датчик 3</v>
      </c>
    </row>
    <row r="1525" spans="1:2" ht="15.75" customHeight="1" x14ac:dyDescent="0.25">
      <c r="A1525" s="13" t="str">
        <f ca="1">IFERROR(__xludf.DUMMYFUNCTION("""COMPUTED_VALUE"""),"leakage_sf6_month_4")</f>
        <v>leakage_sf6_month_4</v>
      </c>
      <c r="B1525" s="13" t="str">
        <f ca="1">IFERROR(__xludf.DUMMYFUNCTION("""COMPUTED_VALUE"""),"Скорость утечки элегаза КРУЭ за месяц. Датчик 4")</f>
        <v>Скорость утечки элегаза КРУЭ за месяц. Датчик 4</v>
      </c>
    </row>
    <row r="1526" spans="1:2" ht="15.75" customHeight="1" x14ac:dyDescent="0.25">
      <c r="A1526" s="13" t="str">
        <f ca="1">IFERROR(__xludf.DUMMYFUNCTION("""COMPUTED_VALUE"""),"leakage_sf6_month_5")</f>
        <v>leakage_sf6_month_5</v>
      </c>
      <c r="B1526" s="13" t="str">
        <f ca="1">IFERROR(__xludf.DUMMYFUNCTION("""COMPUTED_VALUE"""),"Скорость утечки элегаза КРУЭ за месяц. Датчик 5")</f>
        <v>Скорость утечки элегаза КРУЭ за месяц. Датчик 5</v>
      </c>
    </row>
    <row r="1527" spans="1:2" ht="15.75" customHeight="1" x14ac:dyDescent="0.25">
      <c r="A1527" s="13" t="str">
        <f ca="1">IFERROR(__xludf.DUMMYFUNCTION("""COMPUTED_VALUE"""),"leakage_sf6_month_6")</f>
        <v>leakage_sf6_month_6</v>
      </c>
      <c r="B1527" s="13" t="str">
        <f ca="1">IFERROR(__xludf.DUMMYFUNCTION("""COMPUTED_VALUE"""),"Скорость утечки элегаза КРУЭ за месяц. Датчик 6")</f>
        <v>Скорость утечки элегаза КРУЭ за месяц. Датчик 6</v>
      </c>
    </row>
    <row r="1528" spans="1:2" ht="15.75" customHeight="1" x14ac:dyDescent="0.25">
      <c r="A1528" s="13" t="str">
        <f ca="1">IFERROR(__xludf.DUMMYFUNCTION("""COMPUTED_VALUE"""),"leakage_sf6_month_7")</f>
        <v>leakage_sf6_month_7</v>
      </c>
      <c r="B1528" s="13" t="str">
        <f ca="1">IFERROR(__xludf.DUMMYFUNCTION("""COMPUTED_VALUE"""),"Скорость утечки элегаза КРУЭ за месяц. Датчик 7")</f>
        <v>Скорость утечки элегаза КРУЭ за месяц. Датчик 7</v>
      </c>
    </row>
    <row r="1529" spans="1:2" ht="15.75" customHeight="1" x14ac:dyDescent="0.25">
      <c r="A1529" s="13" t="str">
        <f ca="1">IFERROR(__xludf.DUMMYFUNCTION("""COMPUTED_VALUE"""),"leakage_sf6_month_8")</f>
        <v>leakage_sf6_month_8</v>
      </c>
      <c r="B1529" s="13" t="str">
        <f ca="1">IFERROR(__xludf.DUMMYFUNCTION("""COMPUTED_VALUE"""),"Скорость утечки элегаза КРУЭ за месяц. Датчик 8")</f>
        <v>Скорость утечки элегаза КРУЭ за месяц. Датчик 8</v>
      </c>
    </row>
    <row r="1530" spans="1:2" ht="15.75" customHeight="1" x14ac:dyDescent="0.25">
      <c r="A1530" s="13" t="str">
        <f ca="1">IFERROR(__xludf.DUMMYFUNCTION("""COMPUTED_VALUE"""),"leakage_sf6_month_9")</f>
        <v>leakage_sf6_month_9</v>
      </c>
      <c r="B1530" s="13" t="str">
        <f ca="1">IFERROR(__xludf.DUMMYFUNCTION("""COMPUTED_VALUE"""),"Скорость утечки элегаза КРУЭ за месяц. Датчик 9")</f>
        <v>Скорость утечки элегаза КРУЭ за месяц. Датчик 9</v>
      </c>
    </row>
    <row r="1531" spans="1:2" ht="15.75" customHeight="1" x14ac:dyDescent="0.25">
      <c r="A1531" s="13" t="str">
        <f ca="1">IFERROR(__xludf.DUMMYFUNCTION("""COMPUTED_VALUE"""),"leakage_sf6_year_1")</f>
        <v>leakage_sf6_year_1</v>
      </c>
      <c r="B1531" s="13" t="str">
        <f ca="1">IFERROR(__xludf.DUMMYFUNCTION("""COMPUTED_VALUE"""),"Скорость утечки элегаза КРУЭ за год. Датчик 1")</f>
        <v>Скорость утечки элегаза КРУЭ за год. Датчик 1</v>
      </c>
    </row>
    <row r="1532" spans="1:2" ht="15.75" customHeight="1" x14ac:dyDescent="0.25">
      <c r="A1532" s="13" t="str">
        <f ca="1">IFERROR(__xludf.DUMMYFUNCTION("""COMPUTED_VALUE"""),"leakage_sf6_year_10")</f>
        <v>leakage_sf6_year_10</v>
      </c>
      <c r="B1532" s="13" t="str">
        <f ca="1">IFERROR(__xludf.DUMMYFUNCTION("""COMPUTED_VALUE"""),"Скорость утечки элегаза КРУЭ за год. Датчик 10")</f>
        <v>Скорость утечки элегаза КРУЭ за год. Датчик 10</v>
      </c>
    </row>
    <row r="1533" spans="1:2" ht="15.75" customHeight="1" x14ac:dyDescent="0.25">
      <c r="A1533" s="13" t="str">
        <f ca="1">IFERROR(__xludf.DUMMYFUNCTION("""COMPUTED_VALUE"""),"leakage_sf6_year_2")</f>
        <v>leakage_sf6_year_2</v>
      </c>
      <c r="B1533" s="13" t="str">
        <f ca="1">IFERROR(__xludf.DUMMYFUNCTION("""COMPUTED_VALUE"""),"Скорость утечки элегаза КРУЭ за год. Датчик 2")</f>
        <v>Скорость утечки элегаза КРУЭ за год. Датчик 2</v>
      </c>
    </row>
    <row r="1534" spans="1:2" ht="15.75" customHeight="1" x14ac:dyDescent="0.25">
      <c r="A1534" s="13" t="str">
        <f ca="1">IFERROR(__xludf.DUMMYFUNCTION("""COMPUTED_VALUE"""),"leakage_sf6_year_3")</f>
        <v>leakage_sf6_year_3</v>
      </c>
      <c r="B1534" s="13" t="str">
        <f ca="1">IFERROR(__xludf.DUMMYFUNCTION("""COMPUTED_VALUE"""),"Скорость утечки элегаза КРУЭ за год. Датчик 3")</f>
        <v>Скорость утечки элегаза КРУЭ за год. Датчик 3</v>
      </c>
    </row>
    <row r="1535" spans="1:2" ht="15.75" customHeight="1" x14ac:dyDescent="0.25">
      <c r="A1535" s="13" t="str">
        <f ca="1">IFERROR(__xludf.DUMMYFUNCTION("""COMPUTED_VALUE"""),"leakage_sf6_year_4")</f>
        <v>leakage_sf6_year_4</v>
      </c>
      <c r="B1535" s="13" t="str">
        <f ca="1">IFERROR(__xludf.DUMMYFUNCTION("""COMPUTED_VALUE"""),"Скорость утечки элегаза КРУЭ за год. Датчик 4")</f>
        <v>Скорость утечки элегаза КРУЭ за год. Датчик 4</v>
      </c>
    </row>
    <row r="1536" spans="1:2" ht="15.75" customHeight="1" x14ac:dyDescent="0.25">
      <c r="A1536" s="13" t="str">
        <f ca="1">IFERROR(__xludf.DUMMYFUNCTION("""COMPUTED_VALUE"""),"leakage_sf6_year_5")</f>
        <v>leakage_sf6_year_5</v>
      </c>
      <c r="B1536" s="13" t="str">
        <f ca="1">IFERROR(__xludf.DUMMYFUNCTION("""COMPUTED_VALUE"""),"Скорость утечки элегаза КРУЭ за год. Датчик 5")</f>
        <v>Скорость утечки элегаза КРУЭ за год. Датчик 5</v>
      </c>
    </row>
    <row r="1537" spans="1:2" ht="15.75" customHeight="1" x14ac:dyDescent="0.25">
      <c r="A1537" s="13" t="str">
        <f ca="1">IFERROR(__xludf.DUMMYFUNCTION("""COMPUTED_VALUE"""),"leakage_sf6_year_6")</f>
        <v>leakage_sf6_year_6</v>
      </c>
      <c r="B1537" s="13" t="str">
        <f ca="1">IFERROR(__xludf.DUMMYFUNCTION("""COMPUTED_VALUE"""),"Скорость утечки элегаза КРУЭ за год. Датчик 6")</f>
        <v>Скорость утечки элегаза КРУЭ за год. Датчик 6</v>
      </c>
    </row>
    <row r="1538" spans="1:2" ht="15.75" customHeight="1" x14ac:dyDescent="0.25">
      <c r="A1538" s="13" t="str">
        <f ca="1">IFERROR(__xludf.DUMMYFUNCTION("""COMPUTED_VALUE"""),"leakage_sf6_year_7")</f>
        <v>leakage_sf6_year_7</v>
      </c>
      <c r="B1538" s="13" t="str">
        <f ca="1">IFERROR(__xludf.DUMMYFUNCTION("""COMPUTED_VALUE"""),"Скорость утечки элегаза КРУЭ за год. Датчик 7")</f>
        <v>Скорость утечки элегаза КРУЭ за год. Датчик 7</v>
      </c>
    </row>
    <row r="1539" spans="1:2" ht="15.75" customHeight="1" x14ac:dyDescent="0.25">
      <c r="A1539" s="13" t="str">
        <f ca="1">IFERROR(__xludf.DUMMYFUNCTION("""COMPUTED_VALUE"""),"leakage_sf6_year_8")</f>
        <v>leakage_sf6_year_8</v>
      </c>
      <c r="B1539" s="13" t="str">
        <f ca="1">IFERROR(__xludf.DUMMYFUNCTION("""COMPUTED_VALUE"""),"Скорость утечки элегаза КРУЭ за год. Датчик 8")</f>
        <v>Скорость утечки элегаза КРУЭ за год. Датчик 8</v>
      </c>
    </row>
    <row r="1540" spans="1:2" ht="15.75" customHeight="1" x14ac:dyDescent="0.25">
      <c r="A1540" s="13" t="str">
        <f ca="1">IFERROR(__xludf.DUMMYFUNCTION("""COMPUTED_VALUE"""),"leakage_sf6_year_9")</f>
        <v>leakage_sf6_year_9</v>
      </c>
      <c r="B1540" s="13" t="str">
        <f ca="1">IFERROR(__xludf.DUMMYFUNCTION("""COMPUTED_VALUE"""),"Скорость утечки элегаза КРУЭ за год. Датчик 9")</f>
        <v>Скорость утечки элегаза КРУЭ за год. Датчик 9</v>
      </c>
    </row>
    <row r="1541" spans="1:2" ht="15.75" customHeight="1" x14ac:dyDescent="0.25">
      <c r="A1541" s="13" t="str">
        <f ca="1">IFERROR(__xludf.DUMMYFUNCTION("""COMPUTED_VALUE"""),"life")</f>
        <v>life</v>
      </c>
      <c r="B1541" s="13" t="str">
        <f ca="1">IFERROR(__xludf.DUMMYFUNCTION("""COMPUTED_VALUE"""),"Возраст трансформатора (реактора)")</f>
        <v>Возраст трансформатора (реактора)</v>
      </c>
    </row>
    <row r="1542" spans="1:2" ht="15.75" customHeight="1" x14ac:dyDescent="0.25">
      <c r="A1542" s="13" t="str">
        <f ca="1">IFERROR(__xludf.DUMMYFUNCTION("""COMPUTED_VALUE"""),"life_before_monsys")</f>
        <v>life_before_monsys</v>
      </c>
      <c r="B1542" s="13" t="str">
        <f ca="1">IFERROR(__xludf.DUMMYFUNCTION("""COMPUTED_VALUE"""),"Возраст оборудования на момент ввода АСМД")</f>
        <v>Возраст оборудования на момент ввода АСМД</v>
      </c>
    </row>
    <row r="1543" spans="1:2" ht="15.75" customHeight="1" x14ac:dyDescent="0.25">
      <c r="A1543" s="13" t="str">
        <f ca="1">IFERROR(__xludf.DUMMYFUNCTION("""COMPUTED_VALUE"""),"life_loss_day")</f>
        <v>life_loss_day</v>
      </c>
      <c r="B1543" s="13" t="str">
        <f ca="1">IFERROR(__xludf.DUMMYFUNCTION("""COMPUTED_VALUE"""),"Сокращение срока службы за сутки")</f>
        <v>Сокращение срока службы за сутки</v>
      </c>
    </row>
    <row r="1544" spans="1:2" ht="15.75" customHeight="1" x14ac:dyDescent="0.25">
      <c r="A1544" s="13" t="str">
        <f ca="1">IFERROR(__xludf.DUMMYFUNCTION("""COMPUTED_VALUE"""),"life_loss_day_montsinger")</f>
        <v>life_loss_day_montsinger</v>
      </c>
      <c r="B1544" s="13" t="str">
        <f ca="1">IFERROR(__xludf.DUMMYFUNCTION("""COMPUTED_VALUE"""),"Износ изоляции за последние сутки, рассчитанный по модели Монзингера")</f>
        <v>Износ изоляции за последние сутки, рассчитанный по модели Монзингера</v>
      </c>
    </row>
    <row r="1545" spans="1:2" ht="15.75" customHeight="1" x14ac:dyDescent="0.25">
      <c r="A1545" s="13" t="str">
        <f ca="1">IFERROR(__xludf.DUMMYFUNCTION("""COMPUTED_VALUE"""),"life_loss_day_montsinger_koh")</f>
        <v>life_loss_day_montsinger_koh</v>
      </c>
      <c r="B1545" s="13" t="str">
        <f ca="1">IFERROR(__xludf.DUMMYFUNCTION("""COMPUTED_VALUE"""),"Износ изоляции за последние сутки, рассчитанный по модели Монзингера с поправкой на кислотное число")</f>
        <v>Износ изоляции за последние сутки, рассчитанный по модели Монзингера с поправкой на кислотное число</v>
      </c>
    </row>
    <row r="1546" spans="1:2" ht="15.75" customHeight="1" x14ac:dyDescent="0.25">
      <c r="A1546" s="13" t="str">
        <f ca="1">IFERROR(__xludf.DUMMYFUNCTION("""COMPUTED_VALUE"""),"life_loss_day_montsinger_wcp")</f>
        <v>life_loss_day_montsinger_wcp</v>
      </c>
      <c r="B1546" s="13" t="str">
        <f ca="1">IFERROR(__xludf.DUMMYFUNCTION("""COMPUTED_VALUE"""),"Износ изоляции за последние сутки, рассчитанный по модели Монзингера с поправкой на влажность")</f>
        <v>Износ изоляции за последние сутки, рассчитанный по модели Монзингера с поправкой на влажность</v>
      </c>
    </row>
    <row r="1547" spans="1:2" ht="15.75" customHeight="1" x14ac:dyDescent="0.25">
      <c r="A1547" s="13" t="str">
        <f ca="1">IFERROR(__xludf.DUMMYFUNCTION("""COMPUTED_VALUE"""),"life_loss_day_montsinger_wcp_koh")</f>
        <v>life_loss_day_montsinger_wcp_koh</v>
      </c>
      <c r="B1547" s="13" t="str">
        <f ca="1">IFERROR(__xludf.DUMMYFUNCTION("""COMPUTED_VALUE"""),"Износ изоляции за последние сутки, рассчитанный по модели Монзингера с поправкой на влажность и кислотное число")</f>
        <v>Износ изоляции за последние сутки, рассчитанный по модели Монзингера с поправкой на влажность и кислотное число</v>
      </c>
    </row>
    <row r="1548" spans="1:2" ht="15.75" customHeight="1" x14ac:dyDescent="0.25">
      <c r="A1548" s="13" t="str">
        <f ca="1">IFERROR(__xludf.DUMMYFUNCTION("""COMPUTED_VALUE"""),"life_loss_lim0")</f>
        <v>life_loss_lim0</v>
      </c>
      <c r="B1548" s="13" t="str">
        <f ca="1">IFERROR(__xludf.DUMMYFUNCTION("""COMPUTED_VALUE"""),"ДЗ израсходованного ресурса")</f>
        <v>ДЗ израсходованного ресурса</v>
      </c>
    </row>
    <row r="1549" spans="1:2" ht="15.75" customHeight="1" x14ac:dyDescent="0.25">
      <c r="A1549" s="13" t="str">
        <f ca="1">IFERROR(__xludf.DUMMYFUNCTION("""COMPUTED_VALUE"""),"life_loss_lim0_manual")</f>
        <v>life_loss_lim0_manual</v>
      </c>
      <c r="B1549" s="13" t="str">
        <f ca="1">IFERROR(__xludf.DUMMYFUNCTION("""COMPUTED_VALUE"""),"ДЗ израсходованного ресурса, ручное")</f>
        <v>ДЗ израсходованного ресурса, ручное</v>
      </c>
    </row>
    <row r="1550" spans="1:2" ht="15.75" customHeight="1" x14ac:dyDescent="0.25">
      <c r="A1550" s="13" t="str">
        <f ca="1">IFERROR(__xludf.DUMMYFUNCTION("""COMPUTED_VALUE"""),"life_loss_lim1")</f>
        <v>life_loss_lim1</v>
      </c>
      <c r="B1550" s="13" t="str">
        <f ca="1">IFERROR(__xludf.DUMMYFUNCTION("""COMPUTED_VALUE"""),"ПДЗ израсходованного ресурса")</f>
        <v>ПДЗ израсходованного ресурса</v>
      </c>
    </row>
    <row r="1551" spans="1:2" ht="15.75" customHeight="1" x14ac:dyDescent="0.25">
      <c r="A1551" s="13" t="str">
        <f ca="1">IFERROR(__xludf.DUMMYFUNCTION("""COMPUTED_VALUE"""),"life_loss_lim1_manual")</f>
        <v>life_loss_lim1_manual</v>
      </c>
      <c r="B1551" s="13" t="str">
        <f ca="1">IFERROR(__xludf.DUMMYFUNCTION("""COMPUTED_VALUE"""),"ПДЗ израсходованного ресурса, ручное")</f>
        <v>ПДЗ израсходованного ресурса, ручное</v>
      </c>
    </row>
    <row r="1552" spans="1:2" ht="15.75" customHeight="1" x14ac:dyDescent="0.25">
      <c r="A1552" s="13" t="str">
        <f ca="1">IFERROR(__xludf.DUMMYFUNCTION("""COMPUTED_VALUE"""),"life_loss_rel_calendar")</f>
        <v>life_loss_rel_calendar</v>
      </c>
      <c r="B1552" s="13" t="str">
        <f ca="1">IFERROR(__xludf.DUMMYFUNCTION("""COMPUTED_VALUE"""),"Относительный износ за календарно отработанное время")</f>
        <v>Относительный износ за календарно отработанное время</v>
      </c>
    </row>
    <row r="1553" spans="1:2" ht="15.75" customHeight="1" x14ac:dyDescent="0.25">
      <c r="A1553" s="13" t="str">
        <f ca="1">IFERROR(__xludf.DUMMYFUNCTION("""COMPUTED_VALUE"""),"life_loss_rel_calendar_montsinger")</f>
        <v>life_loss_rel_calendar_montsinger</v>
      </c>
      <c r="B1553" s="13" t="str">
        <f ca="1">IFERROR(__xludf.DUMMYFUNCTION("""COMPUTED_VALUE"""),"Относительный износ изоляции за календарно отработанное время, рассчитанный по модели Монзингера")</f>
        <v>Относительный износ изоляции за календарно отработанное время, рассчитанный по модели Монзингера</v>
      </c>
    </row>
    <row r="1554" spans="1:2" ht="15.75" customHeight="1" x14ac:dyDescent="0.25">
      <c r="A1554" s="13" t="str">
        <f ca="1">IFERROR(__xludf.DUMMYFUNCTION("""COMPUTED_VALUE"""),"life_loss_rel_calendar_montsinger_koh")</f>
        <v>life_loss_rel_calendar_montsinger_koh</v>
      </c>
      <c r="B1554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кислотное число")</f>
        <v>Относительный износ изоляции за календарно отработанное время, рассчитанный по модели Монзингера с поправкой на кислотное число</v>
      </c>
    </row>
    <row r="1555" spans="1:2" ht="15.75" customHeight="1" x14ac:dyDescent="0.25">
      <c r="A1555" s="13" t="str">
        <f ca="1">IFERROR(__xludf.DUMMYFUNCTION("""COMPUTED_VALUE"""),"life_loss_rel_calendar_montsinger_wcp")</f>
        <v>life_loss_rel_calendar_montsinger_wcp</v>
      </c>
      <c r="B1555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влажность")</f>
        <v>Относительный износ изоляции за календарно отработанное время, рассчитанный по модели Монзингера с поправкой на влажность</v>
      </c>
    </row>
    <row r="1556" spans="1:2" ht="15.75" customHeight="1" x14ac:dyDescent="0.25">
      <c r="A1556" s="13" t="str">
        <f ca="1">IFERROR(__xludf.DUMMYFUNCTION("""COMPUTED_VALUE"""),"life_loss_rel_calendar_montsinger_wcp_koh")</f>
        <v>life_loss_rel_calendar_montsinger_wcp_koh</v>
      </c>
      <c r="B1556" s="13" t="str">
        <f ca="1">IFERROR(__xludf.DUMMYFUNCTION("""COMPUTED_VALUE"""),"Относительный износ изоляции за календарно отработанное время, рассчитанный по модели Монзингера с поправкой на влажность и кислотное число")</f>
        <v>Относительный износ изоляции за календарно отработанное время, рассчитанный по модели Монзингера с поправкой на влажность и кислотное число</v>
      </c>
    </row>
    <row r="1557" spans="1:2" ht="15.75" customHeight="1" x14ac:dyDescent="0.25">
      <c r="A1557" s="13" t="str">
        <f ca="1">IFERROR(__xludf.DUMMYFUNCTION("""COMPUTED_VALUE"""),"life_remaining")</f>
        <v>life_remaining</v>
      </c>
      <c r="B1557" s="13" t="str">
        <f ca="1">IFERROR(__xludf.DUMMYFUNCTION("""COMPUTED_VALUE"""),"Остаточный ресурс изоляции")</f>
        <v>Остаточный ресурс изоляции</v>
      </c>
    </row>
    <row r="1558" spans="1:2" ht="15.75" customHeight="1" x14ac:dyDescent="0.25">
      <c r="A1558" s="13" t="str">
        <f ca="1">IFERROR(__xludf.DUMMYFUNCTION("""COMPUTED_VALUE"""),"life_remaining_lim0")</f>
        <v>life_remaining_lim0</v>
      </c>
      <c r="B1558" s="13" t="str">
        <f ca="1">IFERROR(__xludf.DUMMYFUNCTION("""COMPUTED_VALUE"""),"ДЗ остаточного ресурса")</f>
        <v>ДЗ остаточного ресурса</v>
      </c>
    </row>
    <row r="1559" spans="1:2" ht="15.75" customHeight="1" x14ac:dyDescent="0.25">
      <c r="A1559" s="13" t="str">
        <f ca="1">IFERROR(__xludf.DUMMYFUNCTION("""COMPUTED_VALUE"""),"life_remaining_lim0_manual")</f>
        <v>life_remaining_lim0_manual</v>
      </c>
      <c r="B1559" s="13" t="str">
        <f ca="1">IFERROR(__xludf.DUMMYFUNCTION("""COMPUTED_VALUE"""),"ДЗ остаточного ресурса, ручное")</f>
        <v>ДЗ остаточного ресурса, ручное</v>
      </c>
    </row>
    <row r="1560" spans="1:2" ht="15.75" customHeight="1" x14ac:dyDescent="0.25">
      <c r="A1560" s="13" t="str">
        <f ca="1">IFERROR(__xludf.DUMMYFUNCTION("""COMPUTED_VALUE"""),"life_remaining_lim1")</f>
        <v>life_remaining_lim1</v>
      </c>
      <c r="B1560" s="13" t="str">
        <f ca="1">IFERROR(__xludf.DUMMYFUNCTION("""COMPUTED_VALUE"""),"ПДЗ остаточного ресурса")</f>
        <v>ПДЗ остаточного ресурса</v>
      </c>
    </row>
    <row r="1561" spans="1:2" ht="15.75" customHeight="1" x14ac:dyDescent="0.25">
      <c r="A1561" s="13" t="str">
        <f ca="1">IFERROR(__xludf.DUMMYFUNCTION("""COMPUTED_VALUE"""),"life_remaining_lim1_manual")</f>
        <v>life_remaining_lim1_manual</v>
      </c>
      <c r="B1561" s="13" t="str">
        <f ca="1">IFERROR(__xludf.DUMMYFUNCTION("""COMPUTED_VALUE"""),"ПДЗ остаточного ресурса, ручное")</f>
        <v>ПДЗ остаточного ресурса, ручное</v>
      </c>
    </row>
    <row r="1562" spans="1:2" ht="15.75" customHeight="1" x14ac:dyDescent="0.25">
      <c r="A1562" s="13" t="str">
        <f ca="1">IFERROR(__xludf.DUMMYFUNCTION("""COMPUTED_VALUE"""),"ltc_electrical_wear")</f>
        <v>ltc_electrical_wear</v>
      </c>
      <c r="B1562" s="13" t="str">
        <f ca="1">IFERROR(__xludf.DUMMYFUNCTION("""COMPUTED_VALUE"""),"Электрический износ контактов РПН")</f>
        <v>Электрический износ контактов РПН</v>
      </c>
    </row>
    <row r="1563" spans="1:2" ht="15.75" customHeight="1" x14ac:dyDescent="0.25">
      <c r="A1563" s="13" t="str">
        <f ca="1">IFERROR(__xludf.DUMMYFUNCTION("""COMPUTED_VALUE"""),"ltc_electrical_wear_lim0")</f>
        <v>ltc_electrical_wear_lim0</v>
      </c>
      <c r="B1563" s="13" t="str">
        <f ca="1">IFERROR(__xludf.DUMMYFUNCTION("""COMPUTED_VALUE"""),"ДЗ электрического износа контактов РПН")</f>
        <v>ДЗ электрического износа контактов РПН</v>
      </c>
    </row>
    <row r="1564" spans="1:2" ht="15.75" customHeight="1" x14ac:dyDescent="0.25">
      <c r="A1564" s="13" t="str">
        <f ca="1">IFERROR(__xludf.DUMMYFUNCTION("""COMPUTED_VALUE"""),"ltc_electrical_wear_pa")</f>
        <v>ltc_electrical_wear_pa</v>
      </c>
      <c r="B1564" s="13" t="str">
        <f ca="1">IFERROR(__xludf.DUMMYFUNCTION("""COMPUTED_VALUE"""),"Электрический износ контактов РПН, фаза A")</f>
        <v>Электрический износ контактов РПН, фаза A</v>
      </c>
    </row>
    <row r="1565" spans="1:2" ht="15.75" customHeight="1" x14ac:dyDescent="0.25">
      <c r="A1565" s="13" t="str">
        <f ca="1">IFERROR(__xludf.DUMMYFUNCTION("""COMPUTED_VALUE"""),"ltc_electrical_wear_pb")</f>
        <v>ltc_electrical_wear_pb</v>
      </c>
      <c r="B1565" s="13" t="str">
        <f ca="1">IFERROR(__xludf.DUMMYFUNCTION("""COMPUTED_VALUE"""),"Электрический износ контактов РПН, фаза B")</f>
        <v>Электрический износ контактов РПН, фаза B</v>
      </c>
    </row>
    <row r="1566" spans="1:2" ht="15.75" customHeight="1" x14ac:dyDescent="0.25">
      <c r="A1566" s="13" t="str">
        <f ca="1">IFERROR(__xludf.DUMMYFUNCTION("""COMPUTED_VALUE"""),"ltc_electrical_wear_pc")</f>
        <v>ltc_electrical_wear_pc</v>
      </c>
      <c r="B1566" s="13" t="str">
        <f ca="1">IFERROR(__xludf.DUMMYFUNCTION("""COMPUTED_VALUE"""),"Электрический износ контактов РПН, фаза C")</f>
        <v>Электрический износ контактов РПН, фаза C</v>
      </c>
    </row>
    <row r="1567" spans="1:2" ht="15.75" customHeight="1" x14ac:dyDescent="0.25">
      <c r="A1567" s="13" t="str">
        <f ca="1">IFERROR(__xludf.DUMMYFUNCTION("""COMPUTED_VALUE"""),"ltc_mechanical_wear")</f>
        <v>ltc_mechanical_wear</v>
      </c>
      <c r="B1567" s="13" t="str">
        <f ca="1">IFERROR(__xludf.DUMMYFUNCTION("""COMPUTED_VALUE"""),"Механический износ контактов РПН")</f>
        <v>Механический износ контактов РПН</v>
      </c>
    </row>
    <row r="1568" spans="1:2" ht="15.75" customHeight="1" x14ac:dyDescent="0.25">
      <c r="A1568" s="13" t="str">
        <f ca="1">IFERROR(__xludf.DUMMYFUNCTION("""COMPUTED_VALUE"""),"ltc_mechanical_wear_lim0")</f>
        <v>ltc_mechanical_wear_lim0</v>
      </c>
      <c r="B1568" s="13" t="str">
        <f ca="1">IFERROR(__xludf.DUMMYFUNCTION("""COMPUTED_VALUE"""),"ДЗ механического износа контактов РПН")</f>
        <v>ДЗ механического износа контактов РПН</v>
      </c>
    </row>
    <row r="1569" spans="1:2" ht="15.75" customHeight="1" x14ac:dyDescent="0.25">
      <c r="A1569" s="13" t="str">
        <f ca="1">IFERROR(__xludf.DUMMYFUNCTION("""COMPUTED_VALUE"""),"ltc_mechanical_wear_pa")</f>
        <v>ltc_mechanical_wear_pa</v>
      </c>
      <c r="B1569" s="13" t="str">
        <f ca="1">IFERROR(__xludf.DUMMYFUNCTION("""COMPUTED_VALUE"""),"Механический износ контактов РПН, фаза A")</f>
        <v>Механический износ контактов РПН, фаза A</v>
      </c>
    </row>
    <row r="1570" spans="1:2" ht="15.75" customHeight="1" x14ac:dyDescent="0.25">
      <c r="A1570" s="13" t="str">
        <f ca="1">IFERROR(__xludf.DUMMYFUNCTION("""COMPUTED_VALUE"""),"ltc_mechanical_wear_pb")</f>
        <v>ltc_mechanical_wear_pb</v>
      </c>
      <c r="B1570" s="13" t="str">
        <f ca="1">IFERROR(__xludf.DUMMYFUNCTION("""COMPUTED_VALUE"""),"Механический износ контактов РПН, фаза B")</f>
        <v>Механический износ контактов РПН, фаза B</v>
      </c>
    </row>
    <row r="1571" spans="1:2" ht="15.75" customHeight="1" x14ac:dyDescent="0.25">
      <c r="A1571" s="13" t="str">
        <f ca="1">IFERROR(__xludf.DUMMYFUNCTION("""COMPUTED_VALUE"""),"ltc_mechanical_wear_pc")</f>
        <v>ltc_mechanical_wear_pc</v>
      </c>
      <c r="B1571" s="13" t="str">
        <f ca="1">IFERROR(__xludf.DUMMYFUNCTION("""COMPUTED_VALUE"""),"Механический износ контактов РПН, фаза C")</f>
        <v>Механический износ контактов РПН, фаза C</v>
      </c>
    </row>
    <row r="1572" spans="1:2" ht="15.75" customHeight="1" x14ac:dyDescent="0.25">
      <c r="A1572" s="13" t="str">
        <f ca="1">IFERROR(__xludf.DUMMYFUNCTION("""COMPUTED_VALUE"""),"ltc_oil_level_max")</f>
        <v>ltc_oil_level_max</v>
      </c>
      <c r="B1572" s="13" t="str">
        <f ca="1">IFERROR(__xludf.DUMMYFUNCTION("""COMPUTED_VALUE"""),"Указатель уровня масла РПН. Авар. сигн. max.")</f>
        <v>Указатель уровня масла РПН. Авар. сигн. max.</v>
      </c>
    </row>
    <row r="1573" spans="1:2" ht="15.75" customHeight="1" x14ac:dyDescent="0.25">
      <c r="A1573" s="13" t="str">
        <f ca="1">IFERROR(__xludf.DUMMYFUNCTION("""COMPUTED_VALUE"""),"ltc_oil_level_min")</f>
        <v>ltc_oil_level_min</v>
      </c>
      <c r="B1573" s="13" t="str">
        <f ca="1">IFERROR(__xludf.DUMMYFUNCTION("""COMPUTED_VALUE"""),"Указатель уровня масла РПН. Авар. сигн. min.")</f>
        <v>Указатель уровня масла РПН. Авар. сигн. min.</v>
      </c>
    </row>
    <row r="1574" spans="1:2" ht="15.75" customHeight="1" x14ac:dyDescent="0.25">
      <c r="A1574" s="13" t="str">
        <f ca="1">IFERROR(__xludf.DUMMYFUNCTION("""COMPUTED_VALUE"""),"ltc_pos")</f>
        <v>ltc_pos</v>
      </c>
      <c r="B1574" s="13" t="str">
        <f ca="1">IFERROR(__xludf.DUMMYFUNCTION("""COMPUTED_VALUE"""),"Положение РПН")</f>
        <v>Положение РПН</v>
      </c>
    </row>
    <row r="1575" spans="1:2" ht="15.75" customHeight="1" x14ac:dyDescent="0.25">
      <c r="A1575" s="13" t="str">
        <f ca="1">IFERROR(__xludf.DUMMYFUNCTION("""COMPUTED_VALUE"""),"ogp_1015_pa_hv")</f>
        <v>ogp_1015_pa_hv</v>
      </c>
      <c r="B1575" s="13" t="str">
        <f ca="1">IFERROR(__xludf.DUMMYFUNCTION("""COMPUTED_VALUE"""),"ОГП ""Состояние изоляции"" высоковольтного ввода ВН, фаза A")</f>
        <v>ОГП "Состояние изоляции" высоковольтного ввода ВН, фаза A</v>
      </c>
    </row>
    <row r="1576" spans="1:2" ht="15.75" customHeight="1" x14ac:dyDescent="0.25">
      <c r="A1576" s="13" t="str">
        <f ca="1">IFERROR(__xludf.DUMMYFUNCTION("""COMPUTED_VALUE"""),"ogp_1015_pa_lv")</f>
        <v>ogp_1015_pa_lv</v>
      </c>
      <c r="B1576" s="13" t="str">
        <f ca="1">IFERROR(__xludf.DUMMYFUNCTION("""COMPUTED_VALUE"""),"ОГП ""Состояние изоляции"" высоковольтного ввода НН, фаза A")</f>
        <v>ОГП "Состояние изоляции" высоковольтного ввода НН, фаза A</v>
      </c>
    </row>
    <row r="1577" spans="1:2" ht="15.75" customHeight="1" x14ac:dyDescent="0.25">
      <c r="A1577" s="13" t="str">
        <f ca="1">IFERROR(__xludf.DUMMYFUNCTION("""COMPUTED_VALUE"""),"ogp_1015_pa_mv")</f>
        <v>ogp_1015_pa_mv</v>
      </c>
      <c r="B1577" s="13" t="str">
        <f ca="1">IFERROR(__xludf.DUMMYFUNCTION("""COMPUTED_VALUE"""),"ОГП ""Состояние изоляции"" высоковольтного ввода СН, фаза A")</f>
        <v>ОГП "Состояние изоляции" высоковольтного ввода СН, фаза A</v>
      </c>
    </row>
    <row r="1578" spans="1:2" ht="15.75" customHeight="1" x14ac:dyDescent="0.25">
      <c r="A1578" s="13" t="str">
        <f ca="1">IFERROR(__xludf.DUMMYFUNCTION("""COMPUTED_VALUE"""),"ogp_1015_pb_hv")</f>
        <v>ogp_1015_pb_hv</v>
      </c>
      <c r="B1578" s="13" t="str">
        <f ca="1">IFERROR(__xludf.DUMMYFUNCTION("""COMPUTED_VALUE"""),"ОГП ""Состояние изоляции"" высоковольтного ввода ВН, фаза B")</f>
        <v>ОГП "Состояние изоляции" высоковольтного ввода ВН, фаза B</v>
      </c>
    </row>
    <row r="1579" spans="1:2" ht="15.75" customHeight="1" x14ac:dyDescent="0.25">
      <c r="A1579" s="13" t="str">
        <f ca="1">IFERROR(__xludf.DUMMYFUNCTION("""COMPUTED_VALUE"""),"ogp_1015_pb_lv")</f>
        <v>ogp_1015_pb_lv</v>
      </c>
      <c r="B1579" s="13" t="str">
        <f ca="1">IFERROR(__xludf.DUMMYFUNCTION("""COMPUTED_VALUE"""),"ОГП ""Состояние изоляции"" высоковольтного ввода НН, фаза B")</f>
        <v>ОГП "Состояние изоляции" высоковольтного ввода НН, фаза B</v>
      </c>
    </row>
    <row r="1580" spans="1:2" ht="15.75" customHeight="1" x14ac:dyDescent="0.25">
      <c r="A1580" s="13" t="str">
        <f ca="1">IFERROR(__xludf.DUMMYFUNCTION("""COMPUTED_VALUE"""),"ogp_1015_pb_mv")</f>
        <v>ogp_1015_pb_mv</v>
      </c>
      <c r="B1580" s="13" t="str">
        <f ca="1">IFERROR(__xludf.DUMMYFUNCTION("""COMPUTED_VALUE"""),"ОГП ""Состояние изоляции"" высоковольтного ввода СН, фаза B")</f>
        <v>ОГП "Состояние изоляции" высоковольтного ввода СН, фаза B</v>
      </c>
    </row>
    <row r="1581" spans="1:2" ht="15.75" customHeight="1" x14ac:dyDescent="0.25">
      <c r="A1581" s="13" t="str">
        <f ca="1">IFERROR(__xludf.DUMMYFUNCTION("""COMPUTED_VALUE"""),"ogp_1015_pc_hv")</f>
        <v>ogp_1015_pc_hv</v>
      </c>
      <c r="B1581" s="13" t="str">
        <f ca="1">IFERROR(__xludf.DUMMYFUNCTION("""COMPUTED_VALUE"""),"ОГП ""Состояние изоляции"" высоковольтного ввода ВН, фаза C")</f>
        <v>ОГП "Состояние изоляции" высоковольтного ввода ВН, фаза C</v>
      </c>
    </row>
    <row r="1582" spans="1:2" ht="15.75" customHeight="1" x14ac:dyDescent="0.25">
      <c r="A1582" s="13" t="str">
        <f ca="1">IFERROR(__xludf.DUMMYFUNCTION("""COMPUTED_VALUE"""),"ogp_1015_pc_lv")</f>
        <v>ogp_1015_pc_lv</v>
      </c>
      <c r="B1582" s="13" t="str">
        <f ca="1">IFERROR(__xludf.DUMMYFUNCTION("""COMPUTED_VALUE"""),"ОГП ""Состояние изоляции"" высоковольтного ввода НН, фаза C")</f>
        <v>ОГП "Состояние изоляции" высоковольтного ввода НН, фаза C</v>
      </c>
    </row>
    <row r="1583" spans="1:2" ht="15.75" customHeight="1" x14ac:dyDescent="0.25">
      <c r="A1583" s="13" t="str">
        <f ca="1">IFERROR(__xludf.DUMMYFUNCTION("""COMPUTED_VALUE"""),"ogp_1015_pc_mv")</f>
        <v>ogp_1015_pc_mv</v>
      </c>
      <c r="B1583" s="13" t="str">
        <f ca="1">IFERROR(__xludf.DUMMYFUNCTION("""COMPUTED_VALUE"""),"ОГП ""Состояние изоляции"" высоковольтного ввода СН, фаза C")</f>
        <v>ОГП "Состояние изоляции" высоковольтного ввода СН, фаза C</v>
      </c>
    </row>
    <row r="1584" spans="1:2" ht="15.75" customHeight="1" x14ac:dyDescent="0.25">
      <c r="A1584" s="13" t="str">
        <f ca="1">IFERROR(__xludf.DUMMYFUNCTION("""COMPUTED_VALUE"""),"ogp_1044")</f>
        <v>ogp_1044</v>
      </c>
      <c r="B1584" s="13" t="str">
        <f ca="1">IFERROR(__xludf.DUMMYFUNCTION("""COMPUTED_VALUE"""),"ОГП ""Состояние масла""")</f>
        <v>ОГП "Состояние масла"</v>
      </c>
    </row>
    <row r="1585" spans="1:2" ht="15.75" customHeight="1" x14ac:dyDescent="0.25">
      <c r="A1585" s="13" t="str">
        <f ca="1">IFERROR(__xludf.DUMMYFUNCTION("""COMPUTED_VALUE"""),"ogp_1058")</f>
        <v>ogp_1058</v>
      </c>
      <c r="B1585" s="13" t="str">
        <f ca="1">IFERROR(__xludf.DUMMYFUNCTION("""COMPUTED_VALUE"""),"ОГП ""Хроматографический анализ""")</f>
        <v>ОГП "Хроматографический анализ"</v>
      </c>
    </row>
    <row r="1586" spans="1:2" ht="15.75" customHeight="1" x14ac:dyDescent="0.25">
      <c r="A1586" s="13" t="str">
        <f ca="1">IFERROR(__xludf.DUMMYFUNCTION("""COMPUTED_VALUE"""),"ogp_1091")</f>
        <v>ogp_1091</v>
      </c>
      <c r="B1586" s="13" t="str">
        <f ca="1">IFERROR(__xludf.DUMMYFUNCTION("""COMPUTED_VALUE"""),"ОГП ""Состояние твёрдой изоляции""")</f>
        <v>ОГП "Состояние твёрдой изоляции"</v>
      </c>
    </row>
    <row r="1587" spans="1:2" ht="15.75" customHeight="1" x14ac:dyDescent="0.25">
      <c r="A1587" s="13" t="str">
        <f ca="1">IFERROR(__xludf.DUMMYFUNCTION("""COMPUTED_VALUE"""),"ogp0_1015")</f>
        <v>ogp0_1015</v>
      </c>
      <c r="B1587" s="13" t="str">
        <f ca="1">IFERROR(__xludf.DUMMYFUNCTION("""COMPUTED_VALUE"""),"ОГП ""Состояние изоляции"" на дату расчёта ИТС офлайн")</f>
        <v>ОГП "Состояние изоляции" на дату расчёта ИТС офлайн</v>
      </c>
    </row>
    <row r="1588" spans="1:2" ht="15.75" customHeight="1" x14ac:dyDescent="0.25">
      <c r="A1588" s="13" t="str">
        <f ca="1">IFERROR(__xludf.DUMMYFUNCTION("""COMPUTED_VALUE"""),"ogp0_1044")</f>
        <v>ogp0_1044</v>
      </c>
      <c r="B1588" s="13" t="str">
        <f ca="1">IFERROR(__xludf.DUMMYFUNCTION("""COMPUTED_VALUE"""),"ОГП ""Состояние масла"" на дату расчёта ИТС офлайн")</f>
        <v>ОГП "Состояние масла" на дату расчёта ИТС офлайн</v>
      </c>
    </row>
    <row r="1589" spans="1:2" ht="15.75" customHeight="1" x14ac:dyDescent="0.25">
      <c r="A1589" s="13" t="str">
        <f ca="1">IFERROR(__xludf.DUMMYFUNCTION("""COMPUTED_VALUE"""),"ogp0_1058")</f>
        <v>ogp0_1058</v>
      </c>
      <c r="B1589" s="13" t="str">
        <f ca="1">IFERROR(__xludf.DUMMYFUNCTION("""COMPUTED_VALUE"""),"ОГП ""Хроматографический анализ"" на дату расчёта ИТС офлайн")</f>
        <v>ОГП "Хроматографический анализ" на дату расчёта ИТС офлайн</v>
      </c>
    </row>
    <row r="1590" spans="1:2" ht="15.75" customHeight="1" x14ac:dyDescent="0.25">
      <c r="A1590" s="13" t="str">
        <f ca="1">IFERROR(__xludf.DUMMYFUNCTION("""COMPUTED_VALUE"""),"ogp0_1091")</f>
        <v>ogp0_1091</v>
      </c>
      <c r="B1590" s="13" t="str">
        <f ca="1">IFERROR(__xludf.DUMMYFUNCTION("""COMPUTED_VALUE"""),"ОГП ""Состояние твёрдой изоляции"" на дату расчёта ИТС офлайн")</f>
        <v>ОГП "Состояние твёрдой изоляции" на дату расчёта ИТС офлайн</v>
      </c>
    </row>
    <row r="1591" spans="1:2" ht="15.75" customHeight="1" x14ac:dyDescent="0.25">
      <c r="A1591" s="13" t="str">
        <f ca="1">IFERROR(__xludf.DUMMYFUNCTION("""COMPUTED_VALUE"""),"oil_level_max")</f>
        <v>oil_level_max</v>
      </c>
      <c r="B1591" s="13" t="str">
        <f ca="1">IFERROR(__xludf.DUMMYFUNCTION("""COMPUTED_VALUE"""),"Указатель уровня масла трансформатора. Авар. сигн. max.")</f>
        <v>Указатель уровня масла трансформатора. Авар. сигн. max.</v>
      </c>
    </row>
    <row r="1592" spans="1:2" ht="15.75" customHeight="1" x14ac:dyDescent="0.25">
      <c r="A1592" s="13" t="str">
        <f ca="1">IFERROR(__xludf.DUMMYFUNCTION("""COMPUTED_VALUE"""),"oil_level_min")</f>
        <v>oil_level_min</v>
      </c>
      <c r="B1592" s="13" t="str">
        <f ca="1">IFERROR(__xludf.DUMMYFUNCTION("""COMPUTED_VALUE"""),"Указатель уровня масла трансформатора. Авар. сигн. min.")</f>
        <v>Указатель уровня масла трансформатора. Авар. сигн. min.</v>
      </c>
    </row>
    <row r="1593" spans="1:2" ht="15.75" customHeight="1" x14ac:dyDescent="0.25">
      <c r="A1593" s="13" t="str">
        <f ca="1">IFERROR(__xludf.DUMMYFUNCTION("""COMPUTED_VALUE"""),"op_1016_pa_hv")</f>
        <v>op_1016_pa_hv</v>
      </c>
      <c r="B1593" s="13" t="str">
        <f ca="1">IFERROR(__xludf.DUMMYFUNCTION("""COMPUTED_VALUE"""),"ОП ""Тангенс угла диэлектрических потерь"", фаза А, ВН")</f>
        <v>ОП "Тангенс угла диэлектрических потерь", фаза А, ВН</v>
      </c>
    </row>
    <row r="1594" spans="1:2" ht="15.75" customHeight="1" x14ac:dyDescent="0.25">
      <c r="A1594" s="13" t="str">
        <f ca="1">IFERROR(__xludf.DUMMYFUNCTION("""COMPUTED_VALUE"""),"op_1016_pa_lv")</f>
        <v>op_1016_pa_lv</v>
      </c>
      <c r="B1594" s="13" t="str">
        <f ca="1">IFERROR(__xludf.DUMMYFUNCTION("""COMPUTED_VALUE"""),"ОП ""Тангенс угла диэлектрических потерь"", фаза А, НН")</f>
        <v>ОП "Тангенс угла диэлектрических потерь", фаза А, НН</v>
      </c>
    </row>
    <row r="1595" spans="1:2" ht="15.75" customHeight="1" x14ac:dyDescent="0.25">
      <c r="A1595" s="13" t="str">
        <f ca="1">IFERROR(__xludf.DUMMYFUNCTION("""COMPUTED_VALUE"""),"op_1016_pa_mv")</f>
        <v>op_1016_pa_mv</v>
      </c>
      <c r="B1595" s="13" t="str">
        <f ca="1">IFERROR(__xludf.DUMMYFUNCTION("""COMPUTED_VALUE"""),"ОП ""Тангенс угла диэлектрических потерь"", фаза А, СН")</f>
        <v>ОП "Тангенс угла диэлектрических потерь", фаза А, СН</v>
      </c>
    </row>
    <row r="1596" spans="1:2" ht="15.75" customHeight="1" x14ac:dyDescent="0.25">
      <c r="A1596" s="13" t="str">
        <f ca="1">IFERROR(__xludf.DUMMYFUNCTION("""COMPUTED_VALUE"""),"op_1016_pb_hv")</f>
        <v>op_1016_pb_hv</v>
      </c>
      <c r="B1596" s="13" t="str">
        <f ca="1">IFERROR(__xludf.DUMMYFUNCTION("""COMPUTED_VALUE"""),"ОП ""Тангенс угла диэлектрических потерь"", фаза В, ВН")</f>
        <v>ОП "Тангенс угла диэлектрических потерь", фаза В, ВН</v>
      </c>
    </row>
    <row r="1597" spans="1:2" ht="15.75" customHeight="1" x14ac:dyDescent="0.25">
      <c r="A1597" s="13" t="str">
        <f ca="1">IFERROR(__xludf.DUMMYFUNCTION("""COMPUTED_VALUE"""),"op_1016_pb_lv")</f>
        <v>op_1016_pb_lv</v>
      </c>
      <c r="B1597" s="13" t="str">
        <f ca="1">IFERROR(__xludf.DUMMYFUNCTION("""COMPUTED_VALUE"""),"ОП ""Тангенс угла диэлектрических потерь"", фаза В, НН")</f>
        <v>ОП "Тангенс угла диэлектрических потерь", фаза В, НН</v>
      </c>
    </row>
    <row r="1598" spans="1:2" ht="15.75" customHeight="1" x14ac:dyDescent="0.25">
      <c r="A1598" s="13" t="str">
        <f ca="1">IFERROR(__xludf.DUMMYFUNCTION("""COMPUTED_VALUE"""),"op_1016_pb_mv")</f>
        <v>op_1016_pb_mv</v>
      </c>
      <c r="B1598" s="13" t="str">
        <f ca="1">IFERROR(__xludf.DUMMYFUNCTION("""COMPUTED_VALUE"""),"ОП ""Тангенс угла диэлектрических потерь"", фаза В, СН")</f>
        <v>ОП "Тангенс угла диэлектрических потерь", фаза В, СН</v>
      </c>
    </row>
    <row r="1599" spans="1:2" ht="15.75" customHeight="1" x14ac:dyDescent="0.25">
      <c r="A1599" s="13" t="str">
        <f ca="1">IFERROR(__xludf.DUMMYFUNCTION("""COMPUTED_VALUE"""),"op_1016_pc_hv")</f>
        <v>op_1016_pc_hv</v>
      </c>
      <c r="B1599" s="13" t="str">
        <f ca="1">IFERROR(__xludf.DUMMYFUNCTION("""COMPUTED_VALUE"""),"ОП ""Тангенс угла диэлектрических потерь"", фаза С, ВН")</f>
        <v>ОП "Тангенс угла диэлектрических потерь", фаза С, ВН</v>
      </c>
    </row>
    <row r="1600" spans="1:2" ht="15.75" customHeight="1" x14ac:dyDescent="0.25">
      <c r="A1600" s="13" t="str">
        <f ca="1">IFERROR(__xludf.DUMMYFUNCTION("""COMPUTED_VALUE"""),"op_1016_pc_lv")</f>
        <v>op_1016_pc_lv</v>
      </c>
      <c r="B1600" s="13" t="str">
        <f ca="1">IFERROR(__xludf.DUMMYFUNCTION("""COMPUTED_VALUE"""),"ОП ""Тангенс угла диэлектрических потерь"", фаза С, НН")</f>
        <v>ОП "Тангенс угла диэлектрических потерь", фаза С, НН</v>
      </c>
    </row>
    <row r="1601" spans="1:2" ht="15.75" customHeight="1" x14ac:dyDescent="0.25">
      <c r="A1601" s="13" t="str">
        <f ca="1">IFERROR(__xludf.DUMMYFUNCTION("""COMPUTED_VALUE"""),"op_1016_pc_mv")</f>
        <v>op_1016_pc_mv</v>
      </c>
      <c r="B1601" s="13" t="str">
        <f ca="1">IFERROR(__xludf.DUMMYFUNCTION("""COMPUTED_VALUE"""),"ОП ""Тангенс угла диэлектрических потерь"", фаза С, СН")</f>
        <v>ОП "Тангенс угла диэлектрических потерь", фаза С, СН</v>
      </c>
    </row>
    <row r="1602" spans="1:2" ht="15.75" customHeight="1" x14ac:dyDescent="0.25">
      <c r="A1602" s="13" t="str">
        <f ca="1">IFERROR(__xludf.DUMMYFUNCTION("""COMPUTED_VALUE"""),"op_1018_pa_hv")</f>
        <v>op_1018_pa_hv</v>
      </c>
      <c r="B1602" s="13" t="str">
        <f ca="1">IFERROR(__xludf.DUMMYFUNCTION("""COMPUTED_VALUE"""),"ОП ""Ёмкость основной изоляции"", фаза А, ВН")</f>
        <v>ОП "Ёмкость основной изоляции", фаза А, ВН</v>
      </c>
    </row>
    <row r="1603" spans="1:2" ht="15.75" customHeight="1" x14ac:dyDescent="0.25">
      <c r="A1603" s="13" t="str">
        <f ca="1">IFERROR(__xludf.DUMMYFUNCTION("""COMPUTED_VALUE"""),"op_1018_pa_lv")</f>
        <v>op_1018_pa_lv</v>
      </c>
      <c r="B1603" s="13" t="str">
        <f ca="1">IFERROR(__xludf.DUMMYFUNCTION("""COMPUTED_VALUE"""),"ОП ""Ёмкость основной изоляции"", фаза А, НН")</f>
        <v>ОП "Ёмкость основной изоляции", фаза А, НН</v>
      </c>
    </row>
    <row r="1604" spans="1:2" ht="15.75" customHeight="1" x14ac:dyDescent="0.25">
      <c r="A1604" s="13" t="str">
        <f ca="1">IFERROR(__xludf.DUMMYFUNCTION("""COMPUTED_VALUE"""),"op_1018_pa_mv")</f>
        <v>op_1018_pa_mv</v>
      </c>
      <c r="B1604" s="13" t="str">
        <f ca="1">IFERROR(__xludf.DUMMYFUNCTION("""COMPUTED_VALUE"""),"ОП ""Ёмкость основной изоляции"", фаза А, СН")</f>
        <v>ОП "Ёмкость основной изоляции", фаза А, СН</v>
      </c>
    </row>
    <row r="1605" spans="1:2" ht="15.75" customHeight="1" x14ac:dyDescent="0.25">
      <c r="A1605" s="13" t="str">
        <f ca="1">IFERROR(__xludf.DUMMYFUNCTION("""COMPUTED_VALUE"""),"op_1018_pb_hv")</f>
        <v>op_1018_pb_hv</v>
      </c>
      <c r="B1605" s="13" t="str">
        <f ca="1">IFERROR(__xludf.DUMMYFUNCTION("""COMPUTED_VALUE"""),"ОП ""Ёмкость основной изоляции"", фаза В, ВН")</f>
        <v>ОП "Ёмкость основной изоляции", фаза В, ВН</v>
      </c>
    </row>
    <row r="1606" spans="1:2" ht="15.75" customHeight="1" x14ac:dyDescent="0.25">
      <c r="A1606" s="13" t="str">
        <f ca="1">IFERROR(__xludf.DUMMYFUNCTION("""COMPUTED_VALUE"""),"op_1018_pb_lv")</f>
        <v>op_1018_pb_lv</v>
      </c>
      <c r="B1606" s="13" t="str">
        <f ca="1">IFERROR(__xludf.DUMMYFUNCTION("""COMPUTED_VALUE"""),"ОП ""Ёмкость основной изоляции"", фаза В, НН")</f>
        <v>ОП "Ёмкость основной изоляции", фаза В, НН</v>
      </c>
    </row>
    <row r="1607" spans="1:2" ht="15.75" customHeight="1" x14ac:dyDescent="0.25">
      <c r="A1607" s="13" t="str">
        <f ca="1">IFERROR(__xludf.DUMMYFUNCTION("""COMPUTED_VALUE"""),"op_1018_pb_mv")</f>
        <v>op_1018_pb_mv</v>
      </c>
      <c r="B1607" s="13" t="str">
        <f ca="1">IFERROR(__xludf.DUMMYFUNCTION("""COMPUTED_VALUE"""),"ОП ""Ёмкость основной изоляции"", фаза В, СН")</f>
        <v>ОП "Ёмкость основной изоляции", фаза В, СН</v>
      </c>
    </row>
    <row r="1608" spans="1:2" ht="15.75" customHeight="1" x14ac:dyDescent="0.25">
      <c r="A1608" s="13" t="str">
        <f ca="1">IFERROR(__xludf.DUMMYFUNCTION("""COMPUTED_VALUE"""),"op_1018_pc_hv")</f>
        <v>op_1018_pc_hv</v>
      </c>
      <c r="B1608" s="13" t="str">
        <f ca="1">IFERROR(__xludf.DUMMYFUNCTION("""COMPUTED_VALUE"""),"ОП ""Ёмкость основной изоляции"", фаза С, ВН")</f>
        <v>ОП "Ёмкость основной изоляции", фаза С, ВН</v>
      </c>
    </row>
    <row r="1609" spans="1:2" ht="15.75" customHeight="1" x14ac:dyDescent="0.25">
      <c r="A1609" s="13" t="str">
        <f ca="1">IFERROR(__xludf.DUMMYFUNCTION("""COMPUTED_VALUE"""),"op_1018_pc_lv")</f>
        <v>op_1018_pc_lv</v>
      </c>
      <c r="B1609" s="13" t="str">
        <f ca="1">IFERROR(__xludf.DUMMYFUNCTION("""COMPUTED_VALUE"""),"ОП ""Ёмкость основной изоляции"", фаза С, НН")</f>
        <v>ОП "Ёмкость основной изоляции", фаза С, НН</v>
      </c>
    </row>
    <row r="1610" spans="1:2" ht="15.75" customHeight="1" x14ac:dyDescent="0.25">
      <c r="A1610" s="13" t="str">
        <f ca="1">IFERROR(__xludf.DUMMYFUNCTION("""COMPUTED_VALUE"""),"op_1018_pc_mv")</f>
        <v>op_1018_pc_mv</v>
      </c>
      <c r="B1610" s="13" t="str">
        <f ca="1">IFERROR(__xludf.DUMMYFUNCTION("""COMPUTED_VALUE"""),"ОП ""Ёмкость основной изоляции"", фаза С, СН")</f>
        <v>ОП "Ёмкость основной изоляции", фаза С, СН</v>
      </c>
    </row>
    <row r="1611" spans="1:2" ht="15.75" customHeight="1" x14ac:dyDescent="0.25">
      <c r="A1611" s="13" t="str">
        <f ca="1">IFERROR(__xludf.DUMMYFUNCTION("""COMPUTED_VALUE"""),"op_1045")</f>
        <v>op_1045</v>
      </c>
      <c r="B1611" s="13" t="str">
        <f ca="1">IFERROR(__xludf.DUMMYFUNCTION("""COMPUTED_VALUE"""),"ОП ""Влагосодержание масла""")</f>
        <v>ОП "Влагосодержание масла"</v>
      </c>
    </row>
    <row r="1612" spans="1:2" ht="15.75" customHeight="1" x14ac:dyDescent="0.25">
      <c r="A1612" s="13" t="str">
        <f ca="1">IFERROR(__xludf.DUMMYFUNCTION("""COMPUTED_VALUE"""),"op_1047")</f>
        <v>op_1047</v>
      </c>
      <c r="B1612" s="13" t="str">
        <f ca="1">IFERROR(__xludf.DUMMYFUNCTION("""COMPUTED_VALUE"""),"ОП ""Тенденция изменения влагосодержания масла""")</f>
        <v>ОП "Тенденция изменения влагосодержания масла"</v>
      </c>
    </row>
    <row r="1613" spans="1:2" ht="15.75" customHeight="1" x14ac:dyDescent="0.25">
      <c r="A1613" s="13" t="str">
        <f ca="1">IFERROR(__xludf.DUMMYFUNCTION("""COMPUTED_VALUE"""),"op_1058_1070")</f>
        <v>op_1058_1070</v>
      </c>
      <c r="B1613" s="13" t="str">
        <f ca="1">IFERROR(__xludf.DUMMYFUNCTION("""COMPUTED_VALUE"""),"ОП ""Хроматографический анализ. Концентрации и скорости""")</f>
        <v>ОП "Хроматографический анализ. Концентрации и скорости"</v>
      </c>
    </row>
    <row r="1614" spans="1:2" ht="15.75" customHeight="1" x14ac:dyDescent="0.25">
      <c r="A1614" s="13" t="str">
        <f ca="1">IFERROR(__xludf.DUMMYFUNCTION("""COMPUTED_VALUE"""),"op_1072")</f>
        <v>op_1072</v>
      </c>
      <c r="B1614" s="13" t="str">
        <f ca="1">IFERROR(__xludf.DUMMYFUNCTION("""COMPUTED_VALUE"""),"ОП ""Хроматографический анализ. Общее газосодержание""")</f>
        <v>ОП "Хроматографический анализ. Общее газосодержание"</v>
      </c>
    </row>
    <row r="1615" spans="1:2" ht="15.75" customHeight="1" x14ac:dyDescent="0.25">
      <c r="A1615" s="13" t="str">
        <f ca="1">IFERROR(__xludf.DUMMYFUNCTION("""COMPUTED_VALUE"""),"op_1073_1080")</f>
        <v>op_1073_1080</v>
      </c>
      <c r="B1615" s="13" t="str">
        <f ca="1">IFERROR(__xludf.DUMMYFUNCTION("""COMPUTED_VALUE"""),"ОП ""Хроматографический анализ. Отношение пар газов""")</f>
        <v>ОП "Хроматографический анализ. Отношение пар газов"</v>
      </c>
    </row>
    <row r="1616" spans="1:2" ht="15.75" customHeight="1" x14ac:dyDescent="0.25">
      <c r="A1616" s="13" t="str">
        <f ca="1">IFERROR(__xludf.DUMMYFUNCTION("""COMPUTED_VALUE"""),"op_1091")</f>
        <v>op_1091</v>
      </c>
      <c r="B1616" s="13" t="str">
        <f ca="1">IFERROR(__xludf.DUMMYFUNCTION("""COMPUTED_VALUE"""),"ОП ""Влагосодержание твёрдой изоляции""")</f>
        <v>ОП "Влагосодержание твёрдой изоляции"</v>
      </c>
    </row>
    <row r="1617" spans="1:2" ht="15.75" customHeight="1" x14ac:dyDescent="0.25">
      <c r="A1617" s="13" t="str">
        <f ca="1">IFERROR(__xludf.DUMMYFUNCTION("""COMPUTED_VALUE"""),"op0_1016_pa_hv")</f>
        <v>op0_1016_pa_hv</v>
      </c>
      <c r="B1617" s="13" t="str">
        <f ca="1">IFERROR(__xludf.DUMMYFUNCTION("""COMPUTED_VALUE"""),"ОП ""Тангенс угла диэлектрических потерь"" на дату расчёта ИТС офлайн, фаза А, ВН")</f>
        <v>ОП "Тангенс угла диэлектрических потерь" на дату расчёта ИТС офлайн, фаза А, ВН</v>
      </c>
    </row>
    <row r="1618" spans="1:2" ht="15.75" customHeight="1" x14ac:dyDescent="0.25">
      <c r="A1618" s="13" t="str">
        <f ca="1">IFERROR(__xludf.DUMMYFUNCTION("""COMPUTED_VALUE"""),"op0_1016_pa_lv")</f>
        <v>op0_1016_pa_lv</v>
      </c>
      <c r="B1618" s="13" t="str">
        <f ca="1">IFERROR(__xludf.DUMMYFUNCTION("""COMPUTED_VALUE"""),"ОП ""Тангенс угла диэлектрических потерь"" на дату расчёта ИТС офлайн, фаза А, НН")</f>
        <v>ОП "Тангенс угла диэлектрических потерь" на дату расчёта ИТС офлайн, фаза А, НН</v>
      </c>
    </row>
    <row r="1619" spans="1:2" ht="15.75" customHeight="1" x14ac:dyDescent="0.25">
      <c r="A1619" s="13" t="str">
        <f ca="1">IFERROR(__xludf.DUMMYFUNCTION("""COMPUTED_VALUE"""),"op0_1016_pa_mv")</f>
        <v>op0_1016_pa_mv</v>
      </c>
      <c r="B1619" s="13" t="str">
        <f ca="1">IFERROR(__xludf.DUMMYFUNCTION("""COMPUTED_VALUE"""),"ОП ""Тангенс угла диэлектрических потерь"" на дату расчёта ИТС офлайн, фаза А, СН")</f>
        <v>ОП "Тангенс угла диэлектрических потерь" на дату расчёта ИТС офлайн, фаза А, СН</v>
      </c>
    </row>
    <row r="1620" spans="1:2" ht="15.75" customHeight="1" x14ac:dyDescent="0.25">
      <c r="A1620" s="13" t="str">
        <f ca="1">IFERROR(__xludf.DUMMYFUNCTION("""COMPUTED_VALUE"""),"op0_1016_pb_hv")</f>
        <v>op0_1016_pb_hv</v>
      </c>
      <c r="B1620" s="13" t="str">
        <f ca="1">IFERROR(__xludf.DUMMYFUNCTION("""COMPUTED_VALUE"""),"ОП ""Тангенс угла диэлектрических потерь"" на дату расчёта ИТС офлайн, фаза В, ВН")</f>
        <v>ОП "Тангенс угла диэлектрических потерь" на дату расчёта ИТС офлайн, фаза В, ВН</v>
      </c>
    </row>
    <row r="1621" spans="1:2" ht="15.75" customHeight="1" x14ac:dyDescent="0.25">
      <c r="A1621" s="13" t="str">
        <f ca="1">IFERROR(__xludf.DUMMYFUNCTION("""COMPUTED_VALUE"""),"op0_1016_pb_lv")</f>
        <v>op0_1016_pb_lv</v>
      </c>
      <c r="B1621" s="13" t="str">
        <f ca="1">IFERROR(__xludf.DUMMYFUNCTION("""COMPUTED_VALUE"""),"ОП ""Тангенс угла диэлектрических потерь"" на дату расчёта ИТС офлайн, фаза В, НН")</f>
        <v>ОП "Тангенс угла диэлектрических потерь" на дату расчёта ИТС офлайн, фаза В, НН</v>
      </c>
    </row>
    <row r="1622" spans="1:2" ht="15.75" customHeight="1" x14ac:dyDescent="0.25">
      <c r="A1622" s="13" t="str">
        <f ca="1">IFERROR(__xludf.DUMMYFUNCTION("""COMPUTED_VALUE"""),"op0_1016_pb_mv")</f>
        <v>op0_1016_pb_mv</v>
      </c>
      <c r="B1622" s="13" t="str">
        <f ca="1">IFERROR(__xludf.DUMMYFUNCTION("""COMPUTED_VALUE"""),"ОП ""Тангенс угла диэлектрических потерь"" на дату расчёта ИТС офлайн, фаза В, СН")</f>
        <v>ОП "Тангенс угла диэлектрических потерь" на дату расчёта ИТС офлайн, фаза В, СН</v>
      </c>
    </row>
    <row r="1623" spans="1:2" ht="15.75" customHeight="1" x14ac:dyDescent="0.25">
      <c r="A1623" s="13" t="str">
        <f ca="1">IFERROR(__xludf.DUMMYFUNCTION("""COMPUTED_VALUE"""),"op0_1016_pc_hv")</f>
        <v>op0_1016_pc_hv</v>
      </c>
      <c r="B1623" s="13" t="str">
        <f ca="1">IFERROR(__xludf.DUMMYFUNCTION("""COMPUTED_VALUE"""),"ОП ""Тангенс угла диэлектрических потерь"" на дату расчёта ИТС офлайн, фаза С, ВН")</f>
        <v>ОП "Тангенс угла диэлектрических потерь" на дату расчёта ИТС офлайн, фаза С, ВН</v>
      </c>
    </row>
    <row r="1624" spans="1:2" ht="15.75" customHeight="1" x14ac:dyDescent="0.25">
      <c r="A1624" s="13" t="str">
        <f ca="1">IFERROR(__xludf.DUMMYFUNCTION("""COMPUTED_VALUE"""),"op0_1016_pc_lv")</f>
        <v>op0_1016_pc_lv</v>
      </c>
      <c r="B1624" s="13" t="str">
        <f ca="1">IFERROR(__xludf.DUMMYFUNCTION("""COMPUTED_VALUE"""),"ОП ""Тангенс угла диэлектрических потерь"" на дату расчёта ИТС офлайн, фаза С, НН")</f>
        <v>ОП "Тангенс угла диэлектрических потерь" на дату расчёта ИТС офлайн, фаза С, НН</v>
      </c>
    </row>
    <row r="1625" spans="1:2" ht="15.75" customHeight="1" x14ac:dyDescent="0.25">
      <c r="A1625" s="13" t="str">
        <f ca="1">IFERROR(__xludf.DUMMYFUNCTION("""COMPUTED_VALUE"""),"op0_1016_pc_mv")</f>
        <v>op0_1016_pc_mv</v>
      </c>
      <c r="B1625" s="13" t="str">
        <f ca="1">IFERROR(__xludf.DUMMYFUNCTION("""COMPUTED_VALUE"""),"ОП ""Тангенс угла диэлектрических потерь"" на дату расчёта ИТС офлайн, фаза С, СН")</f>
        <v>ОП "Тангенс угла диэлектрических потерь" на дату расчёта ИТС офлайн, фаза С, СН</v>
      </c>
    </row>
    <row r="1626" spans="1:2" ht="15.75" customHeight="1" x14ac:dyDescent="0.25">
      <c r="A1626" s="13" t="str">
        <f ca="1">IFERROR(__xludf.DUMMYFUNCTION("""COMPUTED_VALUE"""),"op0_1018_pa_hv")</f>
        <v>op0_1018_pa_hv</v>
      </c>
      <c r="B1626" s="13" t="str">
        <f ca="1">IFERROR(__xludf.DUMMYFUNCTION("""COMPUTED_VALUE"""),"ОП ""Ёмкость основной изоляции"" на дату расчёта ИТС офлайн, фаза А, ВН")</f>
        <v>ОП "Ёмкость основной изоляции" на дату расчёта ИТС офлайн, фаза А, ВН</v>
      </c>
    </row>
    <row r="1627" spans="1:2" ht="15.75" customHeight="1" x14ac:dyDescent="0.25">
      <c r="A1627" s="13" t="str">
        <f ca="1">IFERROR(__xludf.DUMMYFUNCTION("""COMPUTED_VALUE"""),"op0_1018_pa_lv")</f>
        <v>op0_1018_pa_lv</v>
      </c>
      <c r="B1627" s="13" t="str">
        <f ca="1">IFERROR(__xludf.DUMMYFUNCTION("""COMPUTED_VALUE"""),"ОП ""Ёмкость основной изоляции"" на дату расчёта ИТС офлайн, фаза А, НН")</f>
        <v>ОП "Ёмкость основной изоляции" на дату расчёта ИТС офлайн, фаза А, НН</v>
      </c>
    </row>
    <row r="1628" spans="1:2" ht="15.75" customHeight="1" x14ac:dyDescent="0.25">
      <c r="A1628" s="13" t="str">
        <f ca="1">IFERROR(__xludf.DUMMYFUNCTION("""COMPUTED_VALUE"""),"op0_1018_pa_mv")</f>
        <v>op0_1018_pa_mv</v>
      </c>
      <c r="B1628" s="13" t="str">
        <f ca="1">IFERROR(__xludf.DUMMYFUNCTION("""COMPUTED_VALUE"""),"ОП ""Ёмкость основной изоляции"" на дату расчёта ИТС офлайн, фаза А, СН")</f>
        <v>ОП "Ёмкость основной изоляции" на дату расчёта ИТС офлайн, фаза А, СН</v>
      </c>
    </row>
    <row r="1629" spans="1:2" ht="15.75" customHeight="1" x14ac:dyDescent="0.25">
      <c r="A1629" s="13" t="str">
        <f ca="1">IFERROR(__xludf.DUMMYFUNCTION("""COMPUTED_VALUE"""),"op0_1018_pb_hv")</f>
        <v>op0_1018_pb_hv</v>
      </c>
      <c r="B1629" s="13" t="str">
        <f ca="1">IFERROR(__xludf.DUMMYFUNCTION("""COMPUTED_VALUE"""),"ОП ""Ёмкость основной изоляции"" на дату расчёта ИТС офлайн, фаза В, ВН")</f>
        <v>ОП "Ёмкость основной изоляции" на дату расчёта ИТС офлайн, фаза В, ВН</v>
      </c>
    </row>
    <row r="1630" spans="1:2" ht="15.75" customHeight="1" x14ac:dyDescent="0.25">
      <c r="A1630" s="13" t="str">
        <f ca="1">IFERROR(__xludf.DUMMYFUNCTION("""COMPUTED_VALUE"""),"op0_1018_pb_lv")</f>
        <v>op0_1018_pb_lv</v>
      </c>
      <c r="B1630" s="13" t="str">
        <f ca="1">IFERROR(__xludf.DUMMYFUNCTION("""COMPUTED_VALUE"""),"ОП ""Ёмкость основной изоляции"" на дату расчёта ИТС офлайн, фаза В, НН")</f>
        <v>ОП "Ёмкость основной изоляции" на дату расчёта ИТС офлайн, фаза В, НН</v>
      </c>
    </row>
    <row r="1631" spans="1:2" ht="15.75" customHeight="1" x14ac:dyDescent="0.25">
      <c r="A1631" s="13" t="str">
        <f ca="1">IFERROR(__xludf.DUMMYFUNCTION("""COMPUTED_VALUE"""),"op0_1018_pb_mv")</f>
        <v>op0_1018_pb_mv</v>
      </c>
      <c r="B1631" s="13" t="str">
        <f ca="1">IFERROR(__xludf.DUMMYFUNCTION("""COMPUTED_VALUE"""),"ОП ""Ёмкость основной изоляции"" на дату расчёта ИТС офлайн, фаза В, СН")</f>
        <v>ОП "Ёмкость основной изоляции" на дату расчёта ИТС офлайн, фаза В, СН</v>
      </c>
    </row>
    <row r="1632" spans="1:2" ht="15.75" customHeight="1" x14ac:dyDescent="0.25">
      <c r="A1632" s="13" t="str">
        <f ca="1">IFERROR(__xludf.DUMMYFUNCTION("""COMPUTED_VALUE"""),"op0_1018_pc_hv")</f>
        <v>op0_1018_pc_hv</v>
      </c>
      <c r="B1632" s="13" t="str">
        <f ca="1">IFERROR(__xludf.DUMMYFUNCTION("""COMPUTED_VALUE"""),"ОП ""Ёмкость основной изоляции"" на дату расчёта ИТС офлайн, фаза С, ВН")</f>
        <v>ОП "Ёмкость основной изоляции" на дату расчёта ИТС офлайн, фаза С, ВН</v>
      </c>
    </row>
    <row r="1633" spans="1:2" ht="15.75" customHeight="1" x14ac:dyDescent="0.25">
      <c r="A1633" s="13" t="str">
        <f ca="1">IFERROR(__xludf.DUMMYFUNCTION("""COMPUTED_VALUE"""),"op0_1018_pc_lv")</f>
        <v>op0_1018_pc_lv</v>
      </c>
      <c r="B1633" s="13" t="str">
        <f ca="1">IFERROR(__xludf.DUMMYFUNCTION("""COMPUTED_VALUE"""),"ОП ""Ёмкость основной изоляции"" на дату расчёта ИТС офлайн, фаза С, НН")</f>
        <v>ОП "Ёмкость основной изоляции" на дату расчёта ИТС офлайн, фаза С, НН</v>
      </c>
    </row>
    <row r="1634" spans="1:2" ht="15.75" customHeight="1" x14ac:dyDescent="0.25">
      <c r="A1634" s="13" t="str">
        <f ca="1">IFERROR(__xludf.DUMMYFUNCTION("""COMPUTED_VALUE"""),"op0_1018_pc_mv")</f>
        <v>op0_1018_pc_mv</v>
      </c>
      <c r="B1634" s="13" t="str">
        <f ca="1">IFERROR(__xludf.DUMMYFUNCTION("""COMPUTED_VALUE"""),"ОП ""Ёмкость основной изоляции"" на дату расчёта ИТС офлайн, фаза С, СН")</f>
        <v>ОП "Ёмкость основной изоляции" на дату расчёта ИТС офлайн, фаза С, СН</v>
      </c>
    </row>
    <row r="1635" spans="1:2" ht="15.75" customHeight="1" x14ac:dyDescent="0.25">
      <c r="A1635" s="13" t="str">
        <f ca="1">IFERROR(__xludf.DUMMYFUNCTION("""COMPUTED_VALUE"""),"op0_1045")</f>
        <v>op0_1045</v>
      </c>
      <c r="B1635" s="13" t="str">
        <f ca="1">IFERROR(__xludf.DUMMYFUNCTION("""COMPUTED_VALUE"""),"ОП ""Влагосодержание масла"" на дату расчёта ИТС офлайн")</f>
        <v>ОП "Влагосодержание масла" на дату расчёта ИТС офлайн</v>
      </c>
    </row>
    <row r="1636" spans="1:2" ht="15.75" customHeight="1" x14ac:dyDescent="0.25">
      <c r="A1636" s="13" t="str">
        <f ca="1">IFERROR(__xludf.DUMMYFUNCTION("""COMPUTED_VALUE"""),"op0_1047")</f>
        <v>op0_1047</v>
      </c>
      <c r="B1636" s="13" t="str">
        <f ca="1">IFERROR(__xludf.DUMMYFUNCTION("""COMPUTED_VALUE"""),"ОП ""Тенденция изменения влагосодержания масла"" на дату расчёта ИТС офлайн")</f>
        <v>ОП "Тенденция изменения влагосодержания масла" на дату расчёта ИТС офлайн</v>
      </c>
    </row>
    <row r="1637" spans="1:2" ht="15.75" customHeight="1" x14ac:dyDescent="0.25">
      <c r="A1637" s="13" t="str">
        <f ca="1">IFERROR(__xludf.DUMMYFUNCTION("""COMPUTED_VALUE"""),"op0_1058_1070")</f>
        <v>op0_1058_1070</v>
      </c>
      <c r="B1637" s="13" t="str">
        <f ca="1">IFERROR(__xludf.DUMMYFUNCTION("""COMPUTED_VALUE"""),"ОП ""Хроматографический анализ. Концентрации и скорости"" на дату расчёта ИТС офлайн")</f>
        <v>ОП "Хроматографический анализ. Концентрации и скорости" на дату расчёта ИТС офлайн</v>
      </c>
    </row>
    <row r="1638" spans="1:2" ht="15.75" customHeight="1" x14ac:dyDescent="0.25">
      <c r="A1638" s="13" t="str">
        <f ca="1">IFERROR(__xludf.DUMMYFUNCTION("""COMPUTED_VALUE"""),"op0_1072")</f>
        <v>op0_1072</v>
      </c>
      <c r="B1638" s="13" t="str">
        <f ca="1">IFERROR(__xludf.DUMMYFUNCTION("""COMPUTED_VALUE"""),"ОП ""Хроматографический анализ. Общее газосодержание"" на дату расчёта ИТС офлайн")</f>
        <v>ОП "Хроматографический анализ. Общее газосодержание" на дату расчёта ИТС офлайн</v>
      </c>
    </row>
    <row r="1639" spans="1:2" ht="15.75" customHeight="1" x14ac:dyDescent="0.25">
      <c r="A1639" s="13" t="str">
        <f ca="1">IFERROR(__xludf.DUMMYFUNCTION("""COMPUTED_VALUE"""),"op0_1073_1080")</f>
        <v>op0_1073_1080</v>
      </c>
      <c r="B1639" s="13" t="str">
        <f ca="1">IFERROR(__xludf.DUMMYFUNCTION("""COMPUTED_VALUE"""),"ОП ""Хроматографический анализ. Отношение пар газов"" на дату расчёта ИТС офлайн")</f>
        <v>ОП "Хроматографический анализ. Отношение пар газов" на дату расчёта ИТС офлайн</v>
      </c>
    </row>
    <row r="1640" spans="1:2" ht="15.75" customHeight="1" x14ac:dyDescent="0.25">
      <c r="A1640" s="13" t="str">
        <f ca="1">IFERROR(__xludf.DUMMYFUNCTION("""COMPUTED_VALUE"""),"op0_1091")</f>
        <v>op0_1091</v>
      </c>
      <c r="B1640" s="13" t="str">
        <f ca="1">IFERROR(__xludf.DUMMYFUNCTION("""COMPUTED_VALUE"""),"ОП ""Влагосодержание твёрдой изоляции"" на дату расчёта ИТС офлайн")</f>
        <v>ОП "Влагосодержание твёрдой изоляции" на дату расчёта ИТС офлайн</v>
      </c>
    </row>
    <row r="1641" spans="1:2" ht="15.75" customHeight="1" x14ac:dyDescent="0.25">
      <c r="A1641" s="13" t="str">
        <f ca="1">IFERROR(__xludf.DUMMYFUNCTION("""COMPUTED_VALUE"""),"overload_coeff_long")</f>
        <v>overload_coeff_long</v>
      </c>
      <c r="B1641" s="13" t="str">
        <f ca="1">IFERROR(__xludf.DUMMYFUNCTION("""COMPUTED_VALUE"""),"Коэффициент допустимой длительной перегрузки")</f>
        <v>Коэффициент допустимой длительной перегрузки</v>
      </c>
    </row>
    <row r="1642" spans="1:2" ht="15.75" customHeight="1" x14ac:dyDescent="0.25">
      <c r="A1642" s="13" t="str">
        <f ca="1">IFERROR(__xludf.DUMMYFUNCTION("""COMPUTED_VALUE"""),"p_loss_noload")</f>
        <v>p_loss_noload</v>
      </c>
      <c r="B1642" s="13" t="str">
        <f ca="1">IFERROR(__xludf.DUMMYFUNCTION("""COMPUTED_VALUE"""),"Активная мощность потерь хх (в стали)")</f>
        <v>Активная мощность потерь хх (в стали)</v>
      </c>
    </row>
    <row r="1643" spans="1:2" ht="15.75" customHeight="1" x14ac:dyDescent="0.25">
      <c r="A1643" s="13" t="str">
        <f ca="1">IFERROR(__xludf.DUMMYFUNCTION("""COMPUTED_VALUE"""),"p_loss_shortcircuit")</f>
        <v>p_loss_shortcircuit</v>
      </c>
      <c r="B1643" s="13" t="str">
        <f ca="1">IFERROR(__xludf.DUMMYFUNCTION("""COMPUTED_VALUE"""),"Активная мощность потерь кз (в меди)")</f>
        <v>Активная мощность потерь кз (в меди)</v>
      </c>
    </row>
    <row r="1644" spans="1:2" ht="15.75" customHeight="1" x14ac:dyDescent="0.25">
      <c r="A1644" s="13" t="str">
        <f ca="1">IFERROR(__xludf.DUMMYFUNCTION("""COMPUTED_VALUE"""),"p_pa_hv")</f>
        <v>p_pa_hv</v>
      </c>
      <c r="B1644" s="13" t="str">
        <f ca="1">IFERROR(__xludf.DUMMYFUNCTION("""COMPUTED_VALUE"""),"Мощность активная ВН, фаза A")</f>
        <v>Мощность активная ВН, фаза A</v>
      </c>
    </row>
    <row r="1645" spans="1:2" ht="15.75" customHeight="1" x14ac:dyDescent="0.25">
      <c r="A1645" s="13" t="str">
        <f ca="1">IFERROR(__xludf.DUMMYFUNCTION("""COMPUTED_VALUE"""),"p_pa_lv")</f>
        <v>p_pa_lv</v>
      </c>
      <c r="B1645" s="13" t="str">
        <f ca="1">IFERROR(__xludf.DUMMYFUNCTION("""COMPUTED_VALUE"""),"Мощность активная НН, фаза A")</f>
        <v>Мощность активная НН, фаза A</v>
      </c>
    </row>
    <row r="1646" spans="1:2" ht="15.75" customHeight="1" x14ac:dyDescent="0.25">
      <c r="A1646" s="13" t="str">
        <f ca="1">IFERROR(__xludf.DUMMYFUNCTION("""COMPUTED_VALUE"""),"p_pa_lv1")</f>
        <v>p_pa_lv1</v>
      </c>
      <c r="B1646" s="13" t="str">
        <f ca="1">IFERROR(__xludf.DUMMYFUNCTION("""COMPUTED_VALUE"""),"Мощность активная НН1, фаза A")</f>
        <v>Мощность активная НН1, фаза A</v>
      </c>
    </row>
    <row r="1647" spans="1:2" ht="15.75" customHeight="1" x14ac:dyDescent="0.25">
      <c r="A1647" s="13" t="str">
        <f ca="1">IFERROR(__xludf.DUMMYFUNCTION("""COMPUTED_VALUE"""),"p_pa_lv2")</f>
        <v>p_pa_lv2</v>
      </c>
      <c r="B1647" s="13" t="str">
        <f ca="1">IFERROR(__xludf.DUMMYFUNCTION("""COMPUTED_VALUE"""),"Мощность активная НН2, фаза A")</f>
        <v>Мощность активная НН2, фаза A</v>
      </c>
    </row>
    <row r="1648" spans="1:2" ht="15.75" customHeight="1" x14ac:dyDescent="0.25">
      <c r="A1648" s="13" t="str">
        <f ca="1">IFERROR(__xludf.DUMMYFUNCTION("""COMPUTED_VALUE"""),"p_pa_mv")</f>
        <v>p_pa_mv</v>
      </c>
      <c r="B1648" s="13" t="str">
        <f ca="1">IFERROR(__xludf.DUMMYFUNCTION("""COMPUTED_VALUE"""),"Мощность активная СН, фаза A")</f>
        <v>Мощность активная СН, фаза A</v>
      </c>
    </row>
    <row r="1649" spans="1:2" ht="15.75" customHeight="1" x14ac:dyDescent="0.25">
      <c r="A1649" s="13" t="str">
        <f ca="1">IFERROR(__xludf.DUMMYFUNCTION("""COMPUTED_VALUE"""),"p_pb_hv")</f>
        <v>p_pb_hv</v>
      </c>
      <c r="B1649" s="13" t="str">
        <f ca="1">IFERROR(__xludf.DUMMYFUNCTION("""COMPUTED_VALUE"""),"Мощность активная ВН, фаза B")</f>
        <v>Мощность активная ВН, фаза B</v>
      </c>
    </row>
    <row r="1650" spans="1:2" ht="15.75" customHeight="1" x14ac:dyDescent="0.25">
      <c r="A1650" s="13" t="str">
        <f ca="1">IFERROR(__xludf.DUMMYFUNCTION("""COMPUTED_VALUE"""),"p_pb_lv")</f>
        <v>p_pb_lv</v>
      </c>
      <c r="B1650" s="13" t="str">
        <f ca="1">IFERROR(__xludf.DUMMYFUNCTION("""COMPUTED_VALUE"""),"Мощность активная НН, фаза B")</f>
        <v>Мощность активная НН, фаза B</v>
      </c>
    </row>
    <row r="1651" spans="1:2" ht="15.75" customHeight="1" x14ac:dyDescent="0.25">
      <c r="A1651" s="13" t="str">
        <f ca="1">IFERROR(__xludf.DUMMYFUNCTION("""COMPUTED_VALUE"""),"p_pb_lv1")</f>
        <v>p_pb_lv1</v>
      </c>
      <c r="B1651" s="13" t="str">
        <f ca="1">IFERROR(__xludf.DUMMYFUNCTION("""COMPUTED_VALUE"""),"Мощность активная НН1, фаза B")</f>
        <v>Мощность активная НН1, фаза B</v>
      </c>
    </row>
    <row r="1652" spans="1:2" ht="15.75" customHeight="1" x14ac:dyDescent="0.25">
      <c r="A1652" s="13" t="str">
        <f ca="1">IFERROR(__xludf.DUMMYFUNCTION("""COMPUTED_VALUE"""),"p_pb_lv2")</f>
        <v>p_pb_lv2</v>
      </c>
      <c r="B1652" s="13" t="str">
        <f ca="1">IFERROR(__xludf.DUMMYFUNCTION("""COMPUTED_VALUE"""),"Мощность активная НН2, фаза B")</f>
        <v>Мощность активная НН2, фаза B</v>
      </c>
    </row>
    <row r="1653" spans="1:2" ht="15.75" customHeight="1" x14ac:dyDescent="0.25">
      <c r="A1653" s="13" t="str">
        <f ca="1">IFERROR(__xludf.DUMMYFUNCTION("""COMPUTED_VALUE"""),"p_pb_mv")</f>
        <v>p_pb_mv</v>
      </c>
      <c r="B1653" s="13" t="str">
        <f ca="1">IFERROR(__xludf.DUMMYFUNCTION("""COMPUTED_VALUE"""),"Мощность активная СН, фаза B")</f>
        <v>Мощность активная СН, фаза B</v>
      </c>
    </row>
    <row r="1654" spans="1:2" ht="15.75" customHeight="1" x14ac:dyDescent="0.25">
      <c r="A1654" s="13" t="str">
        <f ca="1">IFERROR(__xludf.DUMMYFUNCTION("""COMPUTED_VALUE"""),"p_pc_hv")</f>
        <v>p_pc_hv</v>
      </c>
      <c r="B1654" s="13" t="str">
        <f ca="1">IFERROR(__xludf.DUMMYFUNCTION("""COMPUTED_VALUE"""),"Мощность активная ВН, фаза C")</f>
        <v>Мощность активная ВН, фаза C</v>
      </c>
    </row>
    <row r="1655" spans="1:2" ht="15.75" customHeight="1" x14ac:dyDescent="0.25">
      <c r="A1655" s="13" t="str">
        <f ca="1">IFERROR(__xludf.DUMMYFUNCTION("""COMPUTED_VALUE"""),"p_pc_lv")</f>
        <v>p_pc_lv</v>
      </c>
      <c r="B1655" s="13" t="str">
        <f ca="1">IFERROR(__xludf.DUMMYFUNCTION("""COMPUTED_VALUE"""),"Мощность активная НН, фаза C")</f>
        <v>Мощность активная НН, фаза C</v>
      </c>
    </row>
    <row r="1656" spans="1:2" ht="15.75" customHeight="1" x14ac:dyDescent="0.25">
      <c r="A1656" s="13" t="str">
        <f ca="1">IFERROR(__xludf.DUMMYFUNCTION("""COMPUTED_VALUE"""),"p_pc_lv1")</f>
        <v>p_pc_lv1</v>
      </c>
      <c r="B1656" s="13" t="str">
        <f ca="1">IFERROR(__xludf.DUMMYFUNCTION("""COMPUTED_VALUE"""),"Мощность активная НН1, фаза C")</f>
        <v>Мощность активная НН1, фаза C</v>
      </c>
    </row>
    <row r="1657" spans="1:2" ht="15.75" customHeight="1" x14ac:dyDescent="0.25">
      <c r="A1657" s="13" t="str">
        <f ca="1">IFERROR(__xludf.DUMMYFUNCTION("""COMPUTED_VALUE"""),"p_pc_lv2")</f>
        <v>p_pc_lv2</v>
      </c>
      <c r="B1657" s="13" t="str">
        <f ca="1">IFERROR(__xludf.DUMMYFUNCTION("""COMPUTED_VALUE"""),"Мощность активная НН2, фаза C")</f>
        <v>Мощность активная НН2, фаза C</v>
      </c>
    </row>
    <row r="1658" spans="1:2" ht="15.75" customHeight="1" x14ac:dyDescent="0.25">
      <c r="A1658" s="13" t="str">
        <f ca="1">IFERROR(__xludf.DUMMYFUNCTION("""COMPUTED_VALUE"""),"p_pc_mv")</f>
        <v>p_pc_mv</v>
      </c>
      <c r="B1658" s="13" t="str">
        <f ca="1">IFERROR(__xludf.DUMMYFUNCTION("""COMPUTED_VALUE"""),"Мощность активная СН, фаза C")</f>
        <v>Мощность активная СН, фаза C</v>
      </c>
    </row>
    <row r="1659" spans="1:2" ht="15.75" customHeight="1" x14ac:dyDescent="0.25">
      <c r="A1659" s="13" t="str">
        <f ca="1">IFERROR(__xludf.DUMMYFUNCTION("""COMPUTED_VALUE"""),"p_sf6_1")</f>
        <v>p_sf6_1</v>
      </c>
      <c r="B1659" s="13" t="str">
        <f ca="1">IFERROR(__xludf.DUMMYFUNCTION("""COMPUTED_VALUE"""),"Давление элегаза КРУЭ. Датчик 1")</f>
        <v>Давление элегаза КРУЭ. Датчик 1</v>
      </c>
    </row>
    <row r="1660" spans="1:2" ht="15.75" customHeight="1" x14ac:dyDescent="0.25">
      <c r="A1660" s="13" t="str">
        <f ca="1">IFERROR(__xludf.DUMMYFUNCTION("""COMPUTED_VALUE"""),"p_sf6_10")</f>
        <v>p_sf6_10</v>
      </c>
      <c r="B1660" s="13" t="str">
        <f ca="1">IFERROR(__xludf.DUMMYFUNCTION("""COMPUTED_VALUE"""),"Давление элегаза КРУЭ. Датчик 10")</f>
        <v>Давление элегаза КРУЭ. Датчик 10</v>
      </c>
    </row>
    <row r="1661" spans="1:2" ht="15.75" customHeight="1" x14ac:dyDescent="0.25">
      <c r="A1661" s="13" t="str">
        <f ca="1">IFERROR(__xludf.DUMMYFUNCTION("""COMPUTED_VALUE"""),"p_sf6_2")</f>
        <v>p_sf6_2</v>
      </c>
      <c r="B1661" s="13" t="str">
        <f ca="1">IFERROR(__xludf.DUMMYFUNCTION("""COMPUTED_VALUE"""),"Давление элегаза КРУЭ. Датчик 2")</f>
        <v>Давление элегаза КРУЭ. Датчик 2</v>
      </c>
    </row>
    <row r="1662" spans="1:2" ht="15.75" customHeight="1" x14ac:dyDescent="0.25">
      <c r="A1662" s="13" t="str">
        <f ca="1">IFERROR(__xludf.DUMMYFUNCTION("""COMPUTED_VALUE"""),"p_sf6_3")</f>
        <v>p_sf6_3</v>
      </c>
      <c r="B1662" s="13" t="str">
        <f ca="1">IFERROR(__xludf.DUMMYFUNCTION("""COMPUTED_VALUE"""),"Давление элегаза КРУЭ. Датчик 3")</f>
        <v>Давление элегаза КРУЭ. Датчик 3</v>
      </c>
    </row>
    <row r="1663" spans="1:2" ht="15.75" customHeight="1" x14ac:dyDescent="0.25">
      <c r="A1663" s="13" t="str">
        <f ca="1">IFERROR(__xludf.DUMMYFUNCTION("""COMPUTED_VALUE"""),"p_sf6_4")</f>
        <v>p_sf6_4</v>
      </c>
      <c r="B1663" s="13" t="str">
        <f ca="1">IFERROR(__xludf.DUMMYFUNCTION("""COMPUTED_VALUE"""),"Давление элегаза КРУЭ. Датчик 4")</f>
        <v>Давление элегаза КРУЭ. Датчик 4</v>
      </c>
    </row>
    <row r="1664" spans="1:2" ht="15.75" customHeight="1" x14ac:dyDescent="0.25">
      <c r="A1664" s="13" t="str">
        <f ca="1">IFERROR(__xludf.DUMMYFUNCTION("""COMPUTED_VALUE"""),"p_sf6_5")</f>
        <v>p_sf6_5</v>
      </c>
      <c r="B1664" s="13" t="str">
        <f ca="1">IFERROR(__xludf.DUMMYFUNCTION("""COMPUTED_VALUE"""),"Давление элегаза КРУЭ. Датчик 5")</f>
        <v>Давление элегаза КРУЭ. Датчик 5</v>
      </c>
    </row>
    <row r="1665" spans="1:2" ht="15.75" customHeight="1" x14ac:dyDescent="0.25">
      <c r="A1665" s="13" t="str">
        <f ca="1">IFERROR(__xludf.DUMMYFUNCTION("""COMPUTED_VALUE"""),"p_sf6_6")</f>
        <v>p_sf6_6</v>
      </c>
      <c r="B1665" s="13" t="str">
        <f ca="1">IFERROR(__xludf.DUMMYFUNCTION("""COMPUTED_VALUE"""),"Давление элегаза КРУЭ. Датчик 6")</f>
        <v>Давление элегаза КРУЭ. Датчик 6</v>
      </c>
    </row>
    <row r="1666" spans="1:2" ht="15.75" customHeight="1" x14ac:dyDescent="0.25">
      <c r="A1666" s="13" t="str">
        <f ca="1">IFERROR(__xludf.DUMMYFUNCTION("""COMPUTED_VALUE"""),"p_sf6_7")</f>
        <v>p_sf6_7</v>
      </c>
      <c r="B1666" s="13" t="str">
        <f ca="1">IFERROR(__xludf.DUMMYFUNCTION("""COMPUTED_VALUE"""),"Давление элегаза КРУЭ. Датчик 7")</f>
        <v>Давление элегаза КРУЭ. Датчик 7</v>
      </c>
    </row>
    <row r="1667" spans="1:2" ht="15.75" customHeight="1" x14ac:dyDescent="0.25">
      <c r="A1667" s="13" t="str">
        <f ca="1">IFERROR(__xludf.DUMMYFUNCTION("""COMPUTED_VALUE"""),"p_sf6_8")</f>
        <v>p_sf6_8</v>
      </c>
      <c r="B1667" s="13" t="str">
        <f ca="1">IFERROR(__xludf.DUMMYFUNCTION("""COMPUTED_VALUE"""),"Давление элегаза КРУЭ. Датчик 8")</f>
        <v>Давление элегаза КРУЭ. Датчик 8</v>
      </c>
    </row>
    <row r="1668" spans="1:2" ht="15.75" customHeight="1" x14ac:dyDescent="0.25">
      <c r="A1668" s="13" t="str">
        <f ca="1">IFERROR(__xludf.DUMMYFUNCTION("""COMPUTED_VALUE"""),"p_sf6_9")</f>
        <v>p_sf6_9</v>
      </c>
      <c r="B1668" s="13" t="str">
        <f ca="1">IFERROR(__xludf.DUMMYFUNCTION("""COMPUTED_VALUE"""),"Давление элегаза КРУЭ. Датчик 9")</f>
        <v>Давление элегаза КРУЭ. Датчик 9</v>
      </c>
    </row>
    <row r="1669" spans="1:2" ht="15.75" customHeight="1" x14ac:dyDescent="0.25">
      <c r="A1669" s="13" t="str">
        <f ca="1">IFERROR(__xludf.DUMMYFUNCTION("""COMPUTED_VALUE"""),"p_sf6_lim0")</f>
        <v>p_sf6_lim0</v>
      </c>
      <c r="B1669" s="13" t="str">
        <f ca="1">IFERROR(__xludf.DUMMYFUNCTION("""COMPUTED_VALUE"""),"ДЗ давления элегаза КРУЭ")</f>
        <v>ДЗ давления элегаза КРУЭ</v>
      </c>
    </row>
    <row r="1670" spans="1:2" ht="15.75" customHeight="1" x14ac:dyDescent="0.25">
      <c r="A1670" s="13" t="str">
        <f ca="1">IFERROR(__xludf.DUMMYFUNCTION("""COMPUTED_VALUE"""),"p_sf6_lim0_manual")</f>
        <v>p_sf6_lim0_manual</v>
      </c>
      <c r="B1670" s="13" t="str">
        <f ca="1">IFERROR(__xludf.DUMMYFUNCTION("""COMPUTED_VALUE"""),"ДЗ давления элегаза КРУЭ, ручное")</f>
        <v>ДЗ давления элегаза КРУЭ, ручное</v>
      </c>
    </row>
    <row r="1671" spans="1:2" ht="15.75" customHeight="1" x14ac:dyDescent="0.25">
      <c r="A1671" s="13" t="str">
        <f ca="1">IFERROR(__xludf.DUMMYFUNCTION("""COMPUTED_VALUE"""),"p_sf6_lim1")</f>
        <v>p_sf6_lim1</v>
      </c>
      <c r="B1671" s="13" t="str">
        <f ca="1">IFERROR(__xludf.DUMMYFUNCTION("""COMPUTED_VALUE"""),"ПДЗ давления элегаза КРУЭ")</f>
        <v>ПДЗ давления элегаза КРУЭ</v>
      </c>
    </row>
    <row r="1672" spans="1:2" ht="15.75" customHeight="1" x14ac:dyDescent="0.25">
      <c r="A1672" s="13" t="str">
        <f ca="1">IFERROR(__xludf.DUMMYFUNCTION("""COMPUTED_VALUE"""),"p_sf6_lim1_manual")</f>
        <v>p_sf6_lim1_manual</v>
      </c>
      <c r="B1672" s="13" t="str">
        <f ca="1">IFERROR(__xludf.DUMMYFUNCTION("""COMPUTED_VALUE"""),"ПДЗ давления элегаза КРУЭ, ручное")</f>
        <v>ПДЗ давления элегаза КРУЭ, ручное</v>
      </c>
    </row>
    <row r="1673" spans="1:2" ht="15.75" customHeight="1" x14ac:dyDescent="0.25">
      <c r="A1673" s="13" t="str">
        <f ca="1">IFERROR(__xludf.DUMMYFUNCTION("""COMPUTED_VALUE"""),"p_sf6_norm20_1")</f>
        <v>p_sf6_norm20_1</v>
      </c>
      <c r="B1673" s="13" t="str">
        <f ca="1">IFERROR(__xludf.DUMMYFUNCTION("""COMPUTED_VALUE"""),"Давление элегаза КРУЭ, приведённое к 20 град. Датчик 1")</f>
        <v>Давление элегаза КРУЭ, приведённое к 20 град. Датчик 1</v>
      </c>
    </row>
    <row r="1674" spans="1:2" ht="15.75" customHeight="1" x14ac:dyDescent="0.25">
      <c r="A1674" s="13" t="str">
        <f ca="1">IFERROR(__xludf.DUMMYFUNCTION("""COMPUTED_VALUE"""),"p_sf6_norm20_10")</f>
        <v>p_sf6_norm20_10</v>
      </c>
      <c r="B1674" s="13" t="str">
        <f ca="1">IFERROR(__xludf.DUMMYFUNCTION("""COMPUTED_VALUE"""),"Давление элегаза КРУЭ, приведённое к 20 град. Датчик 10")</f>
        <v>Давление элегаза КРУЭ, приведённое к 20 град. Датчик 10</v>
      </c>
    </row>
    <row r="1675" spans="1:2" ht="15.75" customHeight="1" x14ac:dyDescent="0.25">
      <c r="A1675" s="13" t="str">
        <f ca="1">IFERROR(__xludf.DUMMYFUNCTION("""COMPUTED_VALUE"""),"p_sf6_norm20_2")</f>
        <v>p_sf6_norm20_2</v>
      </c>
      <c r="B1675" s="13" t="str">
        <f ca="1">IFERROR(__xludf.DUMMYFUNCTION("""COMPUTED_VALUE"""),"Давление элегаза КРУЭ, приведённое к 20 град. Датчик 2")</f>
        <v>Давление элегаза КРУЭ, приведённое к 20 град. Датчик 2</v>
      </c>
    </row>
    <row r="1676" spans="1:2" ht="15.75" customHeight="1" x14ac:dyDescent="0.25">
      <c r="A1676" s="13" t="str">
        <f ca="1">IFERROR(__xludf.DUMMYFUNCTION("""COMPUTED_VALUE"""),"p_sf6_norm20_3")</f>
        <v>p_sf6_norm20_3</v>
      </c>
      <c r="B1676" s="13" t="str">
        <f ca="1">IFERROR(__xludf.DUMMYFUNCTION("""COMPUTED_VALUE"""),"Давление элегаза КРУЭ, приведённое к 20 град. Датчик 3")</f>
        <v>Давление элегаза КРУЭ, приведённое к 20 град. Датчик 3</v>
      </c>
    </row>
    <row r="1677" spans="1:2" ht="15.75" customHeight="1" x14ac:dyDescent="0.25">
      <c r="A1677" s="13" t="str">
        <f ca="1">IFERROR(__xludf.DUMMYFUNCTION("""COMPUTED_VALUE"""),"p_sf6_norm20_4")</f>
        <v>p_sf6_norm20_4</v>
      </c>
      <c r="B1677" s="13" t="str">
        <f ca="1">IFERROR(__xludf.DUMMYFUNCTION("""COMPUTED_VALUE"""),"Давление элегаза КРУЭ, приведённое к 20 град. Датчик 4")</f>
        <v>Давление элегаза КРУЭ, приведённое к 20 град. Датчик 4</v>
      </c>
    </row>
    <row r="1678" spans="1:2" ht="15.75" customHeight="1" x14ac:dyDescent="0.25">
      <c r="A1678" s="13" t="str">
        <f ca="1">IFERROR(__xludf.DUMMYFUNCTION("""COMPUTED_VALUE"""),"p_sf6_norm20_5")</f>
        <v>p_sf6_norm20_5</v>
      </c>
      <c r="B1678" s="13" t="str">
        <f ca="1">IFERROR(__xludf.DUMMYFUNCTION("""COMPUTED_VALUE"""),"Давление элегаза КРУЭ, приведённое к 20 град. Датчик 5")</f>
        <v>Давление элегаза КРУЭ, приведённое к 20 град. Датчик 5</v>
      </c>
    </row>
    <row r="1679" spans="1:2" ht="15.75" customHeight="1" x14ac:dyDescent="0.25">
      <c r="A1679" s="13" t="str">
        <f ca="1">IFERROR(__xludf.DUMMYFUNCTION("""COMPUTED_VALUE"""),"p_sf6_norm20_6")</f>
        <v>p_sf6_norm20_6</v>
      </c>
      <c r="B1679" s="13" t="str">
        <f ca="1">IFERROR(__xludf.DUMMYFUNCTION("""COMPUTED_VALUE"""),"Давление элегаза КРУЭ, приведённое к 20 град. Датчик 6")</f>
        <v>Давление элегаза КРУЭ, приведённое к 20 град. Датчик 6</v>
      </c>
    </row>
    <row r="1680" spans="1:2" ht="15.75" customHeight="1" x14ac:dyDescent="0.25">
      <c r="A1680" s="13" t="str">
        <f ca="1">IFERROR(__xludf.DUMMYFUNCTION("""COMPUTED_VALUE"""),"p_sf6_norm20_7")</f>
        <v>p_sf6_norm20_7</v>
      </c>
      <c r="B1680" s="13" t="str">
        <f ca="1">IFERROR(__xludf.DUMMYFUNCTION("""COMPUTED_VALUE"""),"Давление элегаза КРУЭ, приведённое к 20 град. Датчик 7")</f>
        <v>Давление элегаза КРУЭ, приведённое к 20 град. Датчик 7</v>
      </c>
    </row>
    <row r="1681" spans="1:2" ht="15.75" customHeight="1" x14ac:dyDescent="0.25">
      <c r="A1681" s="13" t="str">
        <f ca="1">IFERROR(__xludf.DUMMYFUNCTION("""COMPUTED_VALUE"""),"p_sf6_norm20_8")</f>
        <v>p_sf6_norm20_8</v>
      </c>
      <c r="B1681" s="13" t="str">
        <f ca="1">IFERROR(__xludf.DUMMYFUNCTION("""COMPUTED_VALUE"""),"Давление элегаза КРУЭ, приведённое к 20 град. Датчик 8")</f>
        <v>Давление элегаза КРУЭ, приведённое к 20 град. Датчик 8</v>
      </c>
    </row>
    <row r="1682" spans="1:2" ht="15.75" customHeight="1" x14ac:dyDescent="0.25">
      <c r="A1682" s="13" t="str">
        <f ca="1">IFERROR(__xludf.DUMMYFUNCTION("""COMPUTED_VALUE"""),"p_sf6_norm20_9")</f>
        <v>p_sf6_norm20_9</v>
      </c>
      <c r="B1682" s="13" t="str">
        <f ca="1">IFERROR(__xludf.DUMMYFUNCTION("""COMPUTED_VALUE"""),"Давление элегаза КРУЭ, приведённое к 20 град. Датчик 9")</f>
        <v>Давление элегаза КРУЭ, приведённое к 20 град. Датчик 9</v>
      </c>
    </row>
    <row r="1683" spans="1:2" ht="15.75" customHeight="1" x14ac:dyDescent="0.25">
      <c r="A1683" s="13" t="str">
        <f ca="1">IFERROR(__xludf.DUMMYFUNCTION("""COMPUTED_VALUE"""),"p_sf6_norm20_calc_1")</f>
        <v>p_sf6_norm20_calc_1</v>
      </c>
      <c r="B1683" s="13" t="str">
        <f ca="1">IFERROR(__xludf.DUMMYFUNCTION("""COMPUTED_VALUE"""),"Давление элегаза КРУЭ, приведённое к 20 град, расчётное. Датчик 1")</f>
        <v>Давление элегаза КРУЭ, приведённое к 20 град, расчётное. Датчик 1</v>
      </c>
    </row>
    <row r="1684" spans="1:2" ht="15.75" customHeight="1" x14ac:dyDescent="0.25">
      <c r="A1684" s="13" t="str">
        <f ca="1">IFERROR(__xludf.DUMMYFUNCTION("""COMPUTED_VALUE"""),"p_sf6_norm20_calc_10")</f>
        <v>p_sf6_norm20_calc_10</v>
      </c>
      <c r="B1684" s="13" t="str">
        <f ca="1">IFERROR(__xludf.DUMMYFUNCTION("""COMPUTED_VALUE"""),"Давление элегаза КРУЭ, приведённое к 20 град, расчётное. Датчик 10")</f>
        <v>Давление элегаза КРУЭ, приведённое к 20 град, расчётное. Датчик 10</v>
      </c>
    </row>
    <row r="1685" spans="1:2" ht="15.75" customHeight="1" x14ac:dyDescent="0.25">
      <c r="A1685" s="13" t="str">
        <f ca="1">IFERROR(__xludf.DUMMYFUNCTION("""COMPUTED_VALUE"""),"p_sf6_norm20_calc_2")</f>
        <v>p_sf6_norm20_calc_2</v>
      </c>
      <c r="B1685" s="13" t="str">
        <f ca="1">IFERROR(__xludf.DUMMYFUNCTION("""COMPUTED_VALUE"""),"Давление элегаза КРУЭ, приведённое к 20 град, расчётное. Датчик 2")</f>
        <v>Давление элегаза КРУЭ, приведённое к 20 град, расчётное. Датчик 2</v>
      </c>
    </row>
    <row r="1686" spans="1:2" ht="15.75" customHeight="1" x14ac:dyDescent="0.25">
      <c r="A1686" s="13" t="str">
        <f ca="1">IFERROR(__xludf.DUMMYFUNCTION("""COMPUTED_VALUE"""),"p_sf6_norm20_calc_3")</f>
        <v>p_sf6_norm20_calc_3</v>
      </c>
      <c r="B1686" s="13" t="str">
        <f ca="1">IFERROR(__xludf.DUMMYFUNCTION("""COMPUTED_VALUE"""),"Давление элегаза КРУЭ, приведённое к 20 град, расчётное. Датчик 3")</f>
        <v>Давление элегаза КРУЭ, приведённое к 20 град, расчётное. Датчик 3</v>
      </c>
    </row>
    <row r="1687" spans="1:2" ht="15.75" customHeight="1" x14ac:dyDescent="0.25">
      <c r="A1687" s="13" t="str">
        <f ca="1">IFERROR(__xludf.DUMMYFUNCTION("""COMPUTED_VALUE"""),"p_sf6_norm20_calc_4")</f>
        <v>p_sf6_norm20_calc_4</v>
      </c>
      <c r="B1687" s="13" t="str">
        <f ca="1">IFERROR(__xludf.DUMMYFUNCTION("""COMPUTED_VALUE"""),"Давление элегаза КРУЭ, приведённое к 20 град, расчётное. Датчик 4")</f>
        <v>Давление элегаза КРУЭ, приведённое к 20 град, расчётное. Датчик 4</v>
      </c>
    </row>
    <row r="1688" spans="1:2" ht="15.75" customHeight="1" x14ac:dyDescent="0.25">
      <c r="A1688" s="13" t="str">
        <f ca="1">IFERROR(__xludf.DUMMYFUNCTION("""COMPUTED_VALUE"""),"p_sf6_norm20_calc_5")</f>
        <v>p_sf6_norm20_calc_5</v>
      </c>
      <c r="B1688" s="13" t="str">
        <f ca="1">IFERROR(__xludf.DUMMYFUNCTION("""COMPUTED_VALUE"""),"Давление элегаза КРУЭ, приведённое к 20 град, расчётное. Датчик 5")</f>
        <v>Давление элегаза КРУЭ, приведённое к 20 град, расчётное. Датчик 5</v>
      </c>
    </row>
    <row r="1689" spans="1:2" ht="15.75" customHeight="1" x14ac:dyDescent="0.25">
      <c r="A1689" s="13" t="str">
        <f ca="1">IFERROR(__xludf.DUMMYFUNCTION("""COMPUTED_VALUE"""),"p_sf6_norm20_calc_6")</f>
        <v>p_sf6_norm20_calc_6</v>
      </c>
      <c r="B1689" s="13" t="str">
        <f ca="1">IFERROR(__xludf.DUMMYFUNCTION("""COMPUTED_VALUE"""),"Давление элегаза КРУЭ, приведённое к 20 град, расчётное. Датчик 6")</f>
        <v>Давление элегаза КРУЭ, приведённое к 20 град, расчётное. Датчик 6</v>
      </c>
    </row>
    <row r="1690" spans="1:2" ht="15.75" customHeight="1" x14ac:dyDescent="0.25">
      <c r="A1690" s="13" t="str">
        <f ca="1">IFERROR(__xludf.DUMMYFUNCTION("""COMPUTED_VALUE"""),"p_sf6_norm20_calc_7")</f>
        <v>p_sf6_norm20_calc_7</v>
      </c>
      <c r="B1690" s="13" t="str">
        <f ca="1">IFERROR(__xludf.DUMMYFUNCTION("""COMPUTED_VALUE"""),"Давление элегаза КРУЭ, приведённое к 20 град, расчётное. Датчик 7")</f>
        <v>Давление элегаза КРУЭ, приведённое к 20 град, расчётное. Датчик 7</v>
      </c>
    </row>
    <row r="1691" spans="1:2" ht="15.75" customHeight="1" x14ac:dyDescent="0.25">
      <c r="A1691" s="13" t="str">
        <f ca="1">IFERROR(__xludf.DUMMYFUNCTION("""COMPUTED_VALUE"""),"p_sf6_norm20_calc_8")</f>
        <v>p_sf6_norm20_calc_8</v>
      </c>
      <c r="B1691" s="13" t="str">
        <f ca="1">IFERROR(__xludf.DUMMYFUNCTION("""COMPUTED_VALUE"""),"Давление элегаза КРУЭ, приведённое к 20 град, расчётное. Датчик 8")</f>
        <v>Давление элегаза КРУЭ, приведённое к 20 град, расчётное. Датчик 8</v>
      </c>
    </row>
    <row r="1692" spans="1:2" ht="15.75" customHeight="1" x14ac:dyDescent="0.25">
      <c r="A1692" s="13" t="str">
        <f ca="1">IFERROR(__xludf.DUMMYFUNCTION("""COMPUTED_VALUE"""),"p_sf6_norm20_calc_9")</f>
        <v>p_sf6_norm20_calc_9</v>
      </c>
      <c r="B1692" s="13" t="str">
        <f ca="1">IFERROR(__xludf.DUMMYFUNCTION("""COMPUTED_VALUE"""),"Давление элегаза КРУЭ, приведённое к 20 град, расчётное. Датчик 9")</f>
        <v>Давление элегаза КРУЭ, приведённое к 20 град, расчётное. Датчик 9</v>
      </c>
    </row>
    <row r="1693" spans="1:2" ht="15.75" customHeight="1" x14ac:dyDescent="0.25">
      <c r="A1693" s="13" t="str">
        <f ca="1">IFERROR(__xludf.DUMMYFUNCTION("""COMPUTED_VALUE"""),"pd_a_nqn_neg_1")</f>
        <v>pd_a_nqn_neg_1</v>
      </c>
      <c r="B1693" s="13" t="str">
        <f ca="1">IFERROR(__xludf.DUMMYFUNCTION("""COMPUTED_VALUE"""),"Значение -NQN. Фаза A. Точка 1")</f>
        <v>Значение -NQN. Фаза A. Точка 1</v>
      </c>
    </row>
    <row r="1694" spans="1:2" ht="15.75" customHeight="1" x14ac:dyDescent="0.25">
      <c r="A1694" s="13" t="str">
        <f ca="1">IFERROR(__xludf.DUMMYFUNCTION("""COMPUTED_VALUE"""),"pd_a_nqn_neg_2")</f>
        <v>pd_a_nqn_neg_2</v>
      </c>
      <c r="B1694" s="13" t="str">
        <f ca="1">IFERROR(__xludf.DUMMYFUNCTION("""COMPUTED_VALUE"""),"Значение -NQN. Фаза A. Точка 2")</f>
        <v>Значение -NQN. Фаза A. Точка 2</v>
      </c>
    </row>
    <row r="1695" spans="1:2" ht="15.75" customHeight="1" x14ac:dyDescent="0.25">
      <c r="A1695" s="13" t="str">
        <f ca="1">IFERROR(__xludf.DUMMYFUNCTION("""COMPUTED_VALUE"""),"pd_a_nqn_neg_3")</f>
        <v>pd_a_nqn_neg_3</v>
      </c>
      <c r="B1695" s="13" t="str">
        <f ca="1">IFERROR(__xludf.DUMMYFUNCTION("""COMPUTED_VALUE"""),"Значение -NQN. Фаза A. Точка 3")</f>
        <v>Значение -NQN. Фаза A. Точка 3</v>
      </c>
    </row>
    <row r="1696" spans="1:2" ht="15.75" customHeight="1" x14ac:dyDescent="0.25">
      <c r="A1696" s="13" t="str">
        <f ca="1">IFERROR(__xludf.DUMMYFUNCTION("""COMPUTED_VALUE"""),"pd_a_nqn_neg_4")</f>
        <v>pd_a_nqn_neg_4</v>
      </c>
      <c r="B1696" s="13" t="str">
        <f ca="1">IFERROR(__xludf.DUMMYFUNCTION("""COMPUTED_VALUE"""),"Значение -NQN. Фаза A. Точка 4")</f>
        <v>Значение -NQN. Фаза A. Точка 4</v>
      </c>
    </row>
    <row r="1697" spans="1:2" ht="15.75" customHeight="1" x14ac:dyDescent="0.25">
      <c r="A1697" s="13" t="str">
        <f ca="1">IFERROR(__xludf.DUMMYFUNCTION("""COMPUTED_VALUE"""),"pd_a_nqn_pos_1")</f>
        <v>pd_a_nqn_pos_1</v>
      </c>
      <c r="B1697" s="13" t="str">
        <f ca="1">IFERROR(__xludf.DUMMYFUNCTION("""COMPUTED_VALUE"""),"Значение +NQN. Фаза A. Точка 1")</f>
        <v>Значение +NQN. Фаза A. Точка 1</v>
      </c>
    </row>
    <row r="1698" spans="1:2" ht="15.75" customHeight="1" x14ac:dyDescent="0.25">
      <c r="A1698" s="13" t="str">
        <f ca="1">IFERROR(__xludf.DUMMYFUNCTION("""COMPUTED_VALUE"""),"pd_a_nqn_pos_2")</f>
        <v>pd_a_nqn_pos_2</v>
      </c>
      <c r="B1698" s="13" t="str">
        <f ca="1">IFERROR(__xludf.DUMMYFUNCTION("""COMPUTED_VALUE"""),"Значение +NQN. Фаза A. Точка 2")</f>
        <v>Значение +NQN. Фаза A. Точка 2</v>
      </c>
    </row>
    <row r="1699" spans="1:2" ht="15.75" customHeight="1" x14ac:dyDescent="0.25">
      <c r="A1699" s="13" t="str">
        <f ca="1">IFERROR(__xludf.DUMMYFUNCTION("""COMPUTED_VALUE"""),"pd_a_nqn_pos_3")</f>
        <v>pd_a_nqn_pos_3</v>
      </c>
      <c r="B1699" s="13" t="str">
        <f ca="1">IFERROR(__xludf.DUMMYFUNCTION("""COMPUTED_VALUE"""),"Значение +NQN. Фаза A. Точка 3")</f>
        <v>Значение +NQN. Фаза A. Точка 3</v>
      </c>
    </row>
    <row r="1700" spans="1:2" ht="15.75" customHeight="1" x14ac:dyDescent="0.25">
      <c r="A1700" s="13" t="str">
        <f ca="1">IFERROR(__xludf.DUMMYFUNCTION("""COMPUTED_VALUE"""),"pd_a_nqn_pos_4")</f>
        <v>pd_a_nqn_pos_4</v>
      </c>
      <c r="B1700" s="13" t="str">
        <f ca="1">IFERROR(__xludf.DUMMYFUNCTION("""COMPUTED_VALUE"""),"Значение +NQN. Фаза A. Точка 4")</f>
        <v>Значение +NQN. Фаза A. Точка 4</v>
      </c>
    </row>
    <row r="1701" spans="1:2" ht="15.75" customHeight="1" x14ac:dyDescent="0.25">
      <c r="A1701" s="13" t="str">
        <f ca="1">IFERROR(__xludf.DUMMYFUNCTION("""COMPUTED_VALUE"""),"pd_a_qm_neg_1")</f>
        <v>pd_a_qm_neg_1</v>
      </c>
      <c r="B1701" s="13" t="str">
        <f ca="1">IFERROR(__xludf.DUMMYFUNCTION("""COMPUTED_VALUE"""),"Значение -Qm. Фаза A. Точка 1")</f>
        <v>Значение -Qm. Фаза A. Точка 1</v>
      </c>
    </row>
    <row r="1702" spans="1:2" ht="15.75" customHeight="1" x14ac:dyDescent="0.25">
      <c r="A1702" s="13" t="str">
        <f ca="1">IFERROR(__xludf.DUMMYFUNCTION("""COMPUTED_VALUE"""),"pd_a_qm_neg_2")</f>
        <v>pd_a_qm_neg_2</v>
      </c>
      <c r="B1702" s="13" t="str">
        <f ca="1">IFERROR(__xludf.DUMMYFUNCTION("""COMPUTED_VALUE"""),"Значение -Qm. Фаза A. Точка 2")</f>
        <v>Значение -Qm. Фаза A. Точка 2</v>
      </c>
    </row>
    <row r="1703" spans="1:2" ht="15.75" customHeight="1" x14ac:dyDescent="0.25">
      <c r="A1703" s="13" t="str">
        <f ca="1">IFERROR(__xludf.DUMMYFUNCTION("""COMPUTED_VALUE"""),"pd_a_qm_neg_3")</f>
        <v>pd_a_qm_neg_3</v>
      </c>
      <c r="B1703" s="13" t="str">
        <f ca="1">IFERROR(__xludf.DUMMYFUNCTION("""COMPUTED_VALUE"""),"Значение -Qm. Фаза A. Точка 3")</f>
        <v>Значение -Qm. Фаза A. Точка 3</v>
      </c>
    </row>
    <row r="1704" spans="1:2" ht="15.75" customHeight="1" x14ac:dyDescent="0.25">
      <c r="A1704" s="13" t="str">
        <f ca="1">IFERROR(__xludf.DUMMYFUNCTION("""COMPUTED_VALUE"""),"pd_a_qm_neg_4")</f>
        <v>pd_a_qm_neg_4</v>
      </c>
      <c r="B1704" s="13" t="str">
        <f ca="1">IFERROR(__xludf.DUMMYFUNCTION("""COMPUTED_VALUE"""),"Значение -Qm. Фаза A. Точка 4")</f>
        <v>Значение -Qm. Фаза A. Точка 4</v>
      </c>
    </row>
    <row r="1705" spans="1:2" ht="15.75" customHeight="1" x14ac:dyDescent="0.25">
      <c r="A1705" s="13" t="str">
        <f ca="1">IFERROR(__xludf.DUMMYFUNCTION("""COMPUTED_VALUE"""),"pd_a_qm_pos_1")</f>
        <v>pd_a_qm_pos_1</v>
      </c>
      <c r="B1705" s="13" t="str">
        <f ca="1">IFERROR(__xludf.DUMMYFUNCTION("""COMPUTED_VALUE"""),"Значение +Qm. Фаза A. Точка 1")</f>
        <v>Значение +Qm. Фаза A. Точка 1</v>
      </c>
    </row>
    <row r="1706" spans="1:2" ht="15.75" customHeight="1" x14ac:dyDescent="0.25">
      <c r="A1706" s="13" t="str">
        <f ca="1">IFERROR(__xludf.DUMMYFUNCTION("""COMPUTED_VALUE"""),"pd_a_qm_pos_2")</f>
        <v>pd_a_qm_pos_2</v>
      </c>
      <c r="B1706" s="13" t="str">
        <f ca="1">IFERROR(__xludf.DUMMYFUNCTION("""COMPUTED_VALUE"""),"Значение +Qm. Фаза A. Точка 2")</f>
        <v>Значение +Qm. Фаза A. Точка 2</v>
      </c>
    </row>
    <row r="1707" spans="1:2" ht="15.75" customHeight="1" x14ac:dyDescent="0.25">
      <c r="A1707" s="13" t="str">
        <f ca="1">IFERROR(__xludf.DUMMYFUNCTION("""COMPUTED_VALUE"""),"pd_a_qm_pos_3")</f>
        <v>pd_a_qm_pos_3</v>
      </c>
      <c r="B1707" s="13" t="str">
        <f ca="1">IFERROR(__xludf.DUMMYFUNCTION("""COMPUTED_VALUE"""),"Значение +Qm. Фаза A. Точка 3")</f>
        <v>Значение +Qm. Фаза A. Точка 3</v>
      </c>
    </row>
    <row r="1708" spans="1:2" ht="15.75" customHeight="1" x14ac:dyDescent="0.25">
      <c r="A1708" s="13" t="str">
        <f ca="1">IFERROR(__xludf.DUMMYFUNCTION("""COMPUTED_VALUE"""),"pd_a_qm_pos_4")</f>
        <v>pd_a_qm_pos_4</v>
      </c>
      <c r="B1708" s="13" t="str">
        <f ca="1">IFERROR(__xludf.DUMMYFUNCTION("""COMPUTED_VALUE"""),"Значение +Qm. Фаза A. Точка 4")</f>
        <v>Значение +Qm. Фаза A. Точка 4</v>
      </c>
    </row>
    <row r="1709" spans="1:2" ht="15.75" customHeight="1" x14ac:dyDescent="0.25">
      <c r="A1709" s="13" t="str">
        <f ca="1">IFERROR(__xludf.DUMMYFUNCTION("""COMPUTED_VALUE"""),"pd_b_nqn_neg_1")</f>
        <v>pd_b_nqn_neg_1</v>
      </c>
      <c r="B1709" s="13" t="str">
        <f ca="1">IFERROR(__xludf.DUMMYFUNCTION("""COMPUTED_VALUE"""),"Значение -NQN. Фаза B. Точка 1")</f>
        <v>Значение -NQN. Фаза B. Точка 1</v>
      </c>
    </row>
    <row r="1710" spans="1:2" ht="15.75" customHeight="1" x14ac:dyDescent="0.25">
      <c r="A1710" s="13" t="str">
        <f ca="1">IFERROR(__xludf.DUMMYFUNCTION("""COMPUTED_VALUE"""),"pd_b_nqn_neg_2")</f>
        <v>pd_b_nqn_neg_2</v>
      </c>
      <c r="B1710" s="13" t="str">
        <f ca="1">IFERROR(__xludf.DUMMYFUNCTION("""COMPUTED_VALUE"""),"Значение -NQN. Фаза B. Точка 2")</f>
        <v>Значение -NQN. Фаза B. Точка 2</v>
      </c>
    </row>
    <row r="1711" spans="1:2" ht="15.75" customHeight="1" x14ac:dyDescent="0.25">
      <c r="A1711" s="13" t="str">
        <f ca="1">IFERROR(__xludf.DUMMYFUNCTION("""COMPUTED_VALUE"""),"pd_b_nqn_neg_3")</f>
        <v>pd_b_nqn_neg_3</v>
      </c>
      <c r="B1711" s="13" t="str">
        <f ca="1">IFERROR(__xludf.DUMMYFUNCTION("""COMPUTED_VALUE"""),"Значение -NQN. Фаза B. Точка 3")</f>
        <v>Значение -NQN. Фаза B. Точка 3</v>
      </c>
    </row>
    <row r="1712" spans="1:2" ht="15.75" customHeight="1" x14ac:dyDescent="0.25">
      <c r="A1712" s="13" t="str">
        <f ca="1">IFERROR(__xludf.DUMMYFUNCTION("""COMPUTED_VALUE"""),"pd_b_nqn_neg_4")</f>
        <v>pd_b_nqn_neg_4</v>
      </c>
      <c r="B1712" s="13" t="str">
        <f ca="1">IFERROR(__xludf.DUMMYFUNCTION("""COMPUTED_VALUE"""),"Значение -NQN. Фаза B. Точка 4")</f>
        <v>Значение -NQN. Фаза B. Точка 4</v>
      </c>
    </row>
    <row r="1713" spans="1:2" ht="15.75" customHeight="1" x14ac:dyDescent="0.25">
      <c r="A1713" s="13" t="str">
        <f ca="1">IFERROR(__xludf.DUMMYFUNCTION("""COMPUTED_VALUE"""),"pd_b_nqn_pos_1")</f>
        <v>pd_b_nqn_pos_1</v>
      </c>
      <c r="B1713" s="13" t="str">
        <f ca="1">IFERROR(__xludf.DUMMYFUNCTION("""COMPUTED_VALUE"""),"Значение +NQN. Фаза B. Точка 1")</f>
        <v>Значение +NQN. Фаза B. Точка 1</v>
      </c>
    </row>
    <row r="1714" spans="1:2" ht="15.75" customHeight="1" x14ac:dyDescent="0.25">
      <c r="A1714" s="13" t="str">
        <f ca="1">IFERROR(__xludf.DUMMYFUNCTION("""COMPUTED_VALUE"""),"pd_b_nqn_pos_2")</f>
        <v>pd_b_nqn_pos_2</v>
      </c>
      <c r="B1714" s="13" t="str">
        <f ca="1">IFERROR(__xludf.DUMMYFUNCTION("""COMPUTED_VALUE"""),"Значение +NQN. Фаза B. Точка 2")</f>
        <v>Значение +NQN. Фаза B. Точка 2</v>
      </c>
    </row>
    <row r="1715" spans="1:2" ht="15.75" customHeight="1" x14ac:dyDescent="0.25">
      <c r="A1715" s="13" t="str">
        <f ca="1">IFERROR(__xludf.DUMMYFUNCTION("""COMPUTED_VALUE"""),"pd_b_nqn_pos_3")</f>
        <v>pd_b_nqn_pos_3</v>
      </c>
      <c r="B1715" s="13" t="str">
        <f ca="1">IFERROR(__xludf.DUMMYFUNCTION("""COMPUTED_VALUE"""),"Значение +NQN. Фаза B. Точка 3")</f>
        <v>Значение +NQN. Фаза B. Точка 3</v>
      </c>
    </row>
    <row r="1716" spans="1:2" ht="15.75" customHeight="1" x14ac:dyDescent="0.25">
      <c r="A1716" s="13" t="str">
        <f ca="1">IFERROR(__xludf.DUMMYFUNCTION("""COMPUTED_VALUE"""),"pd_b_nqn_pos_4")</f>
        <v>pd_b_nqn_pos_4</v>
      </c>
      <c r="B1716" s="13" t="str">
        <f ca="1">IFERROR(__xludf.DUMMYFUNCTION("""COMPUTED_VALUE"""),"Значение +NQN. Фаза B. Точка 4")</f>
        <v>Значение +NQN. Фаза B. Точка 4</v>
      </c>
    </row>
    <row r="1717" spans="1:2" ht="15.75" customHeight="1" x14ac:dyDescent="0.25">
      <c r="A1717" s="13" t="str">
        <f ca="1">IFERROR(__xludf.DUMMYFUNCTION("""COMPUTED_VALUE"""),"pd_b_qm_neg_1")</f>
        <v>pd_b_qm_neg_1</v>
      </c>
      <c r="B1717" s="13" t="str">
        <f ca="1">IFERROR(__xludf.DUMMYFUNCTION("""COMPUTED_VALUE"""),"Значение -Qm. Фаза B. Точка 1")</f>
        <v>Значение -Qm. Фаза B. Точка 1</v>
      </c>
    </row>
    <row r="1718" spans="1:2" ht="15.75" customHeight="1" x14ac:dyDescent="0.25">
      <c r="A1718" s="13" t="str">
        <f ca="1">IFERROR(__xludf.DUMMYFUNCTION("""COMPUTED_VALUE"""),"pd_b_qm_neg_2")</f>
        <v>pd_b_qm_neg_2</v>
      </c>
      <c r="B1718" s="13" t="str">
        <f ca="1">IFERROR(__xludf.DUMMYFUNCTION("""COMPUTED_VALUE"""),"Значение -Qm. Фаза B. Точка 2")</f>
        <v>Значение -Qm. Фаза B. Точка 2</v>
      </c>
    </row>
    <row r="1719" spans="1:2" ht="15.75" customHeight="1" x14ac:dyDescent="0.25">
      <c r="A1719" s="13" t="str">
        <f ca="1">IFERROR(__xludf.DUMMYFUNCTION("""COMPUTED_VALUE"""),"pd_b_qm_neg_3")</f>
        <v>pd_b_qm_neg_3</v>
      </c>
      <c r="B1719" s="13" t="str">
        <f ca="1">IFERROR(__xludf.DUMMYFUNCTION("""COMPUTED_VALUE"""),"Значение -Qm. Фаза B. Точка 3")</f>
        <v>Значение -Qm. Фаза B. Точка 3</v>
      </c>
    </row>
    <row r="1720" spans="1:2" ht="15.75" customHeight="1" x14ac:dyDescent="0.25">
      <c r="A1720" s="13" t="str">
        <f ca="1">IFERROR(__xludf.DUMMYFUNCTION("""COMPUTED_VALUE"""),"pd_b_qm_neg_4")</f>
        <v>pd_b_qm_neg_4</v>
      </c>
      <c r="B1720" s="13" t="str">
        <f ca="1">IFERROR(__xludf.DUMMYFUNCTION("""COMPUTED_VALUE"""),"Значение -Qm. Фаза B. Точка 4")</f>
        <v>Значение -Qm. Фаза B. Точка 4</v>
      </c>
    </row>
    <row r="1721" spans="1:2" ht="15.75" customHeight="1" x14ac:dyDescent="0.25">
      <c r="A1721" s="13" t="str">
        <f ca="1">IFERROR(__xludf.DUMMYFUNCTION("""COMPUTED_VALUE"""),"pd_b_qm_pos_1")</f>
        <v>pd_b_qm_pos_1</v>
      </c>
      <c r="B1721" s="13" t="str">
        <f ca="1">IFERROR(__xludf.DUMMYFUNCTION("""COMPUTED_VALUE"""),"Значение +Qm. Фаза B. Точка 1")</f>
        <v>Значение +Qm. Фаза B. Точка 1</v>
      </c>
    </row>
    <row r="1722" spans="1:2" ht="15.75" customHeight="1" x14ac:dyDescent="0.25">
      <c r="A1722" s="13" t="str">
        <f ca="1">IFERROR(__xludf.DUMMYFUNCTION("""COMPUTED_VALUE"""),"pd_b_qm_pos_2")</f>
        <v>pd_b_qm_pos_2</v>
      </c>
      <c r="B1722" s="13" t="str">
        <f ca="1">IFERROR(__xludf.DUMMYFUNCTION("""COMPUTED_VALUE"""),"Значение +Qm. Фаза B. Точка 2")</f>
        <v>Значение +Qm. Фаза B. Точка 2</v>
      </c>
    </row>
    <row r="1723" spans="1:2" ht="15.75" customHeight="1" x14ac:dyDescent="0.25">
      <c r="A1723" s="13" t="str">
        <f ca="1">IFERROR(__xludf.DUMMYFUNCTION("""COMPUTED_VALUE"""),"pd_b_qm_pos_3")</f>
        <v>pd_b_qm_pos_3</v>
      </c>
      <c r="B1723" s="13" t="str">
        <f ca="1">IFERROR(__xludf.DUMMYFUNCTION("""COMPUTED_VALUE"""),"Значение +Qm. Фаза B. Точка 3")</f>
        <v>Значение +Qm. Фаза B. Точка 3</v>
      </c>
    </row>
    <row r="1724" spans="1:2" ht="15.75" customHeight="1" x14ac:dyDescent="0.25">
      <c r="A1724" s="13" t="str">
        <f ca="1">IFERROR(__xludf.DUMMYFUNCTION("""COMPUTED_VALUE"""),"pd_b_qm_pos_4")</f>
        <v>pd_b_qm_pos_4</v>
      </c>
      <c r="B1724" s="13" t="str">
        <f ca="1">IFERROR(__xludf.DUMMYFUNCTION("""COMPUTED_VALUE"""),"Значение +Qm. Фаза B. Точка 4")</f>
        <v>Значение +Qm. Фаза B. Точка 4</v>
      </c>
    </row>
    <row r="1725" spans="1:2" ht="15.75" customHeight="1" x14ac:dyDescent="0.25">
      <c r="A1725" s="13" t="str">
        <f ca="1">IFERROR(__xludf.DUMMYFUNCTION("""COMPUTED_VALUE"""),"pd_c_nqn_neg_1")</f>
        <v>pd_c_nqn_neg_1</v>
      </c>
      <c r="B1725" s="13" t="str">
        <f ca="1">IFERROR(__xludf.DUMMYFUNCTION("""COMPUTED_VALUE"""),"Значение -NQN. Фаза C. Точка 1")</f>
        <v>Значение -NQN. Фаза C. Точка 1</v>
      </c>
    </row>
    <row r="1726" spans="1:2" ht="15.75" customHeight="1" x14ac:dyDescent="0.25">
      <c r="A1726" s="13" t="str">
        <f ca="1">IFERROR(__xludf.DUMMYFUNCTION("""COMPUTED_VALUE"""),"pd_c_nqn_neg_2")</f>
        <v>pd_c_nqn_neg_2</v>
      </c>
      <c r="B1726" s="13" t="str">
        <f ca="1">IFERROR(__xludf.DUMMYFUNCTION("""COMPUTED_VALUE"""),"Значение -NQN. Фаза C. Точка 2")</f>
        <v>Значение -NQN. Фаза C. Точка 2</v>
      </c>
    </row>
    <row r="1727" spans="1:2" ht="15.75" customHeight="1" x14ac:dyDescent="0.25">
      <c r="A1727" s="13" t="str">
        <f ca="1">IFERROR(__xludf.DUMMYFUNCTION("""COMPUTED_VALUE"""),"pd_c_nqn_neg_3")</f>
        <v>pd_c_nqn_neg_3</v>
      </c>
      <c r="B1727" s="13" t="str">
        <f ca="1">IFERROR(__xludf.DUMMYFUNCTION("""COMPUTED_VALUE"""),"Значение -NQN. Фаза C. Точка 3")</f>
        <v>Значение -NQN. Фаза C. Точка 3</v>
      </c>
    </row>
    <row r="1728" spans="1:2" ht="15.75" customHeight="1" x14ac:dyDescent="0.25">
      <c r="A1728" s="13" t="str">
        <f ca="1">IFERROR(__xludf.DUMMYFUNCTION("""COMPUTED_VALUE"""),"pd_c_nqn_neg_4")</f>
        <v>pd_c_nqn_neg_4</v>
      </c>
      <c r="B1728" s="13" t="str">
        <f ca="1">IFERROR(__xludf.DUMMYFUNCTION("""COMPUTED_VALUE"""),"Значение -NQN. Фаза C. Точка 4")</f>
        <v>Значение -NQN. Фаза C. Точка 4</v>
      </c>
    </row>
    <row r="1729" spans="1:2" ht="15.75" customHeight="1" x14ac:dyDescent="0.25">
      <c r="A1729" s="13" t="str">
        <f ca="1">IFERROR(__xludf.DUMMYFUNCTION("""COMPUTED_VALUE"""),"pd_c_nqn_pos_1")</f>
        <v>pd_c_nqn_pos_1</v>
      </c>
      <c r="B1729" s="13" t="str">
        <f ca="1">IFERROR(__xludf.DUMMYFUNCTION("""COMPUTED_VALUE"""),"Значение +NQN. Фаза C. Точка 1")</f>
        <v>Значение +NQN. Фаза C. Точка 1</v>
      </c>
    </row>
    <row r="1730" spans="1:2" ht="15.75" customHeight="1" x14ac:dyDescent="0.25">
      <c r="A1730" s="13" t="str">
        <f ca="1">IFERROR(__xludf.DUMMYFUNCTION("""COMPUTED_VALUE"""),"pd_c_nqn_pos_2")</f>
        <v>pd_c_nqn_pos_2</v>
      </c>
      <c r="B1730" s="13" t="str">
        <f ca="1">IFERROR(__xludf.DUMMYFUNCTION("""COMPUTED_VALUE"""),"Значение +NQN. Фаза C. Точка 2")</f>
        <v>Значение +NQN. Фаза C. Точка 2</v>
      </c>
    </row>
    <row r="1731" spans="1:2" ht="15.75" customHeight="1" x14ac:dyDescent="0.25">
      <c r="A1731" s="13" t="str">
        <f ca="1">IFERROR(__xludf.DUMMYFUNCTION("""COMPUTED_VALUE"""),"pd_c_nqn_pos_3")</f>
        <v>pd_c_nqn_pos_3</v>
      </c>
      <c r="B1731" s="13" t="str">
        <f ca="1">IFERROR(__xludf.DUMMYFUNCTION("""COMPUTED_VALUE"""),"Значение +NQN. Фаза C. Точка 3")</f>
        <v>Значение +NQN. Фаза C. Точка 3</v>
      </c>
    </row>
    <row r="1732" spans="1:2" ht="15.75" customHeight="1" x14ac:dyDescent="0.25">
      <c r="A1732" s="13" t="str">
        <f ca="1">IFERROR(__xludf.DUMMYFUNCTION("""COMPUTED_VALUE"""),"pd_c_nqn_pos_4")</f>
        <v>pd_c_nqn_pos_4</v>
      </c>
      <c r="B1732" s="13" t="str">
        <f ca="1">IFERROR(__xludf.DUMMYFUNCTION("""COMPUTED_VALUE"""),"Значение +NQN. Фаза C. Точка 4")</f>
        <v>Значение +NQN. Фаза C. Точка 4</v>
      </c>
    </row>
    <row r="1733" spans="1:2" ht="15.75" customHeight="1" x14ac:dyDescent="0.25">
      <c r="A1733" s="13" t="str">
        <f ca="1">IFERROR(__xludf.DUMMYFUNCTION("""COMPUTED_VALUE"""),"pd_c_qm_neg_1")</f>
        <v>pd_c_qm_neg_1</v>
      </c>
      <c r="B1733" s="13" t="str">
        <f ca="1">IFERROR(__xludf.DUMMYFUNCTION("""COMPUTED_VALUE"""),"Значение -Qm. Фаза C. Точка 1")</f>
        <v>Значение -Qm. Фаза C. Точка 1</v>
      </c>
    </row>
    <row r="1734" spans="1:2" ht="15.75" customHeight="1" x14ac:dyDescent="0.25">
      <c r="A1734" s="13" t="str">
        <f ca="1">IFERROR(__xludf.DUMMYFUNCTION("""COMPUTED_VALUE"""),"pd_c_qm_neg_2")</f>
        <v>pd_c_qm_neg_2</v>
      </c>
      <c r="B1734" s="13" t="str">
        <f ca="1">IFERROR(__xludf.DUMMYFUNCTION("""COMPUTED_VALUE"""),"Значение -Qm. Фаза C. Точка 2")</f>
        <v>Значение -Qm. Фаза C. Точка 2</v>
      </c>
    </row>
    <row r="1735" spans="1:2" ht="15.75" customHeight="1" x14ac:dyDescent="0.25">
      <c r="A1735" s="13" t="str">
        <f ca="1">IFERROR(__xludf.DUMMYFUNCTION("""COMPUTED_VALUE"""),"pd_c_qm_neg_3")</f>
        <v>pd_c_qm_neg_3</v>
      </c>
      <c r="B1735" s="13" t="str">
        <f ca="1">IFERROR(__xludf.DUMMYFUNCTION("""COMPUTED_VALUE"""),"Значение -Qm. Фаза C. Точка 3")</f>
        <v>Значение -Qm. Фаза C. Точка 3</v>
      </c>
    </row>
    <row r="1736" spans="1:2" ht="15.75" customHeight="1" x14ac:dyDescent="0.25">
      <c r="A1736" s="13" t="str">
        <f ca="1">IFERROR(__xludf.DUMMYFUNCTION("""COMPUTED_VALUE"""),"pd_c_qm_neg_4")</f>
        <v>pd_c_qm_neg_4</v>
      </c>
      <c r="B1736" s="13" t="str">
        <f ca="1">IFERROR(__xludf.DUMMYFUNCTION("""COMPUTED_VALUE"""),"Значение -Qm. Фаза C. Точка 4")</f>
        <v>Значение -Qm. Фаза C. Точка 4</v>
      </c>
    </row>
    <row r="1737" spans="1:2" ht="15.75" customHeight="1" x14ac:dyDescent="0.25">
      <c r="A1737" s="13" t="str">
        <f ca="1">IFERROR(__xludf.DUMMYFUNCTION("""COMPUTED_VALUE"""),"pd_c_qm_pos_1")</f>
        <v>pd_c_qm_pos_1</v>
      </c>
      <c r="B1737" s="13" t="str">
        <f ca="1">IFERROR(__xludf.DUMMYFUNCTION("""COMPUTED_VALUE"""),"Значение +Qm. Фаза C. Точка 1")</f>
        <v>Значение +Qm. Фаза C. Точка 1</v>
      </c>
    </row>
    <row r="1738" spans="1:2" ht="15.75" customHeight="1" x14ac:dyDescent="0.25">
      <c r="A1738" s="13" t="str">
        <f ca="1">IFERROR(__xludf.DUMMYFUNCTION("""COMPUTED_VALUE"""),"pd_c_qm_pos_2")</f>
        <v>pd_c_qm_pos_2</v>
      </c>
      <c r="B1738" s="13" t="str">
        <f ca="1">IFERROR(__xludf.DUMMYFUNCTION("""COMPUTED_VALUE"""),"Значение +Qm. Фаза C. Точка 2")</f>
        <v>Значение +Qm. Фаза C. Точка 2</v>
      </c>
    </row>
    <row r="1739" spans="1:2" ht="15.75" customHeight="1" x14ac:dyDescent="0.25">
      <c r="A1739" s="13" t="str">
        <f ca="1">IFERROR(__xludf.DUMMYFUNCTION("""COMPUTED_VALUE"""),"pd_c_qm_pos_3")</f>
        <v>pd_c_qm_pos_3</v>
      </c>
      <c r="B1739" s="13" t="str">
        <f ca="1">IFERROR(__xludf.DUMMYFUNCTION("""COMPUTED_VALUE"""),"Значение +Qm. Фаза C. Точка 3")</f>
        <v>Значение +Qm. Фаза C. Точка 3</v>
      </c>
    </row>
    <row r="1740" spans="1:2" ht="15.75" customHeight="1" x14ac:dyDescent="0.25">
      <c r="A1740" s="13" t="str">
        <f ca="1">IFERROR(__xludf.DUMMYFUNCTION("""COMPUTED_VALUE"""),"pd_c_qm_pos_4")</f>
        <v>pd_c_qm_pos_4</v>
      </c>
      <c r="B1740" s="13" t="str">
        <f ca="1">IFERROR(__xludf.DUMMYFUNCTION("""COMPUTED_VALUE"""),"Значение +Qm. Фаза C. Точка 4")</f>
        <v>Значение +Qm. Фаза C. Точка 4</v>
      </c>
    </row>
    <row r="1741" spans="1:2" ht="15.75" customHeight="1" x14ac:dyDescent="0.25">
      <c r="A1741" s="13" t="str">
        <f ca="1">IFERROR(__xludf.DUMMYFUNCTION("""COMPUTED_VALUE"""),"pd_defect_1")</f>
        <v>pd_defect_1</v>
      </c>
      <c r="B1741" s="13" t="str">
        <f ca="1">IFERROR(__xludf.DUMMYFUNCTION("""COMPUTED_VALUE"""),"Тип ЧР в КРУЭ, датчик 1")</f>
        <v>Тип ЧР в КРУЭ, датчик 1</v>
      </c>
    </row>
    <row r="1742" spans="1:2" ht="15.75" customHeight="1" x14ac:dyDescent="0.25">
      <c r="A1742" s="13" t="str">
        <f ca="1">IFERROR(__xludf.DUMMYFUNCTION("""COMPUTED_VALUE"""),"pd_defect_10")</f>
        <v>pd_defect_10</v>
      </c>
      <c r="B1742" s="13" t="str">
        <f ca="1">IFERROR(__xludf.DUMMYFUNCTION("""COMPUTED_VALUE"""),"Тип ЧР в КРУЭ, датчик 10")</f>
        <v>Тип ЧР в КРУЭ, датчик 10</v>
      </c>
    </row>
    <row r="1743" spans="1:2" ht="15.75" customHeight="1" x14ac:dyDescent="0.25">
      <c r="A1743" s="13" t="str">
        <f ca="1">IFERROR(__xludf.DUMMYFUNCTION("""COMPUTED_VALUE"""),"pd_defect_2")</f>
        <v>pd_defect_2</v>
      </c>
      <c r="B1743" s="13" t="str">
        <f ca="1">IFERROR(__xludf.DUMMYFUNCTION("""COMPUTED_VALUE"""),"Тип ЧР в КРУЭ, датчик 2")</f>
        <v>Тип ЧР в КРУЭ, датчик 2</v>
      </c>
    </row>
    <row r="1744" spans="1:2" ht="15.75" customHeight="1" x14ac:dyDescent="0.25">
      <c r="A1744" s="13" t="str">
        <f ca="1">IFERROR(__xludf.DUMMYFUNCTION("""COMPUTED_VALUE"""),"pd_defect_3")</f>
        <v>pd_defect_3</v>
      </c>
      <c r="B1744" s="13" t="str">
        <f ca="1">IFERROR(__xludf.DUMMYFUNCTION("""COMPUTED_VALUE"""),"Тип ЧР в КРУЭ, датчик 3")</f>
        <v>Тип ЧР в КРУЭ, датчик 3</v>
      </c>
    </row>
    <row r="1745" spans="1:2" ht="15.75" customHeight="1" x14ac:dyDescent="0.25">
      <c r="A1745" s="13" t="str">
        <f ca="1">IFERROR(__xludf.DUMMYFUNCTION("""COMPUTED_VALUE"""),"pd_defect_4")</f>
        <v>pd_defect_4</v>
      </c>
      <c r="B1745" s="13" t="str">
        <f ca="1">IFERROR(__xludf.DUMMYFUNCTION("""COMPUTED_VALUE"""),"Тип ЧР в КРУЭ, датчик 4")</f>
        <v>Тип ЧР в КРУЭ, датчик 4</v>
      </c>
    </row>
    <row r="1746" spans="1:2" ht="15.75" customHeight="1" x14ac:dyDescent="0.25">
      <c r="A1746" s="13" t="str">
        <f ca="1">IFERROR(__xludf.DUMMYFUNCTION("""COMPUTED_VALUE"""),"pd_defect_5")</f>
        <v>pd_defect_5</v>
      </c>
      <c r="B1746" s="13" t="str">
        <f ca="1">IFERROR(__xludf.DUMMYFUNCTION("""COMPUTED_VALUE"""),"Тип ЧР в КРУЭ, датчик 5")</f>
        <v>Тип ЧР в КРУЭ, датчик 5</v>
      </c>
    </row>
    <row r="1747" spans="1:2" ht="15.75" customHeight="1" x14ac:dyDescent="0.25">
      <c r="A1747" s="13" t="str">
        <f ca="1">IFERROR(__xludf.DUMMYFUNCTION("""COMPUTED_VALUE"""),"pd_defect_6")</f>
        <v>pd_defect_6</v>
      </c>
      <c r="B1747" s="13" t="str">
        <f ca="1">IFERROR(__xludf.DUMMYFUNCTION("""COMPUTED_VALUE"""),"Тип ЧР в КРУЭ, датчик 6")</f>
        <v>Тип ЧР в КРУЭ, датчик 6</v>
      </c>
    </row>
    <row r="1748" spans="1:2" ht="15.75" customHeight="1" x14ac:dyDescent="0.25">
      <c r="A1748" s="13" t="str">
        <f ca="1">IFERROR(__xludf.DUMMYFUNCTION("""COMPUTED_VALUE"""),"pd_defect_7")</f>
        <v>pd_defect_7</v>
      </c>
      <c r="B1748" s="13" t="str">
        <f ca="1">IFERROR(__xludf.DUMMYFUNCTION("""COMPUTED_VALUE"""),"Тип ЧР в КРУЭ, датчик 7")</f>
        <v>Тип ЧР в КРУЭ, датчик 7</v>
      </c>
    </row>
    <row r="1749" spans="1:2" ht="15.75" customHeight="1" x14ac:dyDescent="0.25">
      <c r="A1749" s="13" t="str">
        <f ca="1">IFERROR(__xludf.DUMMYFUNCTION("""COMPUTED_VALUE"""),"pd_defect_8")</f>
        <v>pd_defect_8</v>
      </c>
      <c r="B1749" s="13" t="str">
        <f ca="1">IFERROR(__xludf.DUMMYFUNCTION("""COMPUTED_VALUE"""),"Тип ЧР в КРУЭ, датчик 8")</f>
        <v>Тип ЧР в КРУЭ, датчик 8</v>
      </c>
    </row>
    <row r="1750" spans="1:2" ht="15.75" customHeight="1" x14ac:dyDescent="0.25">
      <c r="A1750" s="13" t="str">
        <f ca="1">IFERROR(__xludf.DUMMYFUNCTION("""COMPUTED_VALUE"""),"pd_defect_9")</f>
        <v>pd_defect_9</v>
      </c>
      <c r="B1750" s="13" t="str">
        <f ca="1">IFERROR(__xludf.DUMMYFUNCTION("""COMPUTED_VALUE"""),"Тип ЧР в КРУЭ, датчик 9")</f>
        <v>Тип ЧР в КРУЭ, датчик 9</v>
      </c>
    </row>
    <row r="1751" spans="1:2" ht="15.75" customHeight="1" x14ac:dyDescent="0.25">
      <c r="A1751" s="13" t="str">
        <f ca="1">IFERROR(__xludf.DUMMYFUNCTION("""COMPUTED_VALUE"""),"pd_gis_intensity_1")</f>
        <v>pd_gis_intensity_1</v>
      </c>
      <c r="B1751" s="13" t="str">
        <f ca="1">IFERROR(__xludf.DUMMYFUNCTION("""COMPUTED_VALUE"""),"Интенсивность ЧР  КРУЭ, датчик 1")</f>
        <v>Интенсивность ЧР  КРУЭ, датчик 1</v>
      </c>
    </row>
    <row r="1752" spans="1:2" ht="15.75" customHeight="1" x14ac:dyDescent="0.25">
      <c r="A1752" s="13" t="str">
        <f ca="1">IFERROR(__xludf.DUMMYFUNCTION("""COMPUTED_VALUE"""),"pd_gis_intensity_10")</f>
        <v>pd_gis_intensity_10</v>
      </c>
      <c r="B1752" s="13" t="str">
        <f ca="1">IFERROR(__xludf.DUMMYFUNCTION("""COMPUTED_VALUE"""),"Интенсивность ЧР  КРУЭ, датчик 10")</f>
        <v>Интенсивность ЧР  КРУЭ, датчик 10</v>
      </c>
    </row>
    <row r="1753" spans="1:2" ht="15.75" customHeight="1" x14ac:dyDescent="0.25">
      <c r="A1753" s="13" t="str">
        <f ca="1">IFERROR(__xludf.DUMMYFUNCTION("""COMPUTED_VALUE"""),"pd_gis_intensity_2")</f>
        <v>pd_gis_intensity_2</v>
      </c>
      <c r="B1753" s="13" t="str">
        <f ca="1">IFERROR(__xludf.DUMMYFUNCTION("""COMPUTED_VALUE"""),"Интенсивность ЧР  КРУЭ, датчик 2")</f>
        <v>Интенсивность ЧР  КРУЭ, датчик 2</v>
      </c>
    </row>
    <row r="1754" spans="1:2" ht="15.75" customHeight="1" x14ac:dyDescent="0.25">
      <c r="A1754" s="13" t="str">
        <f ca="1">IFERROR(__xludf.DUMMYFUNCTION("""COMPUTED_VALUE"""),"pd_gis_intensity_3")</f>
        <v>pd_gis_intensity_3</v>
      </c>
      <c r="B1754" s="13" t="str">
        <f ca="1">IFERROR(__xludf.DUMMYFUNCTION("""COMPUTED_VALUE"""),"Интенсивность ЧР  КРУЭ, датчик 3")</f>
        <v>Интенсивность ЧР  КРУЭ, датчик 3</v>
      </c>
    </row>
    <row r="1755" spans="1:2" ht="15.75" customHeight="1" x14ac:dyDescent="0.25">
      <c r="A1755" s="13" t="str">
        <f ca="1">IFERROR(__xludf.DUMMYFUNCTION("""COMPUTED_VALUE"""),"pd_gis_intensity_4")</f>
        <v>pd_gis_intensity_4</v>
      </c>
      <c r="B1755" s="13" t="str">
        <f ca="1">IFERROR(__xludf.DUMMYFUNCTION("""COMPUTED_VALUE"""),"Интенсивность ЧР  КРУЭ, датчик 4")</f>
        <v>Интенсивность ЧР  КРУЭ, датчик 4</v>
      </c>
    </row>
    <row r="1756" spans="1:2" ht="15.75" customHeight="1" x14ac:dyDescent="0.25">
      <c r="A1756" s="13" t="str">
        <f ca="1">IFERROR(__xludf.DUMMYFUNCTION("""COMPUTED_VALUE"""),"pd_gis_intensity_5")</f>
        <v>pd_gis_intensity_5</v>
      </c>
      <c r="B1756" s="13" t="str">
        <f ca="1">IFERROR(__xludf.DUMMYFUNCTION("""COMPUTED_VALUE"""),"Интенсивность ЧР  КРУЭ, датчик 5")</f>
        <v>Интенсивность ЧР  КРУЭ, датчик 5</v>
      </c>
    </row>
    <row r="1757" spans="1:2" ht="15.75" customHeight="1" x14ac:dyDescent="0.25">
      <c r="A1757" s="13" t="str">
        <f ca="1">IFERROR(__xludf.DUMMYFUNCTION("""COMPUTED_VALUE"""),"pd_gis_intensity_6")</f>
        <v>pd_gis_intensity_6</v>
      </c>
      <c r="B1757" s="13" t="str">
        <f ca="1">IFERROR(__xludf.DUMMYFUNCTION("""COMPUTED_VALUE"""),"Интенсивность ЧР  КРУЭ, датчик 6")</f>
        <v>Интенсивность ЧР  КРУЭ, датчик 6</v>
      </c>
    </row>
    <row r="1758" spans="1:2" ht="15.75" customHeight="1" x14ac:dyDescent="0.25">
      <c r="A1758" s="13" t="str">
        <f ca="1">IFERROR(__xludf.DUMMYFUNCTION("""COMPUTED_VALUE"""),"pd_gis_intensity_7")</f>
        <v>pd_gis_intensity_7</v>
      </c>
      <c r="B1758" s="13" t="str">
        <f ca="1">IFERROR(__xludf.DUMMYFUNCTION("""COMPUTED_VALUE"""),"Интенсивность ЧР  КРУЭ, датчик 7")</f>
        <v>Интенсивность ЧР  КРУЭ, датчик 7</v>
      </c>
    </row>
    <row r="1759" spans="1:2" ht="15.75" customHeight="1" x14ac:dyDescent="0.25">
      <c r="A1759" s="13" t="str">
        <f ca="1">IFERROR(__xludf.DUMMYFUNCTION("""COMPUTED_VALUE"""),"pd_gis_intensity_8")</f>
        <v>pd_gis_intensity_8</v>
      </c>
      <c r="B1759" s="13" t="str">
        <f ca="1">IFERROR(__xludf.DUMMYFUNCTION("""COMPUTED_VALUE"""),"Интенсивность ЧР  КРУЭ, датчик 8")</f>
        <v>Интенсивность ЧР  КРУЭ, датчик 8</v>
      </c>
    </row>
    <row r="1760" spans="1:2" ht="15.75" customHeight="1" x14ac:dyDescent="0.25">
      <c r="A1760" s="13" t="str">
        <f ca="1">IFERROR(__xludf.DUMMYFUNCTION("""COMPUTED_VALUE"""),"pd_gis_intensity_9")</f>
        <v>pd_gis_intensity_9</v>
      </c>
      <c r="B1760" s="13" t="str">
        <f ca="1">IFERROR(__xludf.DUMMYFUNCTION("""COMPUTED_VALUE"""),"Интенсивность ЧР  КРУЭ, датчик 9")</f>
        <v>Интенсивность ЧР  КРУЭ, датчик 9</v>
      </c>
    </row>
    <row r="1761" spans="1:2" ht="15.75" customHeight="1" x14ac:dyDescent="0.25">
      <c r="A1761" s="13" t="str">
        <f ca="1">IFERROR(__xludf.DUMMYFUNCTION("""COMPUTED_VALUE"""),"pd_gis_level_1")</f>
        <v>pd_gis_level_1</v>
      </c>
      <c r="B1761" s="13" t="str">
        <f ca="1">IFERROR(__xludf.DUMMYFUNCTION("""COMPUTED_VALUE"""),"Уровень ЧР КРУЭ, датчик 1")</f>
        <v>Уровень ЧР КРУЭ, датчик 1</v>
      </c>
    </row>
    <row r="1762" spans="1:2" ht="15.75" customHeight="1" x14ac:dyDescent="0.25">
      <c r="A1762" s="13" t="str">
        <f ca="1">IFERROR(__xludf.DUMMYFUNCTION("""COMPUTED_VALUE"""),"pd_gis_level_10")</f>
        <v>pd_gis_level_10</v>
      </c>
      <c r="B1762" s="13" t="str">
        <f ca="1">IFERROR(__xludf.DUMMYFUNCTION("""COMPUTED_VALUE"""),"Уровень ЧР КРУЭ, датчик 10")</f>
        <v>Уровень ЧР КРУЭ, датчик 10</v>
      </c>
    </row>
    <row r="1763" spans="1:2" ht="15.75" customHeight="1" x14ac:dyDescent="0.25">
      <c r="A1763" s="13" t="str">
        <f ca="1">IFERROR(__xludf.DUMMYFUNCTION("""COMPUTED_VALUE"""),"pd_gis_level_2")</f>
        <v>pd_gis_level_2</v>
      </c>
      <c r="B1763" s="13" t="str">
        <f ca="1">IFERROR(__xludf.DUMMYFUNCTION("""COMPUTED_VALUE"""),"Уровень ЧР КРУЭ, датчик 2")</f>
        <v>Уровень ЧР КРУЭ, датчик 2</v>
      </c>
    </row>
    <row r="1764" spans="1:2" ht="15.75" customHeight="1" x14ac:dyDescent="0.25">
      <c r="A1764" s="13" t="str">
        <f ca="1">IFERROR(__xludf.DUMMYFUNCTION("""COMPUTED_VALUE"""),"pd_gis_level_3")</f>
        <v>pd_gis_level_3</v>
      </c>
      <c r="B1764" s="13" t="str">
        <f ca="1">IFERROR(__xludf.DUMMYFUNCTION("""COMPUTED_VALUE"""),"Уровень ЧР КРУЭ, датчик 3")</f>
        <v>Уровень ЧР КРУЭ, датчик 3</v>
      </c>
    </row>
    <row r="1765" spans="1:2" ht="15.75" customHeight="1" x14ac:dyDescent="0.25">
      <c r="A1765" s="13" t="str">
        <f ca="1">IFERROR(__xludf.DUMMYFUNCTION("""COMPUTED_VALUE"""),"pd_gis_level_4")</f>
        <v>pd_gis_level_4</v>
      </c>
      <c r="B1765" s="13" t="str">
        <f ca="1">IFERROR(__xludf.DUMMYFUNCTION("""COMPUTED_VALUE"""),"Уровень ЧР КРУЭ, датчик 4")</f>
        <v>Уровень ЧР КРУЭ, датчик 4</v>
      </c>
    </row>
    <row r="1766" spans="1:2" ht="15.75" customHeight="1" x14ac:dyDescent="0.25">
      <c r="A1766" s="13" t="str">
        <f ca="1">IFERROR(__xludf.DUMMYFUNCTION("""COMPUTED_VALUE"""),"pd_gis_level_5")</f>
        <v>pd_gis_level_5</v>
      </c>
      <c r="B1766" s="13" t="str">
        <f ca="1">IFERROR(__xludf.DUMMYFUNCTION("""COMPUTED_VALUE"""),"Уровень ЧР КРУЭ, датчик 5")</f>
        <v>Уровень ЧР КРУЭ, датчик 5</v>
      </c>
    </row>
    <row r="1767" spans="1:2" ht="15.75" customHeight="1" x14ac:dyDescent="0.25">
      <c r="A1767" s="13" t="str">
        <f ca="1">IFERROR(__xludf.DUMMYFUNCTION("""COMPUTED_VALUE"""),"pd_gis_level_6")</f>
        <v>pd_gis_level_6</v>
      </c>
      <c r="B1767" s="13" t="str">
        <f ca="1">IFERROR(__xludf.DUMMYFUNCTION("""COMPUTED_VALUE"""),"Уровень ЧР КРУЭ, датчик 6")</f>
        <v>Уровень ЧР КРУЭ, датчик 6</v>
      </c>
    </row>
    <row r="1768" spans="1:2" ht="15.75" customHeight="1" x14ac:dyDescent="0.25">
      <c r="A1768" s="13" t="str">
        <f ca="1">IFERROR(__xludf.DUMMYFUNCTION("""COMPUTED_VALUE"""),"pd_gis_level_7")</f>
        <v>pd_gis_level_7</v>
      </c>
      <c r="B1768" s="13" t="str">
        <f ca="1">IFERROR(__xludf.DUMMYFUNCTION("""COMPUTED_VALUE"""),"Уровень ЧР КРУЭ, датчик 7")</f>
        <v>Уровень ЧР КРУЭ, датчик 7</v>
      </c>
    </row>
    <row r="1769" spans="1:2" ht="15.75" customHeight="1" x14ac:dyDescent="0.25">
      <c r="A1769" s="13" t="str">
        <f ca="1">IFERROR(__xludf.DUMMYFUNCTION("""COMPUTED_VALUE"""),"pd_gis_level_8")</f>
        <v>pd_gis_level_8</v>
      </c>
      <c r="B1769" s="13" t="str">
        <f ca="1">IFERROR(__xludf.DUMMYFUNCTION("""COMPUTED_VALUE"""),"Уровень ЧР КРУЭ, датчик 8")</f>
        <v>Уровень ЧР КРУЭ, датчик 8</v>
      </c>
    </row>
    <row r="1770" spans="1:2" ht="15.75" customHeight="1" x14ac:dyDescent="0.25">
      <c r="A1770" s="13" t="str">
        <f ca="1">IFERROR(__xludf.DUMMYFUNCTION("""COMPUTED_VALUE"""),"pd_gis_level_9")</f>
        <v>pd_gis_level_9</v>
      </c>
      <c r="B1770" s="13" t="str">
        <f ca="1">IFERROR(__xludf.DUMMYFUNCTION("""COMPUTED_VALUE"""),"Уровень ЧР КРУЭ, датчик 9")</f>
        <v>Уровень ЧР КРУЭ, датчик 9</v>
      </c>
    </row>
    <row r="1771" spans="1:2" ht="15.75" customHeight="1" x14ac:dyDescent="0.25">
      <c r="A1771" s="13" t="str">
        <f ca="1">IFERROR(__xludf.DUMMYFUNCTION("""COMPUTED_VALUE"""),"pd_intensity_1_roc_rel_month")</f>
        <v>pd_intensity_1_roc_rel_month</v>
      </c>
      <c r="B1771" s="13" t="str">
        <f ca="1">IFERROR(__xludf.DUMMYFUNCTION("""COMPUTED_VALUE"""),"Относительное изменение интенсивности ЧР в КРУЭ за месяц, датчик 1")</f>
        <v>Относительное изменение интенсивности ЧР в КРУЭ за месяц, датчик 1</v>
      </c>
    </row>
    <row r="1772" spans="1:2" ht="15.75" customHeight="1" x14ac:dyDescent="0.25">
      <c r="A1772" s="13" t="str">
        <f ca="1">IFERROR(__xludf.DUMMYFUNCTION("""COMPUTED_VALUE"""),"pd_intensity_10_roc_rel_month")</f>
        <v>pd_intensity_10_roc_rel_month</v>
      </c>
      <c r="B1772" s="13" t="str">
        <f ca="1">IFERROR(__xludf.DUMMYFUNCTION("""COMPUTED_VALUE"""),"Относительное изменение интенсивности ЧР в КРУЭ за месяц, датчик 10")</f>
        <v>Относительное изменение интенсивности ЧР в КРУЭ за месяц, датчик 10</v>
      </c>
    </row>
    <row r="1773" spans="1:2" ht="15.75" customHeight="1" x14ac:dyDescent="0.25">
      <c r="A1773" s="13" t="str">
        <f ca="1">IFERROR(__xludf.DUMMYFUNCTION("""COMPUTED_VALUE"""),"pd_intensity_2_roc_rel_month")</f>
        <v>pd_intensity_2_roc_rel_month</v>
      </c>
      <c r="B1773" s="13" t="str">
        <f ca="1">IFERROR(__xludf.DUMMYFUNCTION("""COMPUTED_VALUE"""),"Относительное изменение интенсивности ЧР в КРУЭ за месяц, датчик 2")</f>
        <v>Относительное изменение интенсивности ЧР в КРУЭ за месяц, датчик 2</v>
      </c>
    </row>
    <row r="1774" spans="1:2" ht="15.75" customHeight="1" x14ac:dyDescent="0.25">
      <c r="A1774" s="13" t="str">
        <f ca="1">IFERROR(__xludf.DUMMYFUNCTION("""COMPUTED_VALUE"""),"pd_intensity_3_roc_rel_month")</f>
        <v>pd_intensity_3_roc_rel_month</v>
      </c>
      <c r="B1774" s="13" t="str">
        <f ca="1">IFERROR(__xludf.DUMMYFUNCTION("""COMPUTED_VALUE"""),"Относительное изменение интенсивности ЧР в КРУЭ за месяц, датчик 3")</f>
        <v>Относительное изменение интенсивности ЧР в КРУЭ за месяц, датчик 3</v>
      </c>
    </row>
    <row r="1775" spans="1:2" ht="15.75" customHeight="1" x14ac:dyDescent="0.25">
      <c r="A1775" s="13" t="str">
        <f ca="1">IFERROR(__xludf.DUMMYFUNCTION("""COMPUTED_VALUE"""),"pd_intensity_4_roc_rel_month")</f>
        <v>pd_intensity_4_roc_rel_month</v>
      </c>
      <c r="B1775" s="13" t="str">
        <f ca="1">IFERROR(__xludf.DUMMYFUNCTION("""COMPUTED_VALUE"""),"Относительное изменение интенсивности ЧР в КРУЭ за месяц, датчик 4")</f>
        <v>Относительное изменение интенсивности ЧР в КРУЭ за месяц, датчик 4</v>
      </c>
    </row>
    <row r="1776" spans="1:2" ht="15.75" customHeight="1" x14ac:dyDescent="0.25">
      <c r="A1776" s="13" t="str">
        <f ca="1">IFERROR(__xludf.DUMMYFUNCTION("""COMPUTED_VALUE"""),"pd_intensity_5_roc_rel_month")</f>
        <v>pd_intensity_5_roc_rel_month</v>
      </c>
      <c r="B1776" s="13" t="str">
        <f ca="1">IFERROR(__xludf.DUMMYFUNCTION("""COMPUTED_VALUE"""),"Относительное изменение интенсивности ЧР в КРУЭ за месяц, датчик 5")</f>
        <v>Относительное изменение интенсивности ЧР в КРУЭ за месяц, датчик 5</v>
      </c>
    </row>
    <row r="1777" spans="1:2" ht="15.75" customHeight="1" x14ac:dyDescent="0.25">
      <c r="A1777" s="13" t="str">
        <f ca="1">IFERROR(__xludf.DUMMYFUNCTION("""COMPUTED_VALUE"""),"pd_intensity_6_roc_rel_month")</f>
        <v>pd_intensity_6_roc_rel_month</v>
      </c>
      <c r="B1777" s="13" t="str">
        <f ca="1">IFERROR(__xludf.DUMMYFUNCTION("""COMPUTED_VALUE"""),"Относительное изменение интенсивности ЧР в КРУЭ за месяц, датчик 6")</f>
        <v>Относительное изменение интенсивности ЧР в КРУЭ за месяц, датчик 6</v>
      </c>
    </row>
    <row r="1778" spans="1:2" ht="15.75" customHeight="1" x14ac:dyDescent="0.25">
      <c r="A1778" s="13" t="str">
        <f ca="1">IFERROR(__xludf.DUMMYFUNCTION("""COMPUTED_VALUE"""),"pd_intensity_7_roc_rel_month")</f>
        <v>pd_intensity_7_roc_rel_month</v>
      </c>
      <c r="B1778" s="13" t="str">
        <f ca="1">IFERROR(__xludf.DUMMYFUNCTION("""COMPUTED_VALUE"""),"Относительное изменение интенсивности ЧР в КРУЭ за месяц, датчик 7")</f>
        <v>Относительное изменение интенсивности ЧР в КРУЭ за месяц, датчик 7</v>
      </c>
    </row>
    <row r="1779" spans="1:2" ht="15.75" customHeight="1" x14ac:dyDescent="0.25">
      <c r="A1779" s="13" t="str">
        <f ca="1">IFERROR(__xludf.DUMMYFUNCTION("""COMPUTED_VALUE"""),"pd_intensity_8_roc_rel_month")</f>
        <v>pd_intensity_8_roc_rel_month</v>
      </c>
      <c r="B1779" s="13" t="str">
        <f ca="1">IFERROR(__xludf.DUMMYFUNCTION("""COMPUTED_VALUE"""),"Относительное изменение интенсивности ЧР в КРУЭ за месяц, датчик 8")</f>
        <v>Относительное изменение интенсивности ЧР в КРУЭ за месяц, датчик 8</v>
      </c>
    </row>
    <row r="1780" spans="1:2" ht="15.75" customHeight="1" x14ac:dyDescent="0.25">
      <c r="A1780" s="13" t="str">
        <f ca="1">IFERROR(__xludf.DUMMYFUNCTION("""COMPUTED_VALUE"""),"pd_intensity_9_roc_rel_month")</f>
        <v>pd_intensity_9_roc_rel_month</v>
      </c>
      <c r="B1780" s="13" t="str">
        <f ca="1">IFERROR(__xludf.DUMMYFUNCTION("""COMPUTED_VALUE"""),"Относительное изменение интенсивности ЧР в КРУЭ за месяц, датчик 9")</f>
        <v>Относительное изменение интенсивности ЧР в КРУЭ за месяц, датчик 9</v>
      </c>
    </row>
    <row r="1781" spans="1:2" ht="15.75" customHeight="1" x14ac:dyDescent="0.25">
      <c r="A1781" s="13" t="str">
        <f ca="1">IFERROR(__xludf.DUMMYFUNCTION("""COMPUTED_VALUE"""),"pd_intensity_lim0")</f>
        <v>pd_intensity_lim0</v>
      </c>
      <c r="B1781" s="13" t="str">
        <f ca="1">IFERROR(__xludf.DUMMYFUNCTION("""COMPUTED_VALUE"""),"ДЗ интенсивности ЧР в КРУЭ")</f>
        <v>ДЗ интенсивности ЧР в КРУЭ</v>
      </c>
    </row>
    <row r="1782" spans="1:2" ht="15.75" customHeight="1" x14ac:dyDescent="0.25">
      <c r="A1782" s="13" t="str">
        <f ca="1">IFERROR(__xludf.DUMMYFUNCTION("""COMPUTED_VALUE"""),"pd_intensity_lim0_manual")</f>
        <v>pd_intensity_lim0_manual</v>
      </c>
      <c r="B1782" s="13" t="str">
        <f ca="1">IFERROR(__xludf.DUMMYFUNCTION("""COMPUTED_VALUE"""),"ДЗ интенсивности ЧР в КРУЭ, ручные")</f>
        <v>ДЗ интенсивности ЧР в КРУЭ, ручные</v>
      </c>
    </row>
    <row r="1783" spans="1:2" ht="15.75" customHeight="1" x14ac:dyDescent="0.25">
      <c r="A1783" s="13" t="str">
        <f ca="1">IFERROR(__xludf.DUMMYFUNCTION("""COMPUTED_VALUE"""),"pd_intensity_lim1")</f>
        <v>pd_intensity_lim1</v>
      </c>
      <c r="B1783" s="13" t="str">
        <f ca="1">IFERROR(__xludf.DUMMYFUNCTION("""COMPUTED_VALUE"""),"ПДЗ интенсивности ЧР в КРУЭ")</f>
        <v>ПДЗ интенсивности ЧР в КРУЭ</v>
      </c>
    </row>
    <row r="1784" spans="1:2" ht="15.75" customHeight="1" x14ac:dyDescent="0.25">
      <c r="A1784" s="13" t="str">
        <f ca="1">IFERROR(__xludf.DUMMYFUNCTION("""COMPUTED_VALUE"""),"pd_intensity_lim1_manual")</f>
        <v>pd_intensity_lim1_manual</v>
      </c>
      <c r="B1784" s="13" t="str">
        <f ca="1">IFERROR(__xludf.DUMMYFUNCTION("""COMPUTED_VALUE"""),"ПДЗ интенсивности ЧР в КРУЭ, ручные")</f>
        <v>ПДЗ интенсивности ЧР в КРУЭ, ручные</v>
      </c>
    </row>
    <row r="1785" spans="1:2" ht="15.75" customHeight="1" x14ac:dyDescent="0.25">
      <c r="A1785" s="13" t="str">
        <f ca="1">IFERROR(__xludf.DUMMYFUNCTION("""COMPUTED_VALUE"""),"pd_intensity_roc_rel_month_lim0")</f>
        <v>pd_intensity_roc_rel_month_lim0</v>
      </c>
      <c r="B1785" s="13" t="str">
        <f ca="1">IFERROR(__xludf.DUMMYFUNCTION("""COMPUTED_VALUE"""),"ДЗ изменения интенсивности ЧР в КРУЭ за месяц")</f>
        <v>ДЗ изменения интенсивности ЧР в КРУЭ за месяц</v>
      </c>
    </row>
    <row r="1786" spans="1:2" ht="15.75" customHeight="1" x14ac:dyDescent="0.25">
      <c r="A1786" s="13" t="str">
        <f ca="1">IFERROR(__xludf.DUMMYFUNCTION("""COMPUTED_VALUE"""),"pd_intensity_roc_rel_month_lim0_manual")</f>
        <v>pd_intensity_roc_rel_month_lim0_manual</v>
      </c>
      <c r="B1786" s="13" t="str">
        <f ca="1">IFERROR(__xludf.DUMMYFUNCTION("""COMPUTED_VALUE"""),"ДЗ изменения интенсивности ЧР в КРУЭ за месяц, ручные")</f>
        <v>ДЗ изменения интенсивности ЧР в КРУЭ за месяц, ручные</v>
      </c>
    </row>
    <row r="1787" spans="1:2" ht="15.75" customHeight="1" x14ac:dyDescent="0.25">
      <c r="A1787" s="13" t="str">
        <f ca="1">IFERROR(__xludf.DUMMYFUNCTION("""COMPUTED_VALUE"""),"pd_intensity_roc_rel_month_lim1")</f>
        <v>pd_intensity_roc_rel_month_lim1</v>
      </c>
      <c r="B1787" s="13" t="str">
        <f ca="1">IFERROR(__xludf.DUMMYFUNCTION("""COMPUTED_VALUE"""),"ПДЗ изменения интенсивности ЧР в КРУЭ за месяц")</f>
        <v>ПДЗ изменения интенсивности ЧР в КРУЭ за месяц</v>
      </c>
    </row>
    <row r="1788" spans="1:2" ht="15.75" customHeight="1" x14ac:dyDescent="0.25">
      <c r="A1788" s="13" t="str">
        <f ca="1">IFERROR(__xludf.DUMMYFUNCTION("""COMPUTED_VALUE"""),"pd_intensity_roc_rel_month_lim1_manual")</f>
        <v>pd_intensity_roc_rel_month_lim1_manual</v>
      </c>
      <c r="B1788" s="13" t="str">
        <f ca="1">IFERROR(__xludf.DUMMYFUNCTION("""COMPUTED_VALUE"""),"ПДЗ изменения интенсивности ЧР в КРУЭ за месяц, ручные")</f>
        <v>ПДЗ изменения интенсивности ЧР в КРУЭ за месяц, ручные</v>
      </c>
    </row>
    <row r="1789" spans="1:2" ht="15.75" customHeight="1" x14ac:dyDescent="0.25">
      <c r="A1789" s="13" t="str">
        <f ca="1">IFERROR(__xludf.DUMMYFUNCTION("""COMPUTED_VALUE"""),"pd_level_1_roc_rel_month")</f>
        <v>pd_level_1_roc_rel_month</v>
      </c>
      <c r="B1789" s="13" t="str">
        <f ca="1">IFERROR(__xludf.DUMMYFUNCTION("""COMPUTED_VALUE"""),"Относительное изменение мощности ЧР в КРУЭ за месяц, датчик 1")</f>
        <v>Относительное изменение мощности ЧР в КРУЭ за месяц, датчик 1</v>
      </c>
    </row>
    <row r="1790" spans="1:2" ht="15.75" customHeight="1" x14ac:dyDescent="0.25">
      <c r="A1790" s="13" t="str">
        <f ca="1">IFERROR(__xludf.DUMMYFUNCTION("""COMPUTED_VALUE"""),"pd_level_10_roc_rel_month")</f>
        <v>pd_level_10_roc_rel_month</v>
      </c>
      <c r="B1790" s="13" t="str">
        <f ca="1">IFERROR(__xludf.DUMMYFUNCTION("""COMPUTED_VALUE"""),"Относительное изменение мощности ЧР в КРУЭ за месяц, датчик 10")</f>
        <v>Относительное изменение мощности ЧР в КРУЭ за месяц, датчик 10</v>
      </c>
    </row>
    <row r="1791" spans="1:2" ht="15.75" customHeight="1" x14ac:dyDescent="0.25">
      <c r="A1791" s="13" t="str">
        <f ca="1">IFERROR(__xludf.DUMMYFUNCTION("""COMPUTED_VALUE"""),"pd_level_2_roc_rel_month")</f>
        <v>pd_level_2_roc_rel_month</v>
      </c>
      <c r="B1791" s="13" t="str">
        <f ca="1">IFERROR(__xludf.DUMMYFUNCTION("""COMPUTED_VALUE"""),"Относительное изменение мощности ЧР в КРУЭ за месяц, датчик 2")</f>
        <v>Относительное изменение мощности ЧР в КРУЭ за месяц, датчик 2</v>
      </c>
    </row>
    <row r="1792" spans="1:2" ht="15.75" customHeight="1" x14ac:dyDescent="0.25">
      <c r="A1792" s="13" t="str">
        <f ca="1">IFERROR(__xludf.DUMMYFUNCTION("""COMPUTED_VALUE"""),"pd_level_3_roc_rel_month")</f>
        <v>pd_level_3_roc_rel_month</v>
      </c>
      <c r="B1792" s="13" t="str">
        <f ca="1">IFERROR(__xludf.DUMMYFUNCTION("""COMPUTED_VALUE"""),"Относительное изменение мощности ЧР в КРУЭ за месяц, датчик 3")</f>
        <v>Относительное изменение мощности ЧР в КРУЭ за месяц, датчик 3</v>
      </c>
    </row>
    <row r="1793" spans="1:2" ht="15.75" customHeight="1" x14ac:dyDescent="0.25">
      <c r="A1793" s="13" t="str">
        <f ca="1">IFERROR(__xludf.DUMMYFUNCTION("""COMPUTED_VALUE"""),"pd_level_4_roc_rel_month")</f>
        <v>pd_level_4_roc_rel_month</v>
      </c>
      <c r="B1793" s="13" t="str">
        <f ca="1">IFERROR(__xludf.DUMMYFUNCTION("""COMPUTED_VALUE"""),"Относительное изменение мощности ЧР в КРУЭ за месяц, датчик 4")</f>
        <v>Относительное изменение мощности ЧР в КРУЭ за месяц, датчик 4</v>
      </c>
    </row>
    <row r="1794" spans="1:2" ht="15.75" customHeight="1" x14ac:dyDescent="0.25">
      <c r="A1794" s="13" t="str">
        <f ca="1">IFERROR(__xludf.DUMMYFUNCTION("""COMPUTED_VALUE"""),"pd_level_5_roc_rel_month")</f>
        <v>pd_level_5_roc_rel_month</v>
      </c>
      <c r="B1794" s="13" t="str">
        <f ca="1">IFERROR(__xludf.DUMMYFUNCTION("""COMPUTED_VALUE"""),"Относительное изменение мощности ЧР в КРУЭ за месяц, датчик 5")</f>
        <v>Относительное изменение мощности ЧР в КРУЭ за месяц, датчик 5</v>
      </c>
    </row>
    <row r="1795" spans="1:2" ht="15.75" customHeight="1" x14ac:dyDescent="0.25">
      <c r="A1795" s="13" t="str">
        <f ca="1">IFERROR(__xludf.DUMMYFUNCTION("""COMPUTED_VALUE"""),"pd_level_6_roc_rel_month")</f>
        <v>pd_level_6_roc_rel_month</v>
      </c>
      <c r="B1795" s="13" t="str">
        <f ca="1">IFERROR(__xludf.DUMMYFUNCTION("""COMPUTED_VALUE"""),"Относительное изменение мощности ЧР в КРУЭ за месяц, датчик 6")</f>
        <v>Относительное изменение мощности ЧР в КРУЭ за месяц, датчик 6</v>
      </c>
    </row>
    <row r="1796" spans="1:2" ht="15.75" customHeight="1" x14ac:dyDescent="0.25">
      <c r="A1796" s="13" t="str">
        <f ca="1">IFERROR(__xludf.DUMMYFUNCTION("""COMPUTED_VALUE"""),"pd_level_7_roc_rel_month")</f>
        <v>pd_level_7_roc_rel_month</v>
      </c>
      <c r="B1796" s="13" t="str">
        <f ca="1">IFERROR(__xludf.DUMMYFUNCTION("""COMPUTED_VALUE"""),"Относительное изменение мощности ЧР в КРУЭ за месяц, датчик 7")</f>
        <v>Относительное изменение мощности ЧР в КРУЭ за месяц, датчик 7</v>
      </c>
    </row>
    <row r="1797" spans="1:2" ht="15.75" customHeight="1" x14ac:dyDescent="0.25">
      <c r="A1797" s="13" t="str">
        <f ca="1">IFERROR(__xludf.DUMMYFUNCTION("""COMPUTED_VALUE"""),"pd_level_8_roc_rel_month")</f>
        <v>pd_level_8_roc_rel_month</v>
      </c>
      <c r="B1797" s="13" t="str">
        <f ca="1">IFERROR(__xludf.DUMMYFUNCTION("""COMPUTED_VALUE"""),"Относительное изменение мощности ЧР в КРУЭ за месяц, датчик 8")</f>
        <v>Относительное изменение мощности ЧР в КРУЭ за месяц, датчик 8</v>
      </c>
    </row>
    <row r="1798" spans="1:2" ht="15.75" customHeight="1" x14ac:dyDescent="0.25">
      <c r="A1798" s="13" t="str">
        <f ca="1">IFERROR(__xludf.DUMMYFUNCTION("""COMPUTED_VALUE"""),"pd_level_9_roc_rel_month")</f>
        <v>pd_level_9_roc_rel_month</v>
      </c>
      <c r="B1798" s="13" t="str">
        <f ca="1">IFERROR(__xludf.DUMMYFUNCTION("""COMPUTED_VALUE"""),"Относительное изменение мощности ЧР в КРУЭ за месяц, датчик 9")</f>
        <v>Относительное изменение мощности ЧР в КРУЭ за месяц, датчик 9</v>
      </c>
    </row>
    <row r="1799" spans="1:2" ht="15.75" customHeight="1" x14ac:dyDescent="0.25">
      <c r="A1799" s="13" t="str">
        <f ca="1">IFERROR(__xludf.DUMMYFUNCTION("""COMPUTED_VALUE"""),"pd_level_lim0")</f>
        <v>pd_level_lim0</v>
      </c>
      <c r="B1799" s="13" t="str">
        <f ca="1">IFERROR(__xludf.DUMMYFUNCTION("""COMPUTED_VALUE"""),"ДЗ уровня ЧР в КРУЭ")</f>
        <v>ДЗ уровня ЧР в КРУЭ</v>
      </c>
    </row>
    <row r="1800" spans="1:2" ht="15.75" customHeight="1" x14ac:dyDescent="0.25">
      <c r="A1800" s="13" t="str">
        <f ca="1">IFERROR(__xludf.DUMMYFUNCTION("""COMPUTED_VALUE"""),"pd_level_lim0_manual")</f>
        <v>pd_level_lim0_manual</v>
      </c>
      <c r="B1800" s="13" t="str">
        <f ca="1">IFERROR(__xludf.DUMMYFUNCTION("""COMPUTED_VALUE"""),"ДЗ уровня ЧР в КРУЭ, ручные")</f>
        <v>ДЗ уровня ЧР в КРУЭ, ручные</v>
      </c>
    </row>
    <row r="1801" spans="1:2" ht="15.75" customHeight="1" x14ac:dyDescent="0.25">
      <c r="A1801" s="13" t="str">
        <f ca="1">IFERROR(__xludf.DUMMYFUNCTION("""COMPUTED_VALUE"""),"pd_level_lim1")</f>
        <v>pd_level_lim1</v>
      </c>
      <c r="B1801" s="13" t="str">
        <f ca="1">IFERROR(__xludf.DUMMYFUNCTION("""COMPUTED_VALUE"""),"ПДЗ уровня ЧР в КРУЭ")</f>
        <v>ПДЗ уровня ЧР в КРУЭ</v>
      </c>
    </row>
    <row r="1802" spans="1:2" ht="15.75" customHeight="1" x14ac:dyDescent="0.25">
      <c r="A1802" s="13" t="str">
        <f ca="1">IFERROR(__xludf.DUMMYFUNCTION("""COMPUTED_VALUE"""),"pd_level_lim1_manual")</f>
        <v>pd_level_lim1_manual</v>
      </c>
      <c r="B1802" s="13" t="str">
        <f ca="1">IFERROR(__xludf.DUMMYFUNCTION("""COMPUTED_VALUE"""),"ПДЗ уровня ЧР в КРУЭ, ручные")</f>
        <v>ПДЗ уровня ЧР в КРУЭ, ручные</v>
      </c>
    </row>
    <row r="1803" spans="1:2" ht="15.75" customHeight="1" x14ac:dyDescent="0.25">
      <c r="A1803" s="13" t="str">
        <f ca="1">IFERROR(__xludf.DUMMYFUNCTION("""COMPUTED_VALUE"""),"pd_level_roc_rel_month_lim0")</f>
        <v>pd_level_roc_rel_month_lim0</v>
      </c>
      <c r="B1803" s="13" t="str">
        <f ca="1">IFERROR(__xludf.DUMMYFUNCTION("""COMPUTED_VALUE"""),"ДЗ изменения мощности ЧР в КРУЭ за месяц")</f>
        <v>ДЗ изменения мощности ЧР в КРУЭ за месяц</v>
      </c>
    </row>
    <row r="1804" spans="1:2" ht="15.75" customHeight="1" x14ac:dyDescent="0.25">
      <c r="A1804" s="13" t="str">
        <f ca="1">IFERROR(__xludf.DUMMYFUNCTION("""COMPUTED_VALUE"""),"pd_level_roc_rel_month_lim0_manual")</f>
        <v>pd_level_roc_rel_month_lim0_manual</v>
      </c>
      <c r="B1804" s="13" t="str">
        <f ca="1">IFERROR(__xludf.DUMMYFUNCTION("""COMPUTED_VALUE"""),"ДЗ изменения мощности ЧР в КРУЭ за месяц, ручные")</f>
        <v>ДЗ изменения мощности ЧР в КРУЭ за месяц, ручные</v>
      </c>
    </row>
    <row r="1805" spans="1:2" ht="15.75" customHeight="1" x14ac:dyDescent="0.25">
      <c r="A1805" s="13" t="str">
        <f ca="1">IFERROR(__xludf.DUMMYFUNCTION("""COMPUTED_VALUE"""),"pd_level_roc_rel_month_lim1")</f>
        <v>pd_level_roc_rel_month_lim1</v>
      </c>
      <c r="B1805" s="13" t="str">
        <f ca="1">IFERROR(__xludf.DUMMYFUNCTION("""COMPUTED_VALUE"""),"ПДЗ изменения мощности ЧР в КРУЭ за месяц")</f>
        <v>ПДЗ изменения мощности ЧР в КРУЭ за месяц</v>
      </c>
    </row>
    <row r="1806" spans="1:2" ht="15.75" customHeight="1" x14ac:dyDescent="0.25">
      <c r="A1806" s="13" t="str">
        <f ca="1">IFERROR(__xludf.DUMMYFUNCTION("""COMPUTED_VALUE"""),"pd_level_roc_rel_month_lim1_manual")</f>
        <v>pd_level_roc_rel_month_lim1_manual</v>
      </c>
      <c r="B1806" s="13" t="str">
        <f ca="1">IFERROR(__xludf.DUMMYFUNCTION("""COMPUTED_VALUE"""),"ПДЗ изменения мощности ЧР в КРУЭ за месяц, ручные")</f>
        <v>ПДЗ изменения мощности ЧР в КРУЭ за месяц, ручные</v>
      </c>
    </row>
    <row r="1807" spans="1:2" ht="15.75" customHeight="1" x14ac:dyDescent="0.25">
      <c r="A1807" s="13" t="str">
        <f ca="1">IFERROR(__xludf.DUMMYFUNCTION("""COMPUTED_VALUE"""),"pd_qm_lim0")</f>
        <v>pd_qm_lim0</v>
      </c>
      <c r="B1807" s="13" t="str">
        <f ca="1">IFERROR(__xludf.DUMMYFUNCTION("""COMPUTED_VALUE"""),"ДЗ Qm для токопроводов")</f>
        <v>ДЗ Qm для токопроводов</v>
      </c>
    </row>
    <row r="1808" spans="1:2" ht="15.75" customHeight="1" x14ac:dyDescent="0.25">
      <c r="A1808" s="13" t="str">
        <f ca="1">IFERROR(__xludf.DUMMYFUNCTION("""COMPUTED_VALUE"""),"pd_qm_lim1")</f>
        <v>pd_qm_lim1</v>
      </c>
      <c r="B1808" s="13" t="str">
        <f ca="1">IFERROR(__xludf.DUMMYFUNCTION("""COMPUTED_VALUE"""),"ПДЗ Qm для токопроводов")</f>
        <v>ПДЗ Qm для токопроводов</v>
      </c>
    </row>
    <row r="1809" spans="1:2" ht="15.75" customHeight="1" x14ac:dyDescent="0.25">
      <c r="A1809" s="13" t="str">
        <f ca="1">IFERROR(__xludf.DUMMYFUNCTION("""COMPUTED_VALUE"""),"pdata_asset_f")</f>
        <v>pdata_asset_f</v>
      </c>
      <c r="B1809" s="13" t="str">
        <f ca="1">IFERROR(__xludf.DUMMYFUNCTION("""COMPUTED_VALUE"""),"Номинальная частота")</f>
        <v>Номинальная частота</v>
      </c>
    </row>
    <row r="1810" spans="1:2" ht="15.75" customHeight="1" x14ac:dyDescent="0.25">
      <c r="A1810" s="13" t="str">
        <f ca="1">IFERROR(__xludf.DUMMYFUNCTION("""COMPUTED_VALUE"""),"pdata_asset_p_number")</f>
        <v>pdata_asset_p_number</v>
      </c>
      <c r="B1810" s="13" t="str">
        <f ca="1">IFERROR(__xludf.DUMMYFUNCTION("""COMPUTED_VALUE"""),"Число фаз")</f>
        <v>Число фаз</v>
      </c>
    </row>
    <row r="1811" spans="1:2" ht="15.75" customHeight="1" x14ac:dyDescent="0.25">
      <c r="A1811" s="13" t="str">
        <f ca="1">IFERROR(__xludf.DUMMYFUNCTION("""COMPUTED_VALUE"""),"pdata_asset_windings")</f>
        <v>pdata_asset_windings</v>
      </c>
      <c r="B1811" s="13" t="str">
        <f ca="1">IFERROR(__xludf.DUMMYFUNCTION("""COMPUTED_VALUE"""),"Группа соединения обмоток")</f>
        <v>Группа соединения обмоток</v>
      </c>
    </row>
    <row r="1812" spans="1:2" ht="15.75" customHeight="1" x14ac:dyDescent="0.25">
      <c r="A1812" s="13" t="str">
        <f ca="1">IFERROR(__xludf.DUMMYFUNCTION("""COMPUTED_VALUE"""),"pdata_bush")</f>
        <v>pdata_bush</v>
      </c>
      <c r="B1812" s="13" t="str">
        <f ca="1">IFERROR(__xludf.DUMMYFUNCTION("""COMPUTED_VALUE"""),"Тип изоляции вводов")</f>
        <v>Тип изоляции вводов</v>
      </c>
    </row>
    <row r="1813" spans="1:2" ht="15.75" customHeight="1" x14ac:dyDescent="0.25">
      <c r="A1813" s="13" t="str">
        <f ca="1">IFERROR(__xludf.DUMMYFUNCTION("""COMPUTED_VALUE"""),"pdata_cooling_type")</f>
        <v>pdata_cooling_type</v>
      </c>
      <c r="B1813" s="13" t="str">
        <f ca="1">IFERROR(__xludf.DUMMYFUNCTION("""COMPUTED_VALUE"""),"Тип системы охлаждения")</f>
        <v>Тип системы охлаждения</v>
      </c>
    </row>
    <row r="1814" spans="1:2" ht="15.75" customHeight="1" x14ac:dyDescent="0.25">
      <c r="A1814" s="13" t="str">
        <f ca="1">IFERROR(__xludf.DUMMYFUNCTION("""COMPUTED_VALUE"""),"pdata_i_hv")</f>
        <v>pdata_i_hv</v>
      </c>
      <c r="B1814" s="13" t="str">
        <f ca="1">IFERROR(__xludf.DUMMYFUNCTION("""COMPUTED_VALUE"""),"Номинальный ток ВН")</f>
        <v>Номинальный ток ВН</v>
      </c>
    </row>
    <row r="1815" spans="1:2" ht="15.75" customHeight="1" x14ac:dyDescent="0.25">
      <c r="A1815" s="13" t="str">
        <f ca="1">IFERROR(__xludf.DUMMYFUNCTION("""COMPUTED_VALUE"""),"pdata_i_ltc")</f>
        <v>pdata_i_ltc</v>
      </c>
      <c r="B1815" s="13" t="str">
        <f ca="1">IFERROR(__xludf.DUMMYFUNCTION("""COMPUTED_VALUE"""),"Номинальные токи при разных положениях РПН")</f>
        <v>Номинальные токи при разных положениях РПН</v>
      </c>
    </row>
    <row r="1816" spans="1:2" ht="15.75" customHeight="1" x14ac:dyDescent="0.25">
      <c r="A1816" s="13" t="str">
        <f ca="1">IFERROR(__xludf.DUMMYFUNCTION("""COMPUTED_VALUE"""),"pdata_i_lv")</f>
        <v>pdata_i_lv</v>
      </c>
      <c r="B1816" s="13" t="str">
        <f ca="1">IFERROR(__xludf.DUMMYFUNCTION("""COMPUTED_VALUE"""),"Номинальный ток НН")</f>
        <v>Номинальный ток НН</v>
      </c>
    </row>
    <row r="1817" spans="1:2" ht="15.75" customHeight="1" x14ac:dyDescent="0.25">
      <c r="A1817" s="13" t="str">
        <f ca="1">IFERROR(__xludf.DUMMYFUNCTION("""COMPUTED_VALUE"""),"pdata_i_lv1")</f>
        <v>pdata_i_lv1</v>
      </c>
      <c r="B1817" s="13" t="str">
        <f ca="1">IFERROR(__xludf.DUMMYFUNCTION("""COMPUTED_VALUE"""),"Номинальный ток НН1")</f>
        <v>Номинальный ток НН1</v>
      </c>
    </row>
    <row r="1818" spans="1:2" ht="15.75" customHeight="1" x14ac:dyDescent="0.25">
      <c r="A1818" s="13" t="str">
        <f ca="1">IFERROR(__xludf.DUMMYFUNCTION("""COMPUTED_VALUE"""),"pdata_i_lv2")</f>
        <v>pdata_i_lv2</v>
      </c>
      <c r="B1818" s="13" t="str">
        <f ca="1">IFERROR(__xludf.DUMMYFUNCTION("""COMPUTED_VALUE"""),"Номинальный ток НН2")</f>
        <v>Номинальный ток НН2</v>
      </c>
    </row>
    <row r="1819" spans="1:2" ht="15.75" customHeight="1" x14ac:dyDescent="0.25">
      <c r="A1819" s="13" t="str">
        <f ca="1">IFERROR(__xludf.DUMMYFUNCTION("""COMPUTED_VALUE"""),"pdata_i_mv")</f>
        <v>pdata_i_mv</v>
      </c>
      <c r="B1819" s="13" t="str">
        <f ca="1">IFERROR(__xludf.DUMMYFUNCTION("""COMPUTED_VALUE"""),"Номинальный ток СН")</f>
        <v>Номинальный ток СН</v>
      </c>
    </row>
    <row r="1820" spans="1:2" ht="15.75" customHeight="1" x14ac:dyDescent="0.25">
      <c r="A1820" s="13" t="str">
        <f ca="1">IFERROR(__xludf.DUMMYFUNCTION("""COMPUTED_VALUE"""),"pdata_i_noload")</f>
        <v>pdata_i_noload</v>
      </c>
      <c r="B1820" s="13" t="str">
        <f ca="1">IFERROR(__xludf.DUMMYFUNCTION("""COMPUTED_VALUE"""),"Ток холостого хода")</f>
        <v>Ток холостого хода</v>
      </c>
    </row>
    <row r="1821" spans="1:2" ht="15.75" customHeight="1" x14ac:dyDescent="0.25">
      <c r="A1821" s="13" t="str">
        <f ca="1">IFERROR(__xludf.DUMMYFUNCTION("""COMPUTED_VALUE"""),"pdata_i_shared")</f>
        <v>pdata_i_shared</v>
      </c>
      <c r="B1821" s="13" t="str">
        <f ca="1">IFERROR(__xludf.DUMMYFUNCTION("""COMPUTED_VALUE"""),"Наибольший длительно допустимый ток в общей обмотке для автотрансформаторов")</f>
        <v>Наибольший длительно допустимый ток в общей обмотке для автотрансформаторов</v>
      </c>
    </row>
    <row r="1822" spans="1:2" ht="15.75" customHeight="1" x14ac:dyDescent="0.25">
      <c r="A1822" s="13" t="str">
        <f ca="1">IFERROR(__xludf.DUMMYFUNCTION("""COMPUTED_VALUE"""),"pdata_insulation_lifespan")</f>
        <v>pdata_insulation_lifespan</v>
      </c>
      <c r="B1822" s="13" t="str">
        <f ca="1">IFERROR(__xludf.DUMMYFUNCTION("""COMPUTED_VALUE"""),"Паспортный ресурс изоляции")</f>
        <v>Паспортный ресурс изоляции</v>
      </c>
    </row>
    <row r="1823" spans="1:2" ht="15.75" customHeight="1" x14ac:dyDescent="0.25">
      <c r="A1823" s="13" t="str">
        <f ca="1">IFERROR(__xludf.DUMMYFUNCTION("""COMPUTED_VALUE"""),"pdata_k_therm_tau_0")</f>
        <v>pdata_k_therm_tau_0</v>
      </c>
      <c r="B1823" s="13" t="str">
        <f ca="1">IFERROR(__xludf.DUMMYFUNCTION("""COMPUTED_VALUE"""),"Расчетная тепловая постоянная времени трансформатора")</f>
        <v>Расчетная тепловая постоянная времени трансформатора</v>
      </c>
    </row>
    <row r="1824" spans="1:2" ht="15.75" customHeight="1" x14ac:dyDescent="0.25">
      <c r="A1824" s="13" t="str">
        <f ca="1">IFERROR(__xludf.DUMMYFUNCTION("""COMPUTED_VALUE"""),"pdata_lifespan")</f>
        <v>pdata_lifespan</v>
      </c>
      <c r="B1824" s="13" t="str">
        <f ca="1">IFERROR(__xludf.DUMMYFUNCTION("""COMPUTED_VALUE"""),"Предельный срок эксплуатации")</f>
        <v>Предельный срок эксплуатации</v>
      </c>
    </row>
    <row r="1825" spans="1:2" ht="15.75" customHeight="1" x14ac:dyDescent="0.25">
      <c r="A1825" s="13" t="str">
        <f ca="1">IFERROR(__xludf.DUMMYFUNCTION("""COMPUTED_VALUE"""),"pdata_loss_max")</f>
        <v>pdata_loss_max</v>
      </c>
      <c r="B1825" s="13" t="str">
        <f ca="1">IFERROR(__xludf.DUMMYFUNCTION("""COMPUTED_VALUE"""),"Максимальные расчетные нагрузочные потери")</f>
        <v>Максимальные расчетные нагрузочные потери</v>
      </c>
    </row>
    <row r="1826" spans="1:2" ht="15.75" customHeight="1" x14ac:dyDescent="0.25">
      <c r="A1826" s="13" t="str">
        <f ca="1">IFERROR(__xludf.DUMMYFUNCTION("""COMPUTED_VALUE"""),"pdata_ltc_present")</f>
        <v>pdata_ltc_present</v>
      </c>
      <c r="B1826" s="13" t="str">
        <f ca="1">IFERROR(__xludf.DUMMYFUNCTION("""COMPUTED_VALUE"""),"Наличие РПН")</f>
        <v>Наличие РПН</v>
      </c>
    </row>
    <row r="1827" spans="1:2" ht="15.75" customHeight="1" x14ac:dyDescent="0.25">
      <c r="A1827" s="13" t="str">
        <f ca="1">IFERROR(__xludf.DUMMYFUNCTION("""COMPUTED_VALUE"""),"pdata_ltc_type")</f>
        <v>pdata_ltc_type</v>
      </c>
      <c r="B1827" s="13" t="str">
        <f ca="1">IFERROR(__xludf.DUMMYFUNCTION("""COMPUTED_VALUE"""),"Тип РПН")</f>
        <v>Тип РПН</v>
      </c>
    </row>
    <row r="1828" spans="1:2" ht="15.75" customHeight="1" x14ac:dyDescent="0.25">
      <c r="A1828" s="13" t="str">
        <f ca="1">IFERROR(__xludf.DUMMYFUNCTION("""COMPUTED_VALUE"""),"pdata_monsys_yr")</f>
        <v>pdata_monsys_yr</v>
      </c>
      <c r="B1828" s="13" t="str">
        <f ca="1">IFERROR(__xludf.DUMMYFUNCTION("""COMPUTED_VALUE"""),"Год ввода в эксплуатацию АСМД")</f>
        <v>Год ввода в эксплуатацию АСМД</v>
      </c>
    </row>
    <row r="1829" spans="1:2" ht="15.75" customHeight="1" x14ac:dyDescent="0.25">
      <c r="A1829" s="13" t="str">
        <f ca="1">IFERROR(__xludf.DUMMYFUNCTION("""COMPUTED_VALUE"""),"pdata_nocooling_s")</f>
        <v>pdata_nocooling_s</v>
      </c>
      <c r="B1829" s="13" t="str">
        <f ca="1">IFERROR(__xludf.DUMMYFUNCTION("""COMPUTED_VALUE"""),"Мощность трансформатора при отключенном дутье(циркуляции) для Д(ДЦ)")</f>
        <v>Мощность трансформатора при отключенном дутье(циркуляции) для Д(ДЦ)</v>
      </c>
    </row>
    <row r="1830" spans="1:2" ht="15.75" customHeight="1" x14ac:dyDescent="0.25">
      <c r="A1830" s="13" t="str">
        <f ca="1">IFERROR(__xludf.DUMMYFUNCTION("""COMPUTED_VALUE"""),"pdata_oil_protection")</f>
        <v>pdata_oil_protection</v>
      </c>
      <c r="B1830" s="13" t="str">
        <f ca="1">IFERROR(__xludf.DUMMYFUNCTION("""COMPUTED_VALUE"""),"Тип защиты масла")</f>
        <v>Тип защиты масла</v>
      </c>
    </row>
    <row r="1831" spans="1:2" ht="15.75" customHeight="1" x14ac:dyDescent="0.25">
      <c r="A1831" s="13" t="str">
        <f ca="1">IFERROR(__xludf.DUMMYFUNCTION("""COMPUTED_VALUE"""),"pdata_oil_type")</f>
        <v>pdata_oil_type</v>
      </c>
      <c r="B1831" s="13" t="str">
        <f ca="1">IFERROR(__xludf.DUMMYFUNCTION("""COMPUTED_VALUE"""),"Тип масла")</f>
        <v>Тип масла</v>
      </c>
    </row>
    <row r="1832" spans="1:2" ht="15.75" customHeight="1" x14ac:dyDescent="0.25">
      <c r="A1832" s="13" t="str">
        <f ca="1">IFERROR(__xludf.DUMMYFUNCTION("""COMPUTED_VALUE"""),"pdata_operation_counter_lim0")</f>
        <v>pdata_operation_counter_lim0</v>
      </c>
      <c r="B1832" s="13" t="str">
        <f ca="1">IFERROR(__xludf.DUMMYFUNCTION("""COMPUTED_VALUE"""),"Номинальное число переключений РПН")</f>
        <v>Номинальное число переключений РПН</v>
      </c>
    </row>
    <row r="1833" spans="1:2" ht="15.75" customHeight="1" x14ac:dyDescent="0.25">
      <c r="A1833" s="13" t="str">
        <f ca="1">IFERROR(__xludf.DUMMYFUNCTION("""COMPUTED_VALUE"""),"pdata_overhaul_date")</f>
        <v>pdata_overhaul_date</v>
      </c>
      <c r="B1833" s="13" t="str">
        <f ca="1">IFERROR(__xludf.DUMMYFUNCTION("""COMPUTED_VALUE"""),"Дата прохождения капремонта")</f>
        <v>Дата прохождения капремонта</v>
      </c>
    </row>
    <row r="1834" spans="1:2" ht="15.75" customHeight="1" x14ac:dyDescent="0.25">
      <c r="A1834" s="13" t="str">
        <f ca="1">IFERROR(__xludf.DUMMYFUNCTION("""COMPUTED_VALUE"""),"pdata_p_sf6_rated")</f>
        <v>pdata_p_sf6_rated</v>
      </c>
      <c r="B1834" s="13" t="str">
        <f ca="1">IFERROR(__xludf.DUMMYFUNCTION("""COMPUTED_VALUE"""),"Номинальное давление заполнения элегаза КРУЭ")</f>
        <v>Номинальное давление заполнения элегаза КРУЭ</v>
      </c>
    </row>
    <row r="1835" spans="1:2" ht="15.75" customHeight="1" x14ac:dyDescent="0.25">
      <c r="A1835" s="13" t="str">
        <f ca="1">IFERROR(__xludf.DUMMYFUNCTION("""COMPUTED_VALUE"""),"pdata_r_loss")</f>
        <v>pdata_r_loss</v>
      </c>
      <c r="B1835" s="13" t="str">
        <f ca="1">IFERROR(__xludf.DUMMYFUNCTION("""COMPUTED_VALUE"""),"Отношение величины потерь активной мощности короткого замыкания к величине потерь х.х. (Pкз / Pхх)")</f>
        <v>Отношение величины потерь активной мощности короткого замыкания к величине потерь х.х. (Pкз / Pхх)</v>
      </c>
    </row>
    <row r="1836" spans="1:2" ht="15.75" customHeight="1" x14ac:dyDescent="0.25">
      <c r="A1836" s="13" t="str">
        <f ca="1">IFERROR(__xludf.DUMMYFUNCTION("""COMPUTED_VALUE"""),"pdata_resistance_hv_r15")</f>
        <v>pdata_resistance_hv_r15</v>
      </c>
      <c r="B1836" s="13" t="str">
        <f ca="1">IFERROR(__xludf.DUMMYFUNCTION("""COMPUTED_VALUE"""),"Сопротивление изоляции обмотки ВН через 15 сек после подачи напряжения")</f>
        <v>Сопротивление изоляции обмотки ВН через 15 сек после подачи напряжения</v>
      </c>
    </row>
    <row r="1837" spans="1:2" ht="15.75" customHeight="1" x14ac:dyDescent="0.25">
      <c r="A1837" s="13" t="str">
        <f ca="1">IFERROR(__xludf.DUMMYFUNCTION("""COMPUTED_VALUE"""),"pdata_resistance_hv_r60")</f>
        <v>pdata_resistance_hv_r60</v>
      </c>
      <c r="B1837" s="13" t="str">
        <f ca="1">IFERROR(__xludf.DUMMYFUNCTION("""COMPUTED_VALUE"""),"Сопротивление изоляции обмотки ВН через 60 сек после подачи напряжения")</f>
        <v>Сопротивление изоляции обмотки ВН через 60 сек после подачи напряжения</v>
      </c>
    </row>
    <row r="1838" spans="1:2" ht="15.75" customHeight="1" x14ac:dyDescent="0.25">
      <c r="A1838" s="13" t="str">
        <f ca="1">IFERROR(__xludf.DUMMYFUNCTION("""COMPUTED_VALUE"""),"pdata_resistance_lv_r15")</f>
        <v>pdata_resistance_lv_r15</v>
      </c>
      <c r="B1838" s="13" t="str">
        <f ca="1">IFERROR(__xludf.DUMMYFUNCTION("""COMPUTED_VALUE"""),"Сопротивление изоляции обмотки НН через 15 сек после подачи напряжения")</f>
        <v>Сопротивление изоляции обмотки НН через 15 сек после подачи напряжения</v>
      </c>
    </row>
    <row r="1839" spans="1:2" ht="15.75" customHeight="1" x14ac:dyDescent="0.25">
      <c r="A1839" s="13" t="str">
        <f ca="1">IFERROR(__xludf.DUMMYFUNCTION("""COMPUTED_VALUE"""),"pdata_resistance_lv_r60")</f>
        <v>pdata_resistance_lv_r60</v>
      </c>
      <c r="B1839" s="13" t="str">
        <f ca="1">IFERROR(__xludf.DUMMYFUNCTION("""COMPUTED_VALUE"""),"Сопротивление изоляции обмотки НН через 60 сек после подачи напряжения")</f>
        <v>Сопротивление изоляции обмотки НН через 60 сек после подачи напряжения</v>
      </c>
    </row>
    <row r="1840" spans="1:2" ht="15.75" customHeight="1" x14ac:dyDescent="0.25">
      <c r="A1840" s="13" t="str">
        <f ca="1">IFERROR(__xludf.DUMMYFUNCTION("""COMPUTED_VALUE"""),"pdata_resistance_lv1_r15")</f>
        <v>pdata_resistance_lv1_r15</v>
      </c>
      <c r="B1840" s="13" t="str">
        <f ca="1">IFERROR(__xludf.DUMMYFUNCTION("""COMPUTED_VALUE"""),"Сопротивление изоляции обмотки НН1 через 15 сек после подачи напряжения")</f>
        <v>Сопротивление изоляции обмотки НН1 через 15 сек после подачи напряжения</v>
      </c>
    </row>
    <row r="1841" spans="1:2" ht="15.75" customHeight="1" x14ac:dyDescent="0.25">
      <c r="A1841" s="13" t="str">
        <f ca="1">IFERROR(__xludf.DUMMYFUNCTION("""COMPUTED_VALUE"""),"pdata_resistance_lv1_r60")</f>
        <v>pdata_resistance_lv1_r60</v>
      </c>
      <c r="B1841" s="13" t="str">
        <f ca="1">IFERROR(__xludf.DUMMYFUNCTION("""COMPUTED_VALUE"""),"Сопротивление изоляции обмотки НН1 через 60 сек после подачи напряжения")</f>
        <v>Сопротивление изоляции обмотки НН1 через 60 сек после подачи напряжения</v>
      </c>
    </row>
    <row r="1842" spans="1:2" ht="15.75" customHeight="1" x14ac:dyDescent="0.25">
      <c r="A1842" s="13" t="str">
        <f ca="1">IFERROR(__xludf.DUMMYFUNCTION("""COMPUTED_VALUE"""),"pdata_resistance_lv2_r15")</f>
        <v>pdata_resistance_lv2_r15</v>
      </c>
      <c r="B1842" s="13" t="str">
        <f ca="1">IFERROR(__xludf.DUMMYFUNCTION("""COMPUTED_VALUE"""),"Сопротивление изоляции обмотки НН2 через 15 сек после подачи напряжения")</f>
        <v>Сопротивление изоляции обмотки НН2 через 15 сек после подачи напряжения</v>
      </c>
    </row>
    <row r="1843" spans="1:2" ht="15.75" customHeight="1" x14ac:dyDescent="0.25">
      <c r="A1843" s="13" t="str">
        <f ca="1">IFERROR(__xludf.DUMMYFUNCTION("""COMPUTED_VALUE"""),"pdata_resistance_lv2_r60")</f>
        <v>pdata_resistance_lv2_r60</v>
      </c>
      <c r="B1843" s="13" t="str">
        <f ca="1">IFERROR(__xludf.DUMMYFUNCTION("""COMPUTED_VALUE"""),"Сопротивление изоляции обмотки НН2 через 60 сек после подачи напряжения")</f>
        <v>Сопротивление изоляции обмотки НН2 через 60 сек после подачи напряжения</v>
      </c>
    </row>
    <row r="1844" spans="1:2" ht="15.75" customHeight="1" x14ac:dyDescent="0.25">
      <c r="A1844" s="13" t="str">
        <f ca="1">IFERROR(__xludf.DUMMYFUNCTION("""COMPUTED_VALUE"""),"pdata_resistance_mv_r15")</f>
        <v>pdata_resistance_mv_r15</v>
      </c>
      <c r="B1844" s="13" t="str">
        <f ca="1">IFERROR(__xludf.DUMMYFUNCTION("""COMPUTED_VALUE"""),"Сопротивление изоляции обмотки CН через 15 сек после подачи напряжения")</f>
        <v>Сопротивление изоляции обмотки CН через 15 сек после подачи напряжения</v>
      </c>
    </row>
    <row r="1845" spans="1:2" ht="15.75" customHeight="1" x14ac:dyDescent="0.25">
      <c r="A1845" s="13" t="str">
        <f ca="1">IFERROR(__xludf.DUMMYFUNCTION("""COMPUTED_VALUE"""),"pdata_resistance_mv_r60")</f>
        <v>pdata_resistance_mv_r60</v>
      </c>
      <c r="B1845" s="13" t="str">
        <f ca="1">IFERROR(__xludf.DUMMYFUNCTION("""COMPUTED_VALUE"""),"Сопротивление изоляции обмотки CН через 60 сек после подачи напряжения")</f>
        <v>Сопротивление изоляции обмотки CН через 60 сек после подачи напряжения</v>
      </c>
    </row>
    <row r="1846" spans="1:2" ht="15.75" customHeight="1" x14ac:dyDescent="0.25">
      <c r="A1846" s="13" t="str">
        <f ca="1">IFERROR(__xludf.DUMMYFUNCTION("""COMPUTED_VALUE"""),"pdata_resistance_windings_hv")</f>
        <v>pdata_resistance_windings_hv</v>
      </c>
      <c r="B1846" s="13" t="str">
        <f ca="1">IFERROR(__xludf.DUMMYFUNCTION("""COMPUTED_VALUE"""),"Сопротивление обмотки ВН постоянному току при разных положениях РПН")</f>
        <v>Сопротивление обмотки ВН постоянному току при разных положениях РПН</v>
      </c>
    </row>
    <row r="1847" spans="1:2" ht="15.75" customHeight="1" x14ac:dyDescent="0.25">
      <c r="A1847" s="13" t="str">
        <f ca="1">IFERROR(__xludf.DUMMYFUNCTION("""COMPUTED_VALUE"""),"pdata_resistance_windings_lv")</f>
        <v>pdata_resistance_windings_lv</v>
      </c>
      <c r="B1847" s="13" t="str">
        <f ca="1">IFERROR(__xludf.DUMMYFUNCTION("""COMPUTED_VALUE"""),"Сопротивление обмотки НН постоянному току при разных положениях РПН")</f>
        <v>Сопротивление обмотки НН постоянному току при разных положениях РПН</v>
      </c>
    </row>
    <row r="1848" spans="1:2" ht="15.75" customHeight="1" x14ac:dyDescent="0.25">
      <c r="A1848" s="13" t="str">
        <f ca="1">IFERROR(__xludf.DUMMYFUNCTION("""COMPUTED_VALUE"""),"pdata_resistance_windings_lv1")</f>
        <v>pdata_resistance_windings_lv1</v>
      </c>
      <c r="B1848" s="13" t="str">
        <f ca="1">IFERROR(__xludf.DUMMYFUNCTION("""COMPUTED_VALUE"""),"Сопротивление обмотки НН1 постоянному току при разных положениях РПН")</f>
        <v>Сопротивление обмотки НН1 постоянному току при разных положениях РПН</v>
      </c>
    </row>
    <row r="1849" spans="1:2" ht="15.75" customHeight="1" x14ac:dyDescent="0.25">
      <c r="A1849" s="13" t="str">
        <f ca="1">IFERROR(__xludf.DUMMYFUNCTION("""COMPUTED_VALUE"""),"pdata_resistance_windings_lv2")</f>
        <v>pdata_resistance_windings_lv2</v>
      </c>
      <c r="B1849" s="13" t="str">
        <f ca="1">IFERROR(__xludf.DUMMYFUNCTION("""COMPUTED_VALUE"""),"Сопротивление обмотки НН2 постоянному току при разных положениях РПН")</f>
        <v>Сопротивление обмотки НН2 постоянному току при разных положениях РПН</v>
      </c>
    </row>
    <row r="1850" spans="1:2" ht="15.75" customHeight="1" x14ac:dyDescent="0.25">
      <c r="A1850" s="13" t="str">
        <f ca="1">IFERROR(__xludf.DUMMYFUNCTION("""COMPUTED_VALUE"""),"pdata_resistance_windings_mv")</f>
        <v>pdata_resistance_windings_mv</v>
      </c>
      <c r="B1850" s="13" t="str">
        <f ca="1">IFERROR(__xludf.DUMMYFUNCTION("""COMPUTED_VALUE"""),"Сопротивление обмотки СН постоянному току при разных положениях РПН")</f>
        <v>Сопротивление обмотки СН постоянному току при разных положениях РПН</v>
      </c>
    </row>
    <row r="1851" spans="1:2" ht="15.75" customHeight="1" x14ac:dyDescent="0.25">
      <c r="A1851" s="13" t="str">
        <f ca="1">IFERROR(__xludf.DUMMYFUNCTION("""COMPUTED_VALUE"""),"pdata_s")</f>
        <v>pdata_s</v>
      </c>
      <c r="B1851" s="13" t="str">
        <f ca="1">IFERROR(__xludf.DUMMYFUNCTION("""COMPUTED_VALUE"""),"Номинальная мощность")</f>
        <v>Номинальная мощность</v>
      </c>
    </row>
    <row r="1852" spans="1:2" ht="15.75" customHeight="1" x14ac:dyDescent="0.25">
      <c r="A1852" s="13" t="str">
        <f ca="1">IFERROR(__xludf.DUMMYFUNCTION("""COMPUTED_VALUE"""),"pdata_s_hv")</f>
        <v>pdata_s_hv</v>
      </c>
      <c r="B1852" s="13" t="str">
        <f ca="1">IFERROR(__xludf.DUMMYFUNCTION("""COMPUTED_VALUE"""),"Номинальная мощность ВН")</f>
        <v>Номинальная мощность ВН</v>
      </c>
    </row>
    <row r="1853" spans="1:2" ht="15.75" customHeight="1" x14ac:dyDescent="0.25">
      <c r="A1853" s="13" t="str">
        <f ca="1">IFERROR(__xludf.DUMMYFUNCTION("""COMPUTED_VALUE"""),"pdata_s_loss_noload_hv_lv")</f>
        <v>pdata_s_loss_noload_hv_lv</v>
      </c>
      <c r="B1853" s="13" t="str">
        <f ca="1">IFERROR(__xludf.DUMMYFUNCTION("""COMPUTED_VALUE"""),"Мощность потерь кз на на основном ответвлении ВН-НН")</f>
        <v>Мощность потерь кз на на основном ответвлении ВН-НН</v>
      </c>
    </row>
    <row r="1854" spans="1:2" ht="15.75" customHeight="1" x14ac:dyDescent="0.25">
      <c r="A1854" s="13" t="str">
        <f ca="1">IFERROR(__xludf.DUMMYFUNCTION("""COMPUTED_VALUE"""),"pdata_s_loss_noload_hv_lv1")</f>
        <v>pdata_s_loss_noload_hv_lv1</v>
      </c>
      <c r="B1854" s="13" t="str">
        <f ca="1">IFERROR(__xludf.DUMMYFUNCTION("""COMPUTED_VALUE"""),"Мощность потерь кз на на основном ответвлении ВН-НН1")</f>
        <v>Мощность потерь кз на на основном ответвлении ВН-НН1</v>
      </c>
    </row>
    <row r="1855" spans="1:2" ht="15.75" customHeight="1" x14ac:dyDescent="0.25">
      <c r="A1855" s="13" t="str">
        <f ca="1">IFERROR(__xludf.DUMMYFUNCTION("""COMPUTED_VALUE"""),"pdata_s_loss_noload_hv_lv2")</f>
        <v>pdata_s_loss_noload_hv_lv2</v>
      </c>
      <c r="B1855" s="13" t="str">
        <f ca="1">IFERROR(__xludf.DUMMYFUNCTION("""COMPUTED_VALUE"""),"Мощность потерь кз на на основном ответвлении ВН-НН2")</f>
        <v>Мощность потерь кз на на основном ответвлении ВН-НН2</v>
      </c>
    </row>
    <row r="1856" spans="1:2" ht="15.75" customHeight="1" x14ac:dyDescent="0.25">
      <c r="A1856" s="13" t="str">
        <f ca="1">IFERROR(__xludf.DUMMYFUNCTION("""COMPUTED_VALUE"""),"pdata_s_loss_noload_hv_mv")</f>
        <v>pdata_s_loss_noload_hv_mv</v>
      </c>
      <c r="B1856" s="13" t="str">
        <f ca="1">IFERROR(__xludf.DUMMYFUNCTION("""COMPUTED_VALUE"""),"Мощность потерь кз на на основном ответвлении ВН-СН")</f>
        <v>Мощность потерь кз на на основном ответвлении ВН-СН</v>
      </c>
    </row>
    <row r="1857" spans="1:2" ht="15.75" customHeight="1" x14ac:dyDescent="0.25">
      <c r="A1857" s="13" t="str">
        <f ca="1">IFERROR(__xludf.DUMMYFUNCTION("""COMPUTED_VALUE"""),"pdata_s_loss_noload_mv_lv")</f>
        <v>pdata_s_loss_noload_mv_lv</v>
      </c>
      <c r="B1857" s="13" t="str">
        <f ca="1">IFERROR(__xludf.DUMMYFUNCTION("""COMPUTED_VALUE"""),"Мощность потерь кз на на основном ответвлении СН-НН")</f>
        <v>Мощность потерь кз на на основном ответвлении СН-НН</v>
      </c>
    </row>
    <row r="1858" spans="1:2" ht="15.75" customHeight="1" x14ac:dyDescent="0.25">
      <c r="A1858" s="13" t="str">
        <f ca="1">IFERROR(__xludf.DUMMYFUNCTION("""COMPUTED_VALUE"""),"pdata_s_loss_shortcircuit_hv_mvmax")</f>
        <v>pdata_s_loss_shortcircuit_hv_mvmax</v>
      </c>
      <c r="B1858" s="13" t="str">
        <f ca="1">IFERROR(__xludf.DUMMYFUNCTION("""COMPUTED_VALUE"""),"Мощность потерь кз на ответвлении ВН-СНмакс")</f>
        <v>Мощность потерь кз на ответвлении ВН-СНмакс</v>
      </c>
    </row>
    <row r="1859" spans="1:2" ht="15.75" customHeight="1" x14ac:dyDescent="0.25">
      <c r="A1859" s="13" t="str">
        <f ca="1">IFERROR(__xludf.DUMMYFUNCTION("""COMPUTED_VALUE"""),"pdata_s_loss_shortcircuit_hv_mvmin")</f>
        <v>pdata_s_loss_shortcircuit_hv_mvmin</v>
      </c>
      <c r="B1859" s="13" t="str">
        <f ca="1">IFERROR(__xludf.DUMMYFUNCTION("""COMPUTED_VALUE"""),"Мощность потерь кз на ответвлении ВН-СНмин")</f>
        <v>Мощность потерь кз на ответвлении ВН-СНмин</v>
      </c>
    </row>
    <row r="1860" spans="1:2" ht="15.75" customHeight="1" x14ac:dyDescent="0.25">
      <c r="A1860" s="13" t="str">
        <f ca="1">IFERROR(__xludf.DUMMYFUNCTION("""COMPUTED_VALUE"""),"pdata_s_loss_shortcircuit_hvmax_lv")</f>
        <v>pdata_s_loss_shortcircuit_hvmax_lv</v>
      </c>
      <c r="B1860" s="13" t="str">
        <f ca="1">IFERROR(__xludf.DUMMYFUNCTION("""COMPUTED_VALUE"""),"Мощность потерь кз на ответвлении ВНмакс-НН")</f>
        <v>Мощность потерь кз на ответвлении ВНмакс-НН</v>
      </c>
    </row>
    <row r="1861" spans="1:2" ht="15.75" customHeight="1" x14ac:dyDescent="0.25">
      <c r="A1861" s="13" t="str">
        <f ca="1">IFERROR(__xludf.DUMMYFUNCTION("""COMPUTED_VALUE"""),"pdata_s_loss_shortcircuit_hvmax_lv1_lv2")</f>
        <v>pdata_s_loss_shortcircuit_hvmax_lv1_lv2</v>
      </c>
      <c r="B1861" s="13" t="str">
        <f ca="1">IFERROR(__xludf.DUMMYFUNCTION("""COMPUTED_VALUE"""),"Мощность потерь кз на ответвлении ВН-СНмакс")</f>
        <v>Мощность потерь кз на ответвлении ВН-СНмакс</v>
      </c>
    </row>
    <row r="1862" spans="1:2" ht="15.75" customHeight="1" x14ac:dyDescent="0.25">
      <c r="A1862" s="13" t="str">
        <f ca="1">IFERROR(__xludf.DUMMYFUNCTION("""COMPUTED_VALUE"""),"pdata_s_loss_shortcircuit_hvmin_lv")</f>
        <v>pdata_s_loss_shortcircuit_hvmin_lv</v>
      </c>
      <c r="B1862" s="13" t="str">
        <f ca="1">IFERROR(__xludf.DUMMYFUNCTION("""COMPUTED_VALUE"""),"Мощность потерь кз на ответвлении ВНмин-НН")</f>
        <v>Мощность потерь кз на ответвлении ВНмин-НН</v>
      </c>
    </row>
    <row r="1863" spans="1:2" ht="15.75" customHeight="1" x14ac:dyDescent="0.25">
      <c r="A1863" s="13" t="str">
        <f ca="1">IFERROR(__xludf.DUMMYFUNCTION("""COMPUTED_VALUE"""),"pdata_s_loss_shortcircuit_hvmin_lv1_lv2")</f>
        <v>pdata_s_loss_shortcircuit_hvmin_lv1_lv2</v>
      </c>
      <c r="B1863" s="13" t="str">
        <f ca="1">IFERROR(__xludf.DUMMYFUNCTION("""COMPUTED_VALUE"""),"Мощность потерь кз на ответвлении ВН-СНмин")</f>
        <v>Мощность потерь кз на ответвлении ВН-СНмин</v>
      </c>
    </row>
    <row r="1864" spans="1:2" ht="15.75" customHeight="1" x14ac:dyDescent="0.25">
      <c r="A1864" s="13" t="str">
        <f ca="1">IFERROR(__xludf.DUMMYFUNCTION("""COMPUTED_VALUE"""),"pdata_s_loss_shortcircuit_mvmax_lv")</f>
        <v>pdata_s_loss_shortcircuit_mvmax_lv</v>
      </c>
      <c r="B1864" s="13" t="str">
        <f ca="1">IFERROR(__xludf.DUMMYFUNCTION("""COMPUTED_VALUE"""),"Мощность потерь кз на ответвлении СНмакс-НН")</f>
        <v>Мощность потерь кз на ответвлении СНмакс-НН</v>
      </c>
    </row>
    <row r="1865" spans="1:2" ht="15.75" customHeight="1" x14ac:dyDescent="0.25">
      <c r="A1865" s="13" t="str">
        <f ca="1">IFERROR(__xludf.DUMMYFUNCTION("""COMPUTED_VALUE"""),"pdata_s_loss_shortcircuit_mvmin_lv")</f>
        <v>pdata_s_loss_shortcircuit_mvmin_lv</v>
      </c>
      <c r="B1865" s="13" t="str">
        <f ca="1">IFERROR(__xludf.DUMMYFUNCTION("""COMPUTED_VALUE"""),"Мощность потерь кз на ответвлении СНмин-НН")</f>
        <v>Мощность потерь кз на ответвлении СНмин-НН</v>
      </c>
    </row>
    <row r="1866" spans="1:2" ht="15.75" customHeight="1" x14ac:dyDescent="0.25">
      <c r="A1866" s="13" t="str">
        <f ca="1">IFERROR(__xludf.DUMMYFUNCTION("""COMPUTED_VALUE"""),"pdata_s_lv")</f>
        <v>pdata_s_lv</v>
      </c>
      <c r="B1866" s="13" t="str">
        <f ca="1">IFERROR(__xludf.DUMMYFUNCTION("""COMPUTED_VALUE"""),"Номинальная мощность НН")</f>
        <v>Номинальная мощность НН</v>
      </c>
    </row>
    <row r="1867" spans="1:2" ht="15.75" customHeight="1" x14ac:dyDescent="0.25">
      <c r="A1867" s="13" t="str">
        <f ca="1">IFERROR(__xludf.DUMMYFUNCTION("""COMPUTED_VALUE"""),"pdata_s_lv1")</f>
        <v>pdata_s_lv1</v>
      </c>
      <c r="B1867" s="13" t="str">
        <f ca="1">IFERROR(__xludf.DUMMYFUNCTION("""COMPUTED_VALUE"""),"Номинальная мощность НН1")</f>
        <v>Номинальная мощность НН1</v>
      </c>
    </row>
    <row r="1868" spans="1:2" ht="15.75" customHeight="1" x14ac:dyDescent="0.25">
      <c r="A1868" s="13" t="str">
        <f ca="1">IFERROR(__xludf.DUMMYFUNCTION("""COMPUTED_VALUE"""),"pdata_s_lv2")</f>
        <v>pdata_s_lv2</v>
      </c>
      <c r="B1868" s="13" t="str">
        <f ca="1">IFERROR(__xludf.DUMMYFUNCTION("""COMPUTED_VALUE"""),"Номинальная мощность НН2")</f>
        <v>Номинальная мощность НН2</v>
      </c>
    </row>
    <row r="1869" spans="1:2" ht="15.75" customHeight="1" x14ac:dyDescent="0.25">
      <c r="A1869" s="13" t="str">
        <f ca="1">IFERROR(__xludf.DUMMYFUNCTION("""COMPUTED_VALUE"""),"pdata_s_mv")</f>
        <v>pdata_s_mv</v>
      </c>
      <c r="B1869" s="13" t="str">
        <f ca="1">IFERROR(__xludf.DUMMYFUNCTION("""COMPUTED_VALUE"""),"Номинальная мощность СН")</f>
        <v>Номинальная мощность СН</v>
      </c>
    </row>
    <row r="1870" spans="1:2" ht="15.75" customHeight="1" x14ac:dyDescent="0.25">
      <c r="A1870" s="13" t="str">
        <f ca="1">IFERROR(__xludf.DUMMYFUNCTION("""COMPUTED_VALUE"""),"pdata_service")</f>
        <v>pdata_service</v>
      </c>
      <c r="B1870" s="13" t="str">
        <f ca="1">IFERROR(__xludf.DUMMYFUNCTION("""COMPUTED_VALUE"""),"Продолжительность ремонтов")</f>
        <v>Продолжительность ремонтов</v>
      </c>
    </row>
    <row r="1871" spans="1:2" ht="15.75" customHeight="1" x14ac:dyDescent="0.25">
      <c r="A1871" s="13" t="str">
        <f ca="1">IFERROR(__xludf.DUMMYFUNCTION("""COMPUTED_VALUE"""),"pdata_t_hst_rise")</f>
        <v>pdata_t_hst_rise</v>
      </c>
      <c r="B1871" s="13" t="str">
        <f ca="1">IFERROR(__xludf.DUMMYFUNCTION("""COMPUTED_VALUE"""),"Превышение температуры обмотки над температурой охлаждающей среды")</f>
        <v>Превышение температуры обмотки над температурой охлаждающей среды</v>
      </c>
    </row>
    <row r="1872" spans="1:2" ht="15.75" customHeight="1" x14ac:dyDescent="0.25">
      <c r="A1872" s="13" t="str">
        <f ca="1">IFERROR(__xludf.DUMMYFUNCTION("""COMPUTED_VALUE"""),"pdata_t_tp_rise")</f>
        <v>pdata_t_tp_rise</v>
      </c>
      <c r="B1872" s="13" t="str">
        <f ca="1">IFERROR(__xludf.DUMMYFUNCTION("""COMPUTED_VALUE"""),"Превышение температуры масла над температурой охлаждающей среды")</f>
        <v>Превышение температуры масла над температурой охлаждающей среды</v>
      </c>
    </row>
    <row r="1873" spans="1:2" ht="15.75" customHeight="1" x14ac:dyDescent="0.25">
      <c r="A1873" s="13" t="str">
        <f ca="1">IFERROR(__xludf.DUMMYFUNCTION("""COMPUTED_VALUE"""),"pdata_temp_r15_r60")</f>
        <v>pdata_temp_r15_r60</v>
      </c>
      <c r="B1873" s="13" t="str">
        <f ca="1">IFERROR(__xludf.DUMMYFUNCTION("""COMPUTED_VALUE"""),"Температура при которой измерялись сопротивление обмоток постоянному току")</f>
        <v>Температура при которой измерялись сопротивление обмоток постоянному току</v>
      </c>
    </row>
    <row r="1874" spans="1:2" ht="15.75" customHeight="1" x14ac:dyDescent="0.25">
      <c r="A1874" s="13" t="str">
        <f ca="1">IFERROR(__xludf.DUMMYFUNCTION("""COMPUTED_VALUE"""),"pdata_tg_hv_r15")</f>
        <v>pdata_tg_hv_r15</v>
      </c>
      <c r="B1874" s="13" t="str">
        <f ca="1">IFERROR(__xludf.DUMMYFUNCTION("""COMPUTED_VALUE"""),"Тангенс угла диэл. потерь изоляции обмотки ВН через 15 с после подачи напряжения")</f>
        <v>Тангенс угла диэл. потерь изоляции обмотки ВН через 15 с после подачи напряжения</v>
      </c>
    </row>
    <row r="1875" spans="1:2" ht="15.75" customHeight="1" x14ac:dyDescent="0.25">
      <c r="A1875" s="13" t="str">
        <f ca="1">IFERROR(__xludf.DUMMYFUNCTION("""COMPUTED_VALUE"""),"pdata_tg_hv_r60")</f>
        <v>pdata_tg_hv_r60</v>
      </c>
      <c r="B1875" s="13" t="str">
        <f ca="1">IFERROR(__xludf.DUMMYFUNCTION("""COMPUTED_VALUE"""),"Тангенс угла диэл. потерь изоляции обмотки ВН через 60 с после подачи напряжения")</f>
        <v>Тангенс угла диэл. потерь изоляции обмотки ВН через 60 с после подачи напряжения</v>
      </c>
    </row>
    <row r="1876" spans="1:2" ht="15.75" customHeight="1" x14ac:dyDescent="0.25">
      <c r="A1876" s="13" t="str">
        <f ca="1">IFERROR(__xludf.DUMMYFUNCTION("""COMPUTED_VALUE"""),"pdata_tg_lv_r15")</f>
        <v>pdata_tg_lv_r15</v>
      </c>
      <c r="B1876" s="13" t="str">
        <f ca="1">IFERROR(__xludf.DUMMYFUNCTION("""COMPUTED_VALUE"""),"Тангенс угла диэл. потерь изоляции обмотки НН через 15 с после подачи напряжения")</f>
        <v>Тангенс угла диэл. потерь изоляции обмотки НН через 15 с после подачи напряжения</v>
      </c>
    </row>
    <row r="1877" spans="1:2" ht="15.75" customHeight="1" x14ac:dyDescent="0.25">
      <c r="A1877" s="13" t="str">
        <f ca="1">IFERROR(__xludf.DUMMYFUNCTION("""COMPUTED_VALUE"""),"pdata_tg_lv_r60")</f>
        <v>pdata_tg_lv_r60</v>
      </c>
      <c r="B1877" s="13" t="str">
        <f ca="1">IFERROR(__xludf.DUMMYFUNCTION("""COMPUTED_VALUE"""),"Тангенс угла диэл. потерь изоляции обмотки НН через 60 с после подачи напряжения")</f>
        <v>Тангенс угла диэл. потерь изоляции обмотки НН через 60 с после подачи напряжения</v>
      </c>
    </row>
    <row r="1878" spans="1:2" ht="15.75" customHeight="1" x14ac:dyDescent="0.25">
      <c r="A1878" s="13" t="str">
        <f ca="1">IFERROR(__xludf.DUMMYFUNCTION("""COMPUTED_VALUE"""),"pdata_tg_lv1_r15")</f>
        <v>pdata_tg_lv1_r15</v>
      </c>
      <c r="B1878" s="13" t="str">
        <f ca="1">IFERROR(__xludf.DUMMYFUNCTION("""COMPUTED_VALUE"""),"Тангенс угла диэл. потерь изоляции обмотки НН1 через 15 с после подачи напряжения")</f>
        <v>Тангенс угла диэл. потерь изоляции обмотки НН1 через 15 с после подачи напряжения</v>
      </c>
    </row>
    <row r="1879" spans="1:2" ht="15.75" customHeight="1" x14ac:dyDescent="0.25">
      <c r="A1879" s="13" t="str">
        <f ca="1">IFERROR(__xludf.DUMMYFUNCTION("""COMPUTED_VALUE"""),"pdata_tg_lv1_r60")</f>
        <v>pdata_tg_lv1_r60</v>
      </c>
      <c r="B1879" s="13" t="str">
        <f ca="1">IFERROR(__xludf.DUMMYFUNCTION("""COMPUTED_VALUE"""),"Тангенс угла диэл. потерь изоляции обмотки НН1 через 60 с после подачи напряжения")</f>
        <v>Тангенс угла диэл. потерь изоляции обмотки НН1 через 60 с после подачи напряжения</v>
      </c>
    </row>
    <row r="1880" spans="1:2" ht="15.75" customHeight="1" x14ac:dyDescent="0.25">
      <c r="A1880" s="13" t="str">
        <f ca="1">IFERROR(__xludf.DUMMYFUNCTION("""COMPUTED_VALUE"""),"pdata_tg_lv2_r15")</f>
        <v>pdata_tg_lv2_r15</v>
      </c>
      <c r="B1880" s="13" t="str">
        <f ca="1">IFERROR(__xludf.DUMMYFUNCTION("""COMPUTED_VALUE"""),"Тангенс угла диэл. потерь изоляции обмотки НН2 через 15 с после подачи напряжения")</f>
        <v>Тангенс угла диэл. потерь изоляции обмотки НН2 через 15 с после подачи напряжения</v>
      </c>
    </row>
    <row r="1881" spans="1:2" ht="15.75" customHeight="1" x14ac:dyDescent="0.25">
      <c r="A1881" s="13" t="str">
        <f ca="1">IFERROR(__xludf.DUMMYFUNCTION("""COMPUTED_VALUE"""),"pdata_tg_lv2_r60")</f>
        <v>pdata_tg_lv2_r60</v>
      </c>
      <c r="B1881" s="13" t="str">
        <f ca="1">IFERROR(__xludf.DUMMYFUNCTION("""COMPUTED_VALUE"""),"Тангенс угла диэл. потерь изоляции обмотки НН2 через 60 с после подачи напряжения")</f>
        <v>Тангенс угла диэл. потерь изоляции обмотки НН2 через 60 с после подачи напряжения</v>
      </c>
    </row>
    <row r="1882" spans="1:2" ht="15.75" customHeight="1" x14ac:dyDescent="0.25">
      <c r="A1882" s="13" t="str">
        <f ca="1">IFERROR(__xludf.DUMMYFUNCTION("""COMPUTED_VALUE"""),"pdata_tg_mv_r15")</f>
        <v>pdata_tg_mv_r15</v>
      </c>
      <c r="B1882" s="13" t="str">
        <f ca="1">IFERROR(__xludf.DUMMYFUNCTION("""COMPUTED_VALUE"""),"Тангенс угла диэл. потерь изоляции обмотки CН через 15 с после подачи напряжения")</f>
        <v>Тангенс угла диэл. потерь изоляции обмотки CН через 15 с после подачи напряжения</v>
      </c>
    </row>
    <row r="1883" spans="1:2" ht="15.75" customHeight="1" x14ac:dyDescent="0.25">
      <c r="A1883" s="13" t="str">
        <f ca="1">IFERROR(__xludf.DUMMYFUNCTION("""COMPUTED_VALUE"""),"pdata_tg_mv_r60")</f>
        <v>pdata_tg_mv_r60</v>
      </c>
      <c r="B1883" s="13" t="str">
        <f ca="1">IFERROR(__xludf.DUMMYFUNCTION("""COMPUTED_VALUE"""),"Тангенс угла диэл. потерь изоляции обмотки CН через 60 с после подачи напряжения")</f>
        <v>Тангенс угла диэл. потерь изоляции обмотки CН через 60 с после подачи напряжения</v>
      </c>
    </row>
    <row r="1884" spans="1:2" ht="15.75" customHeight="1" x14ac:dyDescent="0.25">
      <c r="A1884" s="13" t="str">
        <f ca="1">IFERROR(__xludf.DUMMYFUNCTION("""COMPUTED_VALUE"""),"pdata_tg_oil_90")</f>
        <v>pdata_tg_oil_90</v>
      </c>
      <c r="B1884" s="13" t="str">
        <f ca="1">IFERROR(__xludf.DUMMYFUNCTION("""COMPUTED_VALUE"""),"Тангенс угла диэлектрических потерь масла при температуре 90 °С")</f>
        <v>Тангенс угла диэлектрических потерь масла при температуре 90 °С</v>
      </c>
    </row>
    <row r="1885" spans="1:2" ht="15.75" customHeight="1" x14ac:dyDescent="0.25">
      <c r="A1885" s="13" t="str">
        <f ca="1">IFERROR(__xludf.DUMMYFUNCTION("""COMPUTED_VALUE"""),"pdata_u_hv")</f>
        <v>pdata_u_hv</v>
      </c>
      <c r="B1885" s="13" t="str">
        <f ca="1">IFERROR(__xludf.DUMMYFUNCTION("""COMPUTED_VALUE"""),"Класс напряжения ВН")</f>
        <v>Класс напряжения ВН</v>
      </c>
    </row>
    <row r="1886" spans="1:2" ht="15.75" customHeight="1" x14ac:dyDescent="0.25">
      <c r="A1886" s="13" t="str">
        <f ca="1">IFERROR(__xludf.DUMMYFUNCTION("""COMPUTED_VALUE"""),"pdata_u_hv_nom")</f>
        <v>pdata_u_hv_nom</v>
      </c>
      <c r="B1886" s="13" t="str">
        <f ca="1">IFERROR(__xludf.DUMMYFUNCTION("""COMPUTED_VALUE"""),"Номинальное напряжение ВН")</f>
        <v>Номинальное напряжение ВН</v>
      </c>
    </row>
    <row r="1887" spans="1:2" ht="15.75" customHeight="1" x14ac:dyDescent="0.25">
      <c r="A1887" s="13" t="str">
        <f ca="1">IFERROR(__xludf.DUMMYFUNCTION("""COMPUTED_VALUE"""),"pdata_u_ltc")</f>
        <v>pdata_u_ltc</v>
      </c>
      <c r="B1887" s="13" t="str">
        <f ca="1">IFERROR(__xludf.DUMMYFUNCTION("""COMPUTED_VALUE"""),"Номинальные напряжения при разных положениях РПН")</f>
        <v>Номинальные напряжения при разных положениях РПН</v>
      </c>
    </row>
    <row r="1888" spans="1:2" ht="15.75" customHeight="1" x14ac:dyDescent="0.25">
      <c r="A1888" s="13" t="str">
        <f ca="1">IFERROR(__xludf.DUMMYFUNCTION("""COMPUTED_VALUE"""),"pdata_u_lv")</f>
        <v>pdata_u_lv</v>
      </c>
      <c r="B1888" s="13" t="str">
        <f ca="1">IFERROR(__xludf.DUMMYFUNCTION("""COMPUTED_VALUE"""),"Класс напряжения НН")</f>
        <v>Класс напряжения НН</v>
      </c>
    </row>
    <row r="1889" spans="1:2" ht="15.75" customHeight="1" x14ac:dyDescent="0.25">
      <c r="A1889" s="13" t="str">
        <f ca="1">IFERROR(__xludf.DUMMYFUNCTION("""COMPUTED_VALUE"""),"pdata_u_lv_nom")</f>
        <v>pdata_u_lv_nom</v>
      </c>
      <c r="B1889" s="13" t="str">
        <f ca="1">IFERROR(__xludf.DUMMYFUNCTION("""COMPUTED_VALUE"""),"Номинальное напряжение НН")</f>
        <v>Номинальное напряжение НН</v>
      </c>
    </row>
    <row r="1890" spans="1:2" ht="15.75" customHeight="1" x14ac:dyDescent="0.25">
      <c r="A1890" s="13" t="str">
        <f ca="1">IFERROR(__xludf.DUMMYFUNCTION("""COMPUTED_VALUE"""),"pdata_u_lv1_nom")</f>
        <v>pdata_u_lv1_nom</v>
      </c>
      <c r="B1890" s="13" t="str">
        <f ca="1">IFERROR(__xludf.DUMMYFUNCTION("""COMPUTED_VALUE"""),"Номинальное напряжение НН1")</f>
        <v>Номинальное напряжение НН1</v>
      </c>
    </row>
    <row r="1891" spans="1:2" ht="15.75" customHeight="1" x14ac:dyDescent="0.25">
      <c r="A1891" s="13" t="str">
        <f ca="1">IFERROR(__xludf.DUMMYFUNCTION("""COMPUTED_VALUE"""),"pdata_u_lv2_nom")</f>
        <v>pdata_u_lv2_nom</v>
      </c>
      <c r="B1891" s="13" t="str">
        <f ca="1">IFERROR(__xludf.DUMMYFUNCTION("""COMPUTED_VALUE"""),"Номинальное напряжение НН2")</f>
        <v>Номинальное напряжение НН2</v>
      </c>
    </row>
    <row r="1892" spans="1:2" ht="15.75" customHeight="1" x14ac:dyDescent="0.25">
      <c r="A1892" s="13" t="str">
        <f ca="1">IFERROR(__xludf.DUMMYFUNCTION("""COMPUTED_VALUE"""),"pdata_u_mv")</f>
        <v>pdata_u_mv</v>
      </c>
      <c r="B1892" s="13" t="str">
        <f ca="1">IFERROR(__xludf.DUMMYFUNCTION("""COMPUTED_VALUE"""),"Класс напряжения СН")</f>
        <v>Класс напряжения СН</v>
      </c>
    </row>
    <row r="1893" spans="1:2" ht="15.75" customHeight="1" x14ac:dyDescent="0.25">
      <c r="A1893" s="13" t="str">
        <f ca="1">IFERROR(__xludf.DUMMYFUNCTION("""COMPUTED_VALUE"""),"pdata_u_mv_nom")</f>
        <v>pdata_u_mv_nom</v>
      </c>
      <c r="B1893" s="13" t="str">
        <f ca="1">IFERROR(__xludf.DUMMYFUNCTION("""COMPUTED_VALUE"""),"Номинальное напряжение СН")</f>
        <v>Номинальное напряжение СН</v>
      </c>
    </row>
    <row r="1894" spans="1:2" ht="15.75" customHeight="1" x14ac:dyDescent="0.25">
      <c r="A1894" s="13" t="str">
        <f ca="1">IFERROR(__xludf.DUMMYFUNCTION("""COMPUTED_VALUE"""),"pdata_u_shortcircuit_hv_lv")</f>
        <v>pdata_u_shortcircuit_hv_lv</v>
      </c>
      <c r="B1894" s="13" t="str">
        <f ca="1">IFERROR(__xludf.DUMMYFUNCTION("""COMPUTED_VALUE"""),"Напряжение короткого замыкания на основном ответвлении ВН-НН")</f>
        <v>Напряжение короткого замыкания на основном ответвлении ВН-НН</v>
      </c>
    </row>
    <row r="1895" spans="1:2" ht="15.75" customHeight="1" x14ac:dyDescent="0.25">
      <c r="A1895" s="13" t="str">
        <f ca="1">IFERROR(__xludf.DUMMYFUNCTION("""COMPUTED_VALUE"""),"pdata_u_shortcircuit_hv_lv1")</f>
        <v>pdata_u_shortcircuit_hv_lv1</v>
      </c>
      <c r="B1895" s="13" t="str">
        <f ca="1">IFERROR(__xludf.DUMMYFUNCTION("""COMPUTED_VALUE"""),"Напряжение короткого замыкания на основном ответвлении ВН-НН1")</f>
        <v>Напряжение короткого замыкания на основном ответвлении ВН-НН1</v>
      </c>
    </row>
    <row r="1896" spans="1:2" ht="15.75" customHeight="1" x14ac:dyDescent="0.25">
      <c r="A1896" s="13" t="str">
        <f ca="1">IFERROR(__xludf.DUMMYFUNCTION("""COMPUTED_VALUE"""),"pdata_u_shortcircuit_hv_lv2")</f>
        <v>pdata_u_shortcircuit_hv_lv2</v>
      </c>
      <c r="B1896" s="13" t="str">
        <f ca="1">IFERROR(__xludf.DUMMYFUNCTION("""COMPUTED_VALUE"""),"Напряжение короткого замыкания на основном ответвлении ВН-НН2")</f>
        <v>Напряжение короткого замыкания на основном ответвлении ВН-НН2</v>
      </c>
    </row>
    <row r="1897" spans="1:2" ht="15.75" customHeight="1" x14ac:dyDescent="0.25">
      <c r="A1897" s="13" t="str">
        <f ca="1">IFERROR(__xludf.DUMMYFUNCTION("""COMPUTED_VALUE"""),"pdata_u_shortcircuit_hv_mv")</f>
        <v>pdata_u_shortcircuit_hv_mv</v>
      </c>
      <c r="B1897" s="13" t="str">
        <f ca="1">IFERROR(__xludf.DUMMYFUNCTION("""COMPUTED_VALUE"""),"Напряжение короткого замыкания на основном ответвлении ВН-СН")</f>
        <v>Напряжение короткого замыкания на основном ответвлении ВН-СН</v>
      </c>
    </row>
    <row r="1898" spans="1:2" ht="15.75" customHeight="1" x14ac:dyDescent="0.25">
      <c r="A1898" s="13" t="str">
        <f ca="1">IFERROR(__xludf.DUMMYFUNCTION("""COMPUTED_VALUE"""),"pdata_u_shortcircuit_hv_mvmax")</f>
        <v>pdata_u_shortcircuit_hv_mvmax</v>
      </c>
      <c r="B1898" s="13" t="str">
        <f ca="1">IFERROR(__xludf.DUMMYFUNCTION("""COMPUTED_VALUE"""),"Напряжение короткого замыкания на ответвлении ВН-СНмакс")</f>
        <v>Напряжение короткого замыкания на ответвлении ВН-СНмакс</v>
      </c>
    </row>
    <row r="1899" spans="1:2" ht="15.75" customHeight="1" x14ac:dyDescent="0.25">
      <c r="A1899" s="13" t="str">
        <f ca="1">IFERROR(__xludf.DUMMYFUNCTION("""COMPUTED_VALUE"""),"pdata_u_shortcircuit_hv_mvmin")</f>
        <v>pdata_u_shortcircuit_hv_mvmin</v>
      </c>
      <c r="B1899" s="13" t="str">
        <f ca="1">IFERROR(__xludf.DUMMYFUNCTION("""COMPUTED_VALUE"""),"Напряжение короткого замыкания на ответвлении ВН-СНмин")</f>
        <v>Напряжение короткого замыкания на ответвлении ВН-СНмин</v>
      </c>
    </row>
    <row r="1900" spans="1:2" ht="15.75" customHeight="1" x14ac:dyDescent="0.25">
      <c r="A1900" s="13" t="str">
        <f ca="1">IFERROR(__xludf.DUMMYFUNCTION("""COMPUTED_VALUE"""),"pdata_u_shortcircuit_hvmax_lv")</f>
        <v>pdata_u_shortcircuit_hvmax_lv</v>
      </c>
      <c r="B1900" s="13" t="str">
        <f ca="1">IFERROR(__xludf.DUMMYFUNCTION("""COMPUTED_VALUE"""),"Напряжение короткого замыкания на ответвлении ВНмакс-НН")</f>
        <v>Напряжение короткого замыкания на ответвлении ВНмакс-НН</v>
      </c>
    </row>
    <row r="1901" spans="1:2" ht="15.75" customHeight="1" x14ac:dyDescent="0.25">
      <c r="A1901" s="13" t="str">
        <f ca="1">IFERROR(__xludf.DUMMYFUNCTION("""COMPUTED_VALUE"""),"pdata_u_shortcircuit_hvmin_lv")</f>
        <v>pdata_u_shortcircuit_hvmin_lv</v>
      </c>
      <c r="B1901" s="13" t="str">
        <f ca="1">IFERROR(__xludf.DUMMYFUNCTION("""COMPUTED_VALUE"""),"Напряжение короткого замыкания на ответвлении ВНмин-НН")</f>
        <v>Напряжение короткого замыкания на ответвлении ВНмин-НН</v>
      </c>
    </row>
    <row r="1902" spans="1:2" ht="15.75" customHeight="1" x14ac:dyDescent="0.25">
      <c r="A1902" s="13" t="str">
        <f ca="1">IFERROR(__xludf.DUMMYFUNCTION("""COMPUTED_VALUE"""),"pdata_u_shortcircuit_mv_lv")</f>
        <v>pdata_u_shortcircuit_mv_lv</v>
      </c>
      <c r="B1902" s="13" t="str">
        <f ca="1">IFERROR(__xludf.DUMMYFUNCTION("""COMPUTED_VALUE"""),"Напряжение короткого замыкания на основном ответвлении СН-НН")</f>
        <v>Напряжение короткого замыкания на основном ответвлении СН-НН</v>
      </c>
    </row>
    <row r="1903" spans="1:2" ht="15.75" customHeight="1" x14ac:dyDescent="0.25">
      <c r="A1903" s="13" t="str">
        <f ca="1">IFERROR(__xludf.DUMMYFUNCTION("""COMPUTED_VALUE"""),"pdata_u_shortcircuit_mvmax_lv")</f>
        <v>pdata_u_shortcircuit_mvmax_lv</v>
      </c>
      <c r="B1903" s="13" t="str">
        <f ca="1">IFERROR(__xludf.DUMMYFUNCTION("""COMPUTED_VALUE"""),"Напряжение короткого замыкания на ответвлении СНмакс-НН")</f>
        <v>Напряжение короткого замыкания на ответвлении СНмакс-НН</v>
      </c>
    </row>
    <row r="1904" spans="1:2" ht="15.75" customHeight="1" x14ac:dyDescent="0.25">
      <c r="A1904" s="13" t="str">
        <f ca="1">IFERROR(__xludf.DUMMYFUNCTION("""COMPUTED_VALUE"""),"pdata_u_shortcircuit_mvmin_lv")</f>
        <v>pdata_u_shortcircuit_mvmin_lv</v>
      </c>
      <c r="B1904" s="13" t="str">
        <f ca="1">IFERROR(__xludf.DUMMYFUNCTION("""COMPUTED_VALUE"""),"Напряжение короткого замыкания на ответвлении СНмин-НН")</f>
        <v>Напряжение короткого замыкания на ответвлении СНмин-НН</v>
      </c>
    </row>
    <row r="1905" spans="1:2" ht="15.75" customHeight="1" x14ac:dyDescent="0.25">
      <c r="A1905" s="13" t="str">
        <f ca="1">IFERROR(__xludf.DUMMYFUNCTION("""COMPUTED_VALUE"""),"pdata_voltage_oil_resistance")</f>
        <v>pdata_voltage_oil_resistance</v>
      </c>
      <c r="B1905" s="13" t="str">
        <f ca="1">IFERROR(__xludf.DUMMYFUNCTION("""COMPUTED_VALUE"""),"Пробивное напряжение масла трансформатора")</f>
        <v>Пробивное напряжение масла трансформатора</v>
      </c>
    </row>
    <row r="1906" spans="1:2" ht="15.75" customHeight="1" x14ac:dyDescent="0.25">
      <c r="A1906" s="13" t="str">
        <f ca="1">IFERROR(__xludf.DUMMYFUNCTION("""COMPUTED_VALUE"""),"pdata_yr")</f>
        <v>pdata_yr</v>
      </c>
      <c r="B1906" s="13" t="str">
        <f ca="1">IFERROR(__xludf.DUMMYFUNCTION("""COMPUTED_VALUE"""),"Год ввода в эксплуатацию")</f>
        <v>Год ввода в эксплуатацию</v>
      </c>
    </row>
    <row r="1907" spans="1:2" ht="15.75" customHeight="1" x14ac:dyDescent="0.25">
      <c r="A1907" s="13" t="str">
        <f ca="1">IFERROR(__xludf.DUMMYFUNCTION("""COMPUTED_VALUE"""),"phi_pa_hv")</f>
        <v>phi_pa_hv</v>
      </c>
      <c r="B1907" s="13" t="str">
        <f ca="1">IFERROR(__xludf.DUMMYFUNCTION("""COMPUTED_VALUE"""),"Угол φ ВН: Фаза A")</f>
        <v>Угол φ ВН: Фаза A</v>
      </c>
    </row>
    <row r="1908" spans="1:2" ht="15.75" customHeight="1" x14ac:dyDescent="0.25">
      <c r="A1908" s="13" t="str">
        <f ca="1">IFERROR(__xludf.DUMMYFUNCTION("""COMPUTED_VALUE"""),"phi_pb_hv")</f>
        <v>phi_pb_hv</v>
      </c>
      <c r="B1908" s="13" t="str">
        <f ca="1">IFERROR(__xludf.DUMMYFUNCTION("""COMPUTED_VALUE"""),"Угол φ ВН: Фаза B")</f>
        <v>Угол φ ВН: Фаза B</v>
      </c>
    </row>
    <row r="1909" spans="1:2" ht="15.75" customHeight="1" x14ac:dyDescent="0.25">
      <c r="A1909" s="13" t="str">
        <f ca="1">IFERROR(__xludf.DUMMYFUNCTION("""COMPUTED_VALUE"""),"phi_pc_hv")</f>
        <v>phi_pc_hv</v>
      </c>
      <c r="B1909" s="13" t="str">
        <f ca="1">IFERROR(__xludf.DUMMYFUNCTION("""COMPUTED_VALUE"""),"Угол φ ВН: Фаза C")</f>
        <v>Угол φ ВН: Фаза C</v>
      </c>
    </row>
    <row r="1910" spans="1:2" ht="15.75" customHeight="1" x14ac:dyDescent="0.25">
      <c r="A1910" s="13" t="str">
        <f ca="1">IFERROR(__xludf.DUMMYFUNCTION("""COMPUTED_VALUE"""),"pressure_release_valve_actuation")</f>
        <v>pressure_release_valve_actuation</v>
      </c>
      <c r="B1910" s="13" t="str">
        <f ca="1">IFERROR(__xludf.DUMMYFUNCTION("""COMPUTED_VALUE"""),"Срабатывание клапана сброса давления")</f>
        <v>Срабатывание клапана сброса давления</v>
      </c>
    </row>
    <row r="1911" spans="1:2" ht="15.75" customHeight="1" x14ac:dyDescent="0.25">
      <c r="A1911" s="13" t="str">
        <f ca="1">IFERROR(__xludf.DUMMYFUNCTION("""COMPUTED_VALUE"""),"q_loss_noload")</f>
        <v>q_loss_noload</v>
      </c>
      <c r="B1911" s="13" t="str">
        <f ca="1">IFERROR(__xludf.DUMMYFUNCTION("""COMPUTED_VALUE"""),"Реактивная мощность потерь хх (в стали)")</f>
        <v>Реактивная мощность потерь хх (в стали)</v>
      </c>
    </row>
    <row r="1912" spans="1:2" ht="15.75" customHeight="1" x14ac:dyDescent="0.25">
      <c r="A1912" s="13" t="str">
        <f ca="1">IFERROR(__xludf.DUMMYFUNCTION("""COMPUTED_VALUE"""),"q_loss_shortcircuit")</f>
        <v>q_loss_shortcircuit</v>
      </c>
      <c r="B1912" s="13" t="str">
        <f ca="1">IFERROR(__xludf.DUMMYFUNCTION("""COMPUTED_VALUE"""),"Реактивная мощность потерь кз (в меди)")</f>
        <v>Реактивная мощность потерь кз (в меди)</v>
      </c>
    </row>
    <row r="1913" spans="1:2" ht="15.75" customHeight="1" x14ac:dyDescent="0.25">
      <c r="A1913" s="13" t="str">
        <f ca="1">IFERROR(__xludf.DUMMYFUNCTION("""COMPUTED_VALUE"""),"q_pa_hv")</f>
        <v>q_pa_hv</v>
      </c>
      <c r="B1913" s="13" t="str">
        <f ca="1">IFERROR(__xludf.DUMMYFUNCTION("""COMPUTED_VALUE"""),"Мощность реактивная ВН, фаза A")</f>
        <v>Мощность реактивная ВН, фаза A</v>
      </c>
    </row>
    <row r="1914" spans="1:2" ht="15.75" customHeight="1" x14ac:dyDescent="0.25">
      <c r="A1914" s="13" t="str">
        <f ca="1">IFERROR(__xludf.DUMMYFUNCTION("""COMPUTED_VALUE"""),"q_pa_lv")</f>
        <v>q_pa_lv</v>
      </c>
      <c r="B1914" s="13" t="str">
        <f ca="1">IFERROR(__xludf.DUMMYFUNCTION("""COMPUTED_VALUE"""),"Мощность реактивная НН, фаза A")</f>
        <v>Мощность реактивная НН, фаза A</v>
      </c>
    </row>
    <row r="1915" spans="1:2" ht="15.75" customHeight="1" x14ac:dyDescent="0.25">
      <c r="A1915" s="13" t="str">
        <f ca="1">IFERROR(__xludf.DUMMYFUNCTION("""COMPUTED_VALUE"""),"q_pa_lv1")</f>
        <v>q_pa_lv1</v>
      </c>
      <c r="B1915" s="13" t="str">
        <f ca="1">IFERROR(__xludf.DUMMYFUNCTION("""COMPUTED_VALUE"""),"Мощность реактивная НН1, фаза A")</f>
        <v>Мощность реактивная НН1, фаза A</v>
      </c>
    </row>
    <row r="1916" spans="1:2" ht="15.75" customHeight="1" x14ac:dyDescent="0.25">
      <c r="A1916" s="13" t="str">
        <f ca="1">IFERROR(__xludf.DUMMYFUNCTION("""COMPUTED_VALUE"""),"q_pa_lv2")</f>
        <v>q_pa_lv2</v>
      </c>
      <c r="B1916" s="13" t="str">
        <f ca="1">IFERROR(__xludf.DUMMYFUNCTION("""COMPUTED_VALUE"""),"Мощность реактивная НН2, фаза A")</f>
        <v>Мощность реактивная НН2, фаза A</v>
      </c>
    </row>
    <row r="1917" spans="1:2" ht="15.75" customHeight="1" x14ac:dyDescent="0.25">
      <c r="A1917" s="13" t="str">
        <f ca="1">IFERROR(__xludf.DUMMYFUNCTION("""COMPUTED_VALUE"""),"q_pa_mv")</f>
        <v>q_pa_mv</v>
      </c>
      <c r="B1917" s="13" t="str">
        <f ca="1">IFERROR(__xludf.DUMMYFUNCTION("""COMPUTED_VALUE"""),"Мощность реактивная СН, фаза A")</f>
        <v>Мощность реактивная СН, фаза A</v>
      </c>
    </row>
    <row r="1918" spans="1:2" ht="15.75" customHeight="1" x14ac:dyDescent="0.25">
      <c r="A1918" s="13" t="str">
        <f ca="1">IFERROR(__xludf.DUMMYFUNCTION("""COMPUTED_VALUE"""),"q_pb_hv")</f>
        <v>q_pb_hv</v>
      </c>
      <c r="B1918" s="13" t="str">
        <f ca="1">IFERROR(__xludf.DUMMYFUNCTION("""COMPUTED_VALUE"""),"Мощность реактивная ВН, фаза B")</f>
        <v>Мощность реактивная ВН, фаза B</v>
      </c>
    </row>
    <row r="1919" spans="1:2" ht="15.75" customHeight="1" x14ac:dyDescent="0.25">
      <c r="A1919" s="13" t="str">
        <f ca="1">IFERROR(__xludf.DUMMYFUNCTION("""COMPUTED_VALUE"""),"q_pb_lv")</f>
        <v>q_pb_lv</v>
      </c>
      <c r="B1919" s="13" t="str">
        <f ca="1">IFERROR(__xludf.DUMMYFUNCTION("""COMPUTED_VALUE"""),"Мощность реактивная НН, фаза B")</f>
        <v>Мощность реактивная НН, фаза B</v>
      </c>
    </row>
    <row r="1920" spans="1:2" ht="15.75" customHeight="1" x14ac:dyDescent="0.25">
      <c r="A1920" s="13" t="str">
        <f ca="1">IFERROR(__xludf.DUMMYFUNCTION("""COMPUTED_VALUE"""),"q_pb_lv1")</f>
        <v>q_pb_lv1</v>
      </c>
      <c r="B1920" s="13" t="str">
        <f ca="1">IFERROR(__xludf.DUMMYFUNCTION("""COMPUTED_VALUE"""),"Мощность реактивная НН1, фаза B")</f>
        <v>Мощность реактивная НН1, фаза B</v>
      </c>
    </row>
    <row r="1921" spans="1:2" ht="15.75" customHeight="1" x14ac:dyDescent="0.25">
      <c r="A1921" s="13" t="str">
        <f ca="1">IFERROR(__xludf.DUMMYFUNCTION("""COMPUTED_VALUE"""),"q_pb_lv2")</f>
        <v>q_pb_lv2</v>
      </c>
      <c r="B1921" s="13" t="str">
        <f ca="1">IFERROR(__xludf.DUMMYFUNCTION("""COMPUTED_VALUE"""),"Мощность реактивная НН2, фаза B")</f>
        <v>Мощность реактивная НН2, фаза B</v>
      </c>
    </row>
    <row r="1922" spans="1:2" ht="15.75" customHeight="1" x14ac:dyDescent="0.25">
      <c r="A1922" s="13" t="str">
        <f ca="1">IFERROR(__xludf.DUMMYFUNCTION("""COMPUTED_VALUE"""),"q_pb_mv")</f>
        <v>q_pb_mv</v>
      </c>
      <c r="B1922" s="13" t="str">
        <f ca="1">IFERROR(__xludf.DUMMYFUNCTION("""COMPUTED_VALUE"""),"Мощность реактивная СН, фаза B")</f>
        <v>Мощность реактивная СН, фаза B</v>
      </c>
    </row>
    <row r="1923" spans="1:2" ht="15.75" customHeight="1" x14ac:dyDescent="0.25">
      <c r="A1923" s="13" t="str">
        <f ca="1">IFERROR(__xludf.DUMMYFUNCTION("""COMPUTED_VALUE"""),"q_pc_hv")</f>
        <v>q_pc_hv</v>
      </c>
      <c r="B1923" s="13" t="str">
        <f ca="1">IFERROR(__xludf.DUMMYFUNCTION("""COMPUTED_VALUE"""),"Мощность реактивная ВН, фаза C")</f>
        <v>Мощность реактивная ВН, фаза C</v>
      </c>
    </row>
    <row r="1924" spans="1:2" ht="15.75" customHeight="1" x14ac:dyDescent="0.25">
      <c r="A1924" s="13" t="str">
        <f ca="1">IFERROR(__xludf.DUMMYFUNCTION("""COMPUTED_VALUE"""),"q_pc_lv")</f>
        <v>q_pc_lv</v>
      </c>
      <c r="B1924" s="13" t="str">
        <f ca="1">IFERROR(__xludf.DUMMYFUNCTION("""COMPUTED_VALUE"""),"Мощность реактивная НН, фаза C")</f>
        <v>Мощность реактивная НН, фаза C</v>
      </c>
    </row>
    <row r="1925" spans="1:2" ht="15.75" customHeight="1" x14ac:dyDescent="0.25">
      <c r="A1925" s="13" t="str">
        <f ca="1">IFERROR(__xludf.DUMMYFUNCTION("""COMPUTED_VALUE"""),"q_pc_lv1")</f>
        <v>q_pc_lv1</v>
      </c>
      <c r="B1925" s="13" t="str">
        <f ca="1">IFERROR(__xludf.DUMMYFUNCTION("""COMPUTED_VALUE"""),"Мощность реактивная НН1, фаза C")</f>
        <v>Мощность реактивная НН1, фаза C</v>
      </c>
    </row>
    <row r="1926" spans="1:2" ht="15.75" customHeight="1" x14ac:dyDescent="0.25">
      <c r="A1926" s="13" t="str">
        <f ca="1">IFERROR(__xludf.DUMMYFUNCTION("""COMPUTED_VALUE"""),"q_pc_lv2")</f>
        <v>q_pc_lv2</v>
      </c>
      <c r="B1926" s="13" t="str">
        <f ca="1">IFERROR(__xludf.DUMMYFUNCTION("""COMPUTED_VALUE"""),"Мощность реактивная НН2, фаза C")</f>
        <v>Мощность реактивная НН2, фаза C</v>
      </c>
    </row>
    <row r="1927" spans="1:2" ht="15.75" customHeight="1" x14ac:dyDescent="0.25">
      <c r="A1927" s="13" t="str">
        <f ca="1">IFERROR(__xludf.DUMMYFUNCTION("""COMPUTED_VALUE"""),"q_pc_mv")</f>
        <v>q_pc_mv</v>
      </c>
      <c r="B1927" s="13" t="str">
        <f ca="1">IFERROR(__xludf.DUMMYFUNCTION("""COMPUTED_VALUE"""),"Мощность реактивная СН, фаза C")</f>
        <v>Мощность реактивная СН, фаза C</v>
      </c>
    </row>
    <row r="1928" spans="1:2" ht="15.75" customHeight="1" x14ac:dyDescent="0.25">
      <c r="A1928" s="13" t="str">
        <f ca="1">IFERROR(__xludf.DUMMYFUNCTION("""COMPUTED_VALUE"""),"rs")</f>
        <v>rs</v>
      </c>
      <c r="B1928" s="13" t="str">
        <f ca="1">IFERROR(__xludf.DUMMYFUNCTION("""COMPUTED_VALUE"""),"Влажность масла относительная")</f>
        <v>Влажность масла относительная</v>
      </c>
    </row>
    <row r="1929" spans="1:2" ht="15.75" customHeight="1" x14ac:dyDescent="0.25">
      <c r="A1929" s="13" t="str">
        <f ca="1">IFERROR(__xludf.DUMMYFUNCTION("""COMPUTED_VALUE"""),"rs_calc")</f>
        <v>rs_calc</v>
      </c>
      <c r="B1929" s="13" t="str">
        <f ca="1">IFERROR(__xludf.DUMMYFUNCTION("""COMPUTED_VALUE"""),"Влажность масла относительная, расчётная")</f>
        <v>Влажность масла относительная, расчётная</v>
      </c>
    </row>
    <row r="1930" spans="1:2" ht="15.75" customHeight="1" x14ac:dyDescent="0.25">
      <c r="A1930" s="13" t="str">
        <f ca="1">IFERROR(__xludf.DUMMYFUNCTION("""COMPUTED_VALUE"""),"rs_diff_lim0")</f>
        <v>rs_diff_lim0</v>
      </c>
      <c r="B1930" s="13" t="str">
        <f ca="1">IFERROR(__xludf.DUMMYFUNCTION("""COMPUTED_VALUE"""),"Уставка по изменению влажности масла относительной")</f>
        <v>Уставка по изменению влажности масла относительной</v>
      </c>
    </row>
    <row r="1931" spans="1:2" ht="15.75" customHeight="1" x14ac:dyDescent="0.25">
      <c r="A1931" s="13" t="str">
        <f ca="1">IFERROR(__xludf.DUMMYFUNCTION("""COMPUTED_VALUE"""),"rs_en")</f>
        <v>rs_en</v>
      </c>
      <c r="B1931" s="13" t="str">
        <f ca="1">IFERROR(__xludf.DUMMYFUNCTION("""COMPUTED_VALUE"""),"Влажность окружающей среды")</f>
        <v>Влажность окружающей среды</v>
      </c>
    </row>
    <row r="1932" spans="1:2" ht="15.75" customHeight="1" x14ac:dyDescent="0.25">
      <c r="A1932" s="13" t="str">
        <f ca="1">IFERROR(__xludf.DUMMYFUNCTION("""COMPUTED_VALUE"""),"rs_lim0")</f>
        <v>rs_lim0</v>
      </c>
      <c r="B1932" s="13" t="str">
        <f ca="1">IFERROR(__xludf.DUMMYFUNCTION("""COMPUTED_VALUE"""),"ДЗ влажности масла относительной")</f>
        <v>ДЗ влажности масла относительной</v>
      </c>
    </row>
    <row r="1933" spans="1:2" ht="15.75" customHeight="1" x14ac:dyDescent="0.25">
      <c r="A1933" s="13" t="str">
        <f ca="1">IFERROR(__xludf.DUMMYFUNCTION("""COMPUTED_VALUE"""),"rs_lim0_manual")</f>
        <v>rs_lim0_manual</v>
      </c>
      <c r="B1933" s="13" t="str">
        <f ca="1">IFERROR(__xludf.DUMMYFUNCTION("""COMPUTED_VALUE"""),"ДЗ влажности масла относительной, ручное")</f>
        <v>ДЗ влажности масла относительной, ручное</v>
      </c>
    </row>
    <row r="1934" spans="1:2" ht="15.75" customHeight="1" x14ac:dyDescent="0.25">
      <c r="A1934" s="13" t="str">
        <f ca="1">IFERROR(__xludf.DUMMYFUNCTION("""COMPUTED_VALUE"""),"rs_lim1")</f>
        <v>rs_lim1</v>
      </c>
      <c r="B1934" s="13" t="str">
        <f ca="1">IFERROR(__xludf.DUMMYFUNCTION("""COMPUTED_VALUE"""),"ПДЗ влажности масла относительной")</f>
        <v>ПДЗ влажности масла относительной</v>
      </c>
    </row>
    <row r="1935" spans="1:2" ht="15.75" customHeight="1" x14ac:dyDescent="0.25">
      <c r="A1935" s="13" t="str">
        <f ca="1">IFERROR(__xludf.DUMMYFUNCTION("""COMPUTED_VALUE"""),"rs_lim1_manual")</f>
        <v>rs_lim1_manual</v>
      </c>
      <c r="B1935" s="13" t="str">
        <f ca="1">IFERROR(__xludf.DUMMYFUNCTION("""COMPUTED_VALUE"""),"ПДЗ влажности масла относительной, ручное")</f>
        <v>ПДЗ влажности масла относительной, ручное</v>
      </c>
    </row>
    <row r="1936" spans="1:2" ht="15.75" customHeight="1" x14ac:dyDescent="0.25">
      <c r="A1936" s="13" t="str">
        <f ca="1">IFERROR(__xludf.DUMMYFUNCTION("""COMPUTED_VALUE"""),"rs_offline")</f>
        <v>rs_offline</v>
      </c>
      <c r="B1936" s="13" t="str">
        <f ca="1">IFERROR(__xludf.DUMMYFUNCTION("""COMPUTED_VALUE"""),"Оффлайн-данные: влажность масла относительная")</f>
        <v>Оффлайн-данные: влажность масла относительная</v>
      </c>
    </row>
    <row r="1937" spans="1:2" ht="15.75" customHeight="1" x14ac:dyDescent="0.25">
      <c r="A1937" s="13" t="str">
        <f ca="1">IFERROR(__xludf.DUMMYFUNCTION("""COMPUTED_VALUE"""),"s_hv_avg24")</f>
        <v>s_hv_avg24</v>
      </c>
      <c r="B1937" s="13" t="str">
        <f ca="1">IFERROR(__xludf.DUMMYFUNCTION("""COMPUTED_VALUE"""),"Среднее значение полной мощности за последние 24 часа")</f>
        <v>Среднее значение полной мощности за последние 24 часа</v>
      </c>
    </row>
    <row r="1938" spans="1:2" ht="15.75" customHeight="1" x14ac:dyDescent="0.25">
      <c r="A1938" s="13" t="str">
        <f ca="1">IFERROR(__xludf.DUMMYFUNCTION("""COMPUTED_VALUE"""),"s_loss_noload")</f>
        <v>s_loss_noload</v>
      </c>
      <c r="B1938" s="13" t="str">
        <f ca="1">IFERROR(__xludf.DUMMYFUNCTION("""COMPUTED_VALUE"""),"Мощность потерь хх (в стали)")</f>
        <v>Мощность потерь хх (в стали)</v>
      </c>
    </row>
    <row r="1939" spans="1:2" ht="15.75" customHeight="1" x14ac:dyDescent="0.25">
      <c r="A1939" s="13" t="str">
        <f ca="1">IFERROR(__xludf.DUMMYFUNCTION("""COMPUTED_VALUE"""),"s_loss_shortcircuit")</f>
        <v>s_loss_shortcircuit</v>
      </c>
      <c r="B1939" s="13" t="str">
        <f ca="1">IFERROR(__xludf.DUMMYFUNCTION("""COMPUTED_VALUE"""),"Мощность потерь кз (в меди)")</f>
        <v>Мощность потерь кз (в меди)</v>
      </c>
    </row>
    <row r="1940" spans="1:2" ht="15.75" customHeight="1" x14ac:dyDescent="0.25">
      <c r="A1940" s="13" t="str">
        <f ca="1">IFERROR(__xludf.DUMMYFUNCTION("""COMPUTED_VALUE"""),"s_pa_hv")</f>
        <v>s_pa_hv</v>
      </c>
      <c r="B1940" s="13" t="str">
        <f ca="1">IFERROR(__xludf.DUMMYFUNCTION("""COMPUTED_VALUE"""),"Мощность полная ВН, фаза A")</f>
        <v>Мощность полная ВН, фаза A</v>
      </c>
    </row>
    <row r="1941" spans="1:2" ht="15.75" customHeight="1" x14ac:dyDescent="0.25">
      <c r="A1941" s="13" t="str">
        <f ca="1">IFERROR(__xludf.DUMMYFUNCTION("""COMPUTED_VALUE"""),"s_pa_lv")</f>
        <v>s_pa_lv</v>
      </c>
      <c r="B1941" s="13" t="str">
        <f ca="1">IFERROR(__xludf.DUMMYFUNCTION("""COMPUTED_VALUE"""),"Мощность полная НН, фаза A")</f>
        <v>Мощность полная НН, фаза A</v>
      </c>
    </row>
    <row r="1942" spans="1:2" ht="15.75" customHeight="1" x14ac:dyDescent="0.25">
      <c r="A1942" s="13" t="str">
        <f ca="1">IFERROR(__xludf.DUMMYFUNCTION("""COMPUTED_VALUE"""),"s_pa_lv1")</f>
        <v>s_pa_lv1</v>
      </c>
      <c r="B1942" s="13" t="str">
        <f ca="1">IFERROR(__xludf.DUMMYFUNCTION("""COMPUTED_VALUE"""),"Мощность полная НН1, фаза A")</f>
        <v>Мощность полная НН1, фаза A</v>
      </c>
    </row>
    <row r="1943" spans="1:2" ht="15.75" customHeight="1" x14ac:dyDescent="0.25">
      <c r="A1943" s="13" t="str">
        <f ca="1">IFERROR(__xludf.DUMMYFUNCTION("""COMPUTED_VALUE"""),"s_pa_lv2")</f>
        <v>s_pa_lv2</v>
      </c>
      <c r="B1943" s="13" t="str">
        <f ca="1">IFERROR(__xludf.DUMMYFUNCTION("""COMPUTED_VALUE"""),"Мощность полная НН2, фаза A")</f>
        <v>Мощность полная НН2, фаза A</v>
      </c>
    </row>
    <row r="1944" spans="1:2" ht="15.75" customHeight="1" x14ac:dyDescent="0.25">
      <c r="A1944" s="13" t="str">
        <f ca="1">IFERROR(__xludf.DUMMYFUNCTION("""COMPUTED_VALUE"""),"s_pa_mv")</f>
        <v>s_pa_mv</v>
      </c>
      <c r="B1944" s="13" t="str">
        <f ca="1">IFERROR(__xludf.DUMMYFUNCTION("""COMPUTED_VALUE"""),"Мощность полная СН, фаза A")</f>
        <v>Мощность полная СН, фаза A</v>
      </c>
    </row>
    <row r="1945" spans="1:2" ht="15.75" customHeight="1" x14ac:dyDescent="0.25">
      <c r="A1945" s="13" t="str">
        <f ca="1">IFERROR(__xludf.DUMMYFUNCTION("""COMPUTED_VALUE"""),"s_pb_hv")</f>
        <v>s_pb_hv</v>
      </c>
      <c r="B1945" s="13" t="str">
        <f ca="1">IFERROR(__xludf.DUMMYFUNCTION("""COMPUTED_VALUE"""),"Мощность полная ВН, фаза B")</f>
        <v>Мощность полная ВН, фаза B</v>
      </c>
    </row>
    <row r="1946" spans="1:2" ht="15.75" customHeight="1" x14ac:dyDescent="0.25">
      <c r="A1946" s="13" t="str">
        <f ca="1">IFERROR(__xludf.DUMMYFUNCTION("""COMPUTED_VALUE"""),"s_pb_lv")</f>
        <v>s_pb_lv</v>
      </c>
      <c r="B1946" s="13" t="str">
        <f ca="1">IFERROR(__xludf.DUMMYFUNCTION("""COMPUTED_VALUE"""),"Мощность полная НН, фаза B")</f>
        <v>Мощность полная НН, фаза B</v>
      </c>
    </row>
    <row r="1947" spans="1:2" ht="15.75" customHeight="1" x14ac:dyDescent="0.25">
      <c r="A1947" s="13" t="str">
        <f ca="1">IFERROR(__xludf.DUMMYFUNCTION("""COMPUTED_VALUE"""),"s_pb_lv1")</f>
        <v>s_pb_lv1</v>
      </c>
      <c r="B1947" s="13" t="str">
        <f ca="1">IFERROR(__xludf.DUMMYFUNCTION("""COMPUTED_VALUE"""),"Мощность полная НН1, фаза B")</f>
        <v>Мощность полная НН1, фаза B</v>
      </c>
    </row>
    <row r="1948" spans="1:2" ht="15.75" customHeight="1" x14ac:dyDescent="0.25">
      <c r="A1948" s="13" t="str">
        <f ca="1">IFERROR(__xludf.DUMMYFUNCTION("""COMPUTED_VALUE"""),"s_pb_lv2")</f>
        <v>s_pb_lv2</v>
      </c>
      <c r="B1948" s="13" t="str">
        <f ca="1">IFERROR(__xludf.DUMMYFUNCTION("""COMPUTED_VALUE"""),"Мощность полная НН2, фаза B")</f>
        <v>Мощность полная НН2, фаза B</v>
      </c>
    </row>
    <row r="1949" spans="1:2" ht="15.75" customHeight="1" x14ac:dyDescent="0.25">
      <c r="A1949" s="13" t="str">
        <f ca="1">IFERROR(__xludf.DUMMYFUNCTION("""COMPUTED_VALUE"""),"s_pb_mv")</f>
        <v>s_pb_mv</v>
      </c>
      <c r="B1949" s="13" t="str">
        <f ca="1">IFERROR(__xludf.DUMMYFUNCTION("""COMPUTED_VALUE"""),"Мощность полная СН, фаза B")</f>
        <v>Мощность полная СН, фаза B</v>
      </c>
    </row>
    <row r="1950" spans="1:2" ht="15.75" customHeight="1" x14ac:dyDescent="0.25">
      <c r="A1950" s="13" t="str">
        <f ca="1">IFERROR(__xludf.DUMMYFUNCTION("""COMPUTED_VALUE"""),"s_pc_hv")</f>
        <v>s_pc_hv</v>
      </c>
      <c r="B1950" s="13" t="str">
        <f ca="1">IFERROR(__xludf.DUMMYFUNCTION("""COMPUTED_VALUE"""),"Мощность полная ВН, фаза C")</f>
        <v>Мощность полная ВН, фаза C</v>
      </c>
    </row>
    <row r="1951" spans="1:2" ht="15.75" customHeight="1" x14ac:dyDescent="0.25">
      <c r="A1951" s="13" t="str">
        <f ca="1">IFERROR(__xludf.DUMMYFUNCTION("""COMPUTED_VALUE"""),"s_pc_lv")</f>
        <v>s_pc_lv</v>
      </c>
      <c r="B1951" s="13" t="str">
        <f ca="1">IFERROR(__xludf.DUMMYFUNCTION("""COMPUTED_VALUE"""),"Мощность полная НН, фаза C")</f>
        <v>Мощность полная НН, фаза C</v>
      </c>
    </row>
    <row r="1952" spans="1:2" ht="15.75" customHeight="1" x14ac:dyDescent="0.25">
      <c r="A1952" s="13" t="str">
        <f ca="1">IFERROR(__xludf.DUMMYFUNCTION("""COMPUTED_VALUE"""),"s_pc_lv1")</f>
        <v>s_pc_lv1</v>
      </c>
      <c r="B1952" s="13" t="str">
        <f ca="1">IFERROR(__xludf.DUMMYFUNCTION("""COMPUTED_VALUE"""),"Мощность полная НН1, фаза C")</f>
        <v>Мощность полная НН1, фаза C</v>
      </c>
    </row>
    <row r="1953" spans="1:2" ht="15.75" customHeight="1" x14ac:dyDescent="0.25">
      <c r="A1953" s="13" t="str">
        <f ca="1">IFERROR(__xludf.DUMMYFUNCTION("""COMPUTED_VALUE"""),"s_pc_lv2")</f>
        <v>s_pc_lv2</v>
      </c>
      <c r="B1953" s="13" t="str">
        <f ca="1">IFERROR(__xludf.DUMMYFUNCTION("""COMPUTED_VALUE"""),"Мощность полная НН2, фаза C")</f>
        <v>Мощность полная НН2, фаза C</v>
      </c>
    </row>
    <row r="1954" spans="1:2" ht="15.75" customHeight="1" x14ac:dyDescent="0.25">
      <c r="A1954" s="13" t="str">
        <f ca="1">IFERROR(__xludf.DUMMYFUNCTION("""COMPUTED_VALUE"""),"s_pc_mv")</f>
        <v>s_pc_mv</v>
      </c>
      <c r="B1954" s="13" t="str">
        <f ca="1">IFERROR(__xludf.DUMMYFUNCTION("""COMPUTED_VALUE"""),"Мощность полная СН, фаза C")</f>
        <v>Мощность полная СН, фаза C</v>
      </c>
    </row>
    <row r="1955" spans="1:2" ht="15.75" customHeight="1" x14ac:dyDescent="0.25">
      <c r="A1955" s="13" t="str">
        <f ca="1">IFERROR(__xludf.DUMMYFUNCTION("""COMPUTED_VALUE"""),"t_bl")</f>
        <v>t_bl</v>
      </c>
      <c r="B1955" s="13" t="str">
        <f ca="1">IFERROR(__xludf.DUMMYFUNCTION("""COMPUTED_VALUE"""),"Температура образования пузырьков")</f>
        <v>Температура образования пузырьков</v>
      </c>
    </row>
    <row r="1956" spans="1:2" ht="15.75" customHeight="1" x14ac:dyDescent="0.25">
      <c r="A1956" s="13" t="str">
        <f ca="1">IFERROR(__xludf.DUMMYFUNCTION("""COMPUTED_VALUE"""),"t_bl_gap")</f>
        <v>t_bl_gap</v>
      </c>
      <c r="B1956" s="13" t="str">
        <f ca="1">IFERROR(__xludf.DUMMYFUNCTION("""COMPUTED_VALUE"""),"Запас по температуре закипания")</f>
        <v>Запас по температуре закипания</v>
      </c>
    </row>
    <row r="1957" spans="1:2" ht="15.75" customHeight="1" x14ac:dyDescent="0.25">
      <c r="A1957" s="13" t="str">
        <f ca="1">IFERROR(__xludf.DUMMYFUNCTION("""COMPUTED_VALUE"""),"t_bt")</f>
        <v>t_bt</v>
      </c>
      <c r="B1957" s="13" t="str">
        <f ca="1">IFERROR(__xludf.DUMMYFUNCTION("""COMPUTED_VALUE"""),"Температура нижних слоев масла")</f>
        <v>Температура нижних слоев масла</v>
      </c>
    </row>
    <row r="1958" spans="1:2" ht="15.75" customHeight="1" x14ac:dyDescent="0.25">
      <c r="A1958" s="13" t="str">
        <f ca="1">IFERROR(__xludf.DUMMYFUNCTION("""COMPUTED_VALUE"""),"t_bt_hsense")</f>
        <v>t_bt_hsense</v>
      </c>
      <c r="B1958" s="13" t="str">
        <f ca="1">IFERROR(__xludf.DUMMYFUNCTION("""COMPUTED_VALUE"""),"Температура нижних слоев масла HSense")</f>
        <v>Температура нижних слоев масла HSense</v>
      </c>
    </row>
    <row r="1959" spans="1:2" ht="15.75" customHeight="1" x14ac:dyDescent="0.25">
      <c r="A1959" s="13" t="str">
        <f ca="1">IFERROR(__xludf.DUMMYFUNCTION("""COMPUTED_VALUE"""),"t_bt_offine")</f>
        <v>t_bt_offine</v>
      </c>
      <c r="B1959" s="13" t="str">
        <f ca="1">IFERROR(__xludf.DUMMYFUNCTION("""COMPUTED_VALUE"""),"Оффлайн-данные: температура масла при отборе пробы")</f>
        <v>Оффлайн-данные: температура масла при отборе пробы</v>
      </c>
    </row>
    <row r="1960" spans="1:2" ht="15.75" customHeight="1" x14ac:dyDescent="0.25">
      <c r="A1960" s="13" t="str">
        <f ca="1">IFERROR(__xludf.DUMMYFUNCTION("""COMPUTED_VALUE"""),"t_bt_thm")</f>
        <v>t_bt_thm</v>
      </c>
      <c r="B1960" s="13" t="str">
        <f ca="1">IFERROR(__xludf.DUMMYFUNCTION("""COMPUTED_VALUE"""),"Температура нижних слоев масла THM-1")</f>
        <v>Температура нижних слоев масла THM-1</v>
      </c>
    </row>
    <row r="1961" spans="1:2" ht="15.75" customHeight="1" x14ac:dyDescent="0.25">
      <c r="A1961" s="13" t="str">
        <f ca="1">IFERROR(__xludf.DUMMYFUNCTION("""COMPUTED_VALUE"""),"t_cont_busbar_pa")</f>
        <v>t_cont_busbar_pa</v>
      </c>
      <c r="B1961" s="13" t="str">
        <f ca="1">IFERROR(__xludf.DUMMYFUNCTION("""COMPUTED_VALUE"""),"Температура контактных соединений. Отсек сборных шин. Фаза A")</f>
        <v>Температура контактных соединений. Отсек сборных шин. Фаза A</v>
      </c>
    </row>
    <row r="1962" spans="1:2" ht="15.75" customHeight="1" x14ac:dyDescent="0.25">
      <c r="A1962" s="13" t="str">
        <f ca="1">IFERROR(__xludf.DUMMYFUNCTION("""COMPUTED_VALUE"""),"t_cont_busbar_pb")</f>
        <v>t_cont_busbar_pb</v>
      </c>
      <c r="B1962" s="13" t="str">
        <f ca="1">IFERROR(__xludf.DUMMYFUNCTION("""COMPUTED_VALUE"""),"Температура контактных соединений. Отсек сборных шин. Фаза B")</f>
        <v>Температура контактных соединений. Отсек сборных шин. Фаза B</v>
      </c>
    </row>
    <row r="1963" spans="1:2" ht="15.75" customHeight="1" x14ac:dyDescent="0.25">
      <c r="A1963" s="13" t="str">
        <f ca="1">IFERROR(__xludf.DUMMYFUNCTION("""COMPUTED_VALUE"""),"t_cont_busbar_pc")</f>
        <v>t_cont_busbar_pc</v>
      </c>
      <c r="B1963" s="13" t="str">
        <f ca="1">IFERROR(__xludf.DUMMYFUNCTION("""COMPUTED_VALUE"""),"Температура контактных соединений. Отсек сборных шин. Фаза C")</f>
        <v>Температура контактных соединений. Отсек сборных шин. Фаза C</v>
      </c>
    </row>
    <row r="1964" spans="1:2" ht="15.75" customHeight="1" x14ac:dyDescent="0.25">
      <c r="A1964" s="13" t="str">
        <f ca="1">IFERROR(__xludf.DUMMYFUNCTION("""COMPUTED_VALUE"""),"t_cont_input_bt_pa")</f>
        <v>t_cont_input_bt_pa</v>
      </c>
      <c r="B1964" s="13" t="str">
        <f ca="1">IFERROR(__xludf.DUMMYFUNCTION("""COMPUTED_VALUE"""),"Температура контактных соединений. Отсек ввода. Верхний изолятор. Фаза A")</f>
        <v>Температура контактных соединений. Отсек ввода. Верхний изолятор. Фаза A</v>
      </c>
    </row>
    <row r="1965" spans="1:2" ht="15.75" customHeight="1" x14ac:dyDescent="0.25">
      <c r="A1965" s="13" t="str">
        <f ca="1">IFERROR(__xludf.DUMMYFUNCTION("""COMPUTED_VALUE"""),"t_cont_input_bt_pb")</f>
        <v>t_cont_input_bt_pb</v>
      </c>
      <c r="B1965" s="13" t="str">
        <f ca="1">IFERROR(__xludf.DUMMYFUNCTION("""COMPUTED_VALUE"""),"Температура контактных соединений. Отсек ввода. Верхний изолятор. Фаза B")</f>
        <v>Температура контактных соединений. Отсек ввода. Верхний изолятор. Фаза B</v>
      </c>
    </row>
    <row r="1966" spans="1:2" ht="15.75" customHeight="1" x14ac:dyDescent="0.25">
      <c r="A1966" s="13" t="str">
        <f ca="1">IFERROR(__xludf.DUMMYFUNCTION("""COMPUTED_VALUE"""),"t_cont_input_bt_pc")</f>
        <v>t_cont_input_bt_pc</v>
      </c>
      <c r="B1966" s="13" t="str">
        <f ca="1">IFERROR(__xludf.DUMMYFUNCTION("""COMPUTED_VALUE"""),"Температура контактных соединений. Отсек ввода. Верхний изолятор. Фаза C")</f>
        <v>Температура контактных соединений. Отсек ввода. Верхний изолятор. Фаза C</v>
      </c>
    </row>
    <row r="1967" spans="1:2" ht="15.75" customHeight="1" x14ac:dyDescent="0.25">
      <c r="A1967" s="13" t="str">
        <f ca="1">IFERROR(__xludf.DUMMYFUNCTION("""COMPUTED_VALUE"""),"t_cont_input_tp_pa")</f>
        <v>t_cont_input_tp_pa</v>
      </c>
      <c r="B1967" s="13" t="str">
        <f ca="1">IFERROR(__xludf.DUMMYFUNCTION("""COMPUTED_VALUE"""),"Температура контактных соединений. Отсек ввода. Нижний изолятор. Фаза A")</f>
        <v>Температура контактных соединений. Отсек ввода. Нижний изолятор. Фаза A</v>
      </c>
    </row>
    <row r="1968" spans="1:2" ht="15.75" customHeight="1" x14ac:dyDescent="0.25">
      <c r="A1968" s="13" t="str">
        <f ca="1">IFERROR(__xludf.DUMMYFUNCTION("""COMPUTED_VALUE"""),"t_cont_input_tp_pb")</f>
        <v>t_cont_input_tp_pb</v>
      </c>
      <c r="B1968" s="13" t="str">
        <f ca="1">IFERROR(__xludf.DUMMYFUNCTION("""COMPUTED_VALUE"""),"Температура контактных соединений. Отсек ввода. Нижний изолятор. Фаза B")</f>
        <v>Температура контактных соединений. Отсек ввода. Нижний изолятор. Фаза B</v>
      </c>
    </row>
    <row r="1969" spans="1:2" ht="15.75" customHeight="1" x14ac:dyDescent="0.25">
      <c r="A1969" s="13" t="str">
        <f ca="1">IFERROR(__xludf.DUMMYFUNCTION("""COMPUTED_VALUE"""),"t_cont_input_tp_pc")</f>
        <v>t_cont_input_tp_pc</v>
      </c>
      <c r="B1969" s="13" t="str">
        <f ca="1">IFERROR(__xludf.DUMMYFUNCTION("""COMPUTED_VALUE"""),"Температура контактных соединений. Отсек ввода. Нижний изолятор. Фаза C")</f>
        <v>Температура контактных соединений. Отсек ввода. Нижний изолятор. Фаза C</v>
      </c>
    </row>
    <row r="1970" spans="1:2" ht="15.75" customHeight="1" x14ac:dyDescent="0.25">
      <c r="A1970" s="13" t="str">
        <f ca="1">IFERROR(__xludf.DUMMYFUNCTION("""COMPUTED_VALUE"""),"t_cont_lim0")</f>
        <v>t_cont_lim0</v>
      </c>
      <c r="B1970" s="13" t="str">
        <f ca="1">IFERROR(__xludf.DUMMYFUNCTION("""COMPUTED_VALUE"""),"ДЗ температуры контактных соединений")</f>
        <v>ДЗ температуры контактных соединений</v>
      </c>
    </row>
    <row r="1971" spans="1:2" ht="15.75" customHeight="1" x14ac:dyDescent="0.25">
      <c r="A1971" s="13" t="str">
        <f ca="1">IFERROR(__xludf.DUMMYFUNCTION("""COMPUTED_VALUE"""),"t_cont_lim0")</f>
        <v>t_cont_lim0</v>
      </c>
      <c r="B1971" s="13" t="str">
        <f ca="1">IFERROR(__xludf.DUMMYFUNCTION("""COMPUTED_VALUE"""),"ДЗ температуры контакных соединений")</f>
        <v>ДЗ температуры контакных соединений</v>
      </c>
    </row>
    <row r="1972" spans="1:2" ht="15.75" customHeight="1" x14ac:dyDescent="0.25">
      <c r="A1972" s="13" t="str">
        <f ca="1">IFERROR(__xludf.DUMMYFUNCTION("""COMPUTED_VALUE"""),"t_cont_lim0_manual")</f>
        <v>t_cont_lim0_manual</v>
      </c>
      <c r="B1972" s="13" t="str">
        <f ca="1">IFERROR(__xludf.DUMMYFUNCTION("""COMPUTED_VALUE"""),"ДЗ температуры контактных соединений, ручное")</f>
        <v>ДЗ температуры контактных соединений, ручное</v>
      </c>
    </row>
    <row r="1973" spans="1:2" ht="15.75" customHeight="1" x14ac:dyDescent="0.25">
      <c r="A1973" s="13" t="str">
        <f ca="1">IFERROR(__xludf.DUMMYFUNCTION("""COMPUTED_VALUE"""),"t_cont_pa")</f>
        <v>t_cont_pa</v>
      </c>
      <c r="B1973" s="13" t="str">
        <f ca="1">IFERROR(__xludf.DUMMYFUNCTION("""COMPUTED_VALUE"""),"Температура контактных соединений. Фаза A")</f>
        <v>Температура контактных соединений. Фаза A</v>
      </c>
    </row>
    <row r="1974" spans="1:2" ht="15.75" customHeight="1" x14ac:dyDescent="0.25">
      <c r="A1974" s="13" t="str">
        <f ca="1">IFERROR(__xludf.DUMMYFUNCTION("""COMPUTED_VALUE"""),"t_cont_pb")</f>
        <v>t_cont_pb</v>
      </c>
      <c r="B1974" s="13" t="str">
        <f ca="1">IFERROR(__xludf.DUMMYFUNCTION("""COMPUTED_VALUE"""),"Температура контактных соединений. Фаза B")</f>
        <v>Температура контактных соединений. Фаза B</v>
      </c>
    </row>
    <row r="1975" spans="1:2" ht="15.75" customHeight="1" x14ac:dyDescent="0.25">
      <c r="A1975" s="13" t="str">
        <f ca="1">IFERROR(__xludf.DUMMYFUNCTION("""COMPUTED_VALUE"""),"t_cont_pc")</f>
        <v>t_cont_pc</v>
      </c>
      <c r="B1975" s="13" t="str">
        <f ca="1">IFERROR(__xludf.DUMMYFUNCTION("""COMPUTED_VALUE"""),"Температура контактных соединений. Фаза C")</f>
        <v>Температура контактных соединений. Фаза C</v>
      </c>
    </row>
    <row r="1976" spans="1:2" ht="15.75" customHeight="1" x14ac:dyDescent="0.25">
      <c r="A1976" s="13" t="str">
        <f ca="1">IFERROR(__xludf.DUMMYFUNCTION("""COMPUTED_VALUE"""),"t_difference_tp_res_en")</f>
        <v>t_difference_tp_res_en</v>
      </c>
      <c r="B1976" s="13" t="str">
        <f ca="1">IFERROR(__xludf.DUMMYFUNCTION("""COMPUTED_VALUE"""),"Разность температур верхних слоёв масла и окружающей среды")</f>
        <v>Разность температур верхних слоёв масла и окружающей среды</v>
      </c>
    </row>
    <row r="1977" spans="1:2" ht="15.75" customHeight="1" x14ac:dyDescent="0.25">
      <c r="A1977" s="13" t="str">
        <f ca="1">IFERROR(__xludf.DUMMYFUNCTION("""COMPUTED_VALUE"""),"t_en")</f>
        <v>t_en</v>
      </c>
      <c r="B1977" s="13" t="str">
        <f ca="1">IFERROR(__xludf.DUMMYFUNCTION("""COMPUTED_VALUE"""),"Температура окружающей среды")</f>
        <v>Температура окружающей среды</v>
      </c>
    </row>
    <row r="1978" spans="1:2" ht="15.75" customHeight="1" x14ac:dyDescent="0.25">
      <c r="A1978" s="13" t="str">
        <f ca="1">IFERROR(__xludf.DUMMYFUNCTION("""COMPUTED_VALUE"""),"t_en_avg_1")</f>
        <v>t_en_avg_1</v>
      </c>
      <c r="B1978" s="13" t="str">
        <f ca="1">IFERROR(__xludf.DUMMYFUNCTION("""COMPUTED_VALUE"""),"Среднее часовое значение температуры окружающей")</f>
        <v>Среднее часовое значение температуры окружающей</v>
      </c>
    </row>
    <row r="1979" spans="1:2" ht="15.75" customHeight="1" x14ac:dyDescent="0.25">
      <c r="A1979" s="13" t="str">
        <f ca="1">IFERROR(__xludf.DUMMYFUNCTION("""COMPUTED_VALUE"""),"t_en_calc")</f>
        <v>t_en_calc</v>
      </c>
      <c r="B1979" s="13" t="str">
        <f ca="1">IFERROR(__xludf.DUMMYFUNCTION("""COMPUTED_VALUE"""),"Температура окружающей среды, расчётная")</f>
        <v>Температура окружающей среды, расчётная</v>
      </c>
    </row>
    <row r="1980" spans="1:2" ht="15.75" customHeight="1" x14ac:dyDescent="0.25">
      <c r="A1980" s="13" t="str">
        <f ca="1">IFERROR(__xludf.DUMMYFUNCTION("""COMPUTED_VALUE"""),"t_en_forecast")</f>
        <v>t_en_forecast</v>
      </c>
      <c r="B1980" s="13" t="str">
        <f ca="1">IFERROR(__xludf.DUMMYFUNCTION("""COMPUTED_VALUE"""),"Модельные значения температуры окружающей среды внутри суток")</f>
        <v>Модельные значения температуры окружающей среды внутри суток</v>
      </c>
    </row>
    <row r="1981" spans="1:2" ht="15.75" customHeight="1" x14ac:dyDescent="0.25">
      <c r="A1981" s="13" t="str">
        <f ca="1">IFERROR(__xludf.DUMMYFUNCTION("""COMPUTED_VALUE"""),"t_en_max")</f>
        <v>t_en_max</v>
      </c>
      <c r="B1981" s="13" t="str">
        <f ca="1">IFERROR(__xludf.DUMMYFUNCTION("""COMPUTED_VALUE"""),"Модельные значения годовых колебаний температуры окружающей среды - максимум")</f>
        <v>Модельные значения годовых колебаний температуры окружающей среды - максимум</v>
      </c>
    </row>
    <row r="1982" spans="1:2" ht="15.75" customHeight="1" x14ac:dyDescent="0.25">
      <c r="A1982" s="13" t="str">
        <f ca="1">IFERROR(__xludf.DUMMYFUNCTION("""COMPUTED_VALUE"""),"t_en_min")</f>
        <v>t_en_min</v>
      </c>
      <c r="B1982" s="13" t="str">
        <f ca="1">IFERROR(__xludf.DUMMYFUNCTION("""COMPUTED_VALUE"""),"Модельные значения годовых колебаний температуры окружающей среды - минимум")</f>
        <v>Модельные значения годовых колебаний температуры окружающей среды - минимум</v>
      </c>
    </row>
    <row r="1983" spans="1:2" ht="15.75" customHeight="1" x14ac:dyDescent="0.25">
      <c r="A1983" s="13" t="str">
        <f ca="1">IFERROR(__xludf.DUMMYFUNCTION("""COMPUTED_VALUE"""),"t_en_nkvv1")</f>
        <v>t_en_nkvv1</v>
      </c>
      <c r="B1983" s="13" t="str">
        <f ca="1">IFERROR(__xludf.DUMMYFUNCTION("""COMPUTED_VALUE"""),"Температура окружающей среды. НКВВ. Вввод фазы A")</f>
        <v>Температура окружающей среды. НКВВ. Вввод фазы A</v>
      </c>
    </row>
    <row r="1984" spans="1:2" ht="15.75" customHeight="1" x14ac:dyDescent="0.25">
      <c r="A1984" s="13" t="str">
        <f ca="1">IFERROR(__xludf.DUMMYFUNCTION("""COMPUTED_VALUE"""),"t_en_nkvv2")</f>
        <v>t_en_nkvv2</v>
      </c>
      <c r="B1984" s="13" t="str">
        <f ca="1">IFERROR(__xludf.DUMMYFUNCTION("""COMPUTED_VALUE"""),"Температура окружающей среды. НКВВ. Вввод фазы В")</f>
        <v>Температура окружающей среды. НКВВ. Вввод фазы В</v>
      </c>
    </row>
    <row r="1985" spans="1:2" ht="15.75" customHeight="1" x14ac:dyDescent="0.25">
      <c r="A1985" s="13" t="str">
        <f ca="1">IFERROR(__xludf.DUMMYFUNCTION("""COMPUTED_VALUE"""),"t_en_nkvv3")</f>
        <v>t_en_nkvv3</v>
      </c>
      <c r="B1985" s="13" t="str">
        <f ca="1">IFERROR(__xludf.DUMMYFUNCTION("""COMPUTED_VALUE"""),"Температура окружающей среды. НКВВ. Вввод фазы С")</f>
        <v>Температура окружающей среды. НКВВ. Вввод фазы С</v>
      </c>
    </row>
    <row r="1986" spans="1:2" ht="15.75" customHeight="1" x14ac:dyDescent="0.25">
      <c r="A1986" s="13" t="str">
        <f ca="1">IFERROR(__xludf.DUMMYFUNCTION("""COMPUTED_VALUE"""),"t_en_totus")</f>
        <v>t_en_totus</v>
      </c>
      <c r="B1986" s="13" t="str">
        <f ca="1">IFERROR(__xludf.DUMMYFUNCTION("""COMPUTED_VALUE"""),"Температура окружающей среды. Totus ST G9")</f>
        <v>Температура окружающей среды. Totus ST G9</v>
      </c>
    </row>
    <row r="1987" spans="1:2" ht="15.75" customHeight="1" x14ac:dyDescent="0.25">
      <c r="A1987" s="13" t="str">
        <f ca="1">IFERROR(__xludf.DUMMYFUNCTION("""COMPUTED_VALUE"""),"t_hst")</f>
        <v>t_hst</v>
      </c>
      <c r="B1987" s="13" t="str">
        <f ca="1">IFERROR(__xludf.DUMMYFUNCTION("""COMPUTED_VALUE"""),"Температура наиболее нагретой точки обмотки")</f>
        <v>Температура наиболее нагретой точки обмотки</v>
      </c>
    </row>
    <row r="1988" spans="1:2" ht="15.75" customHeight="1" x14ac:dyDescent="0.25">
      <c r="A1988" s="13" t="str">
        <f ca="1">IFERROR(__xludf.DUMMYFUNCTION("""COMPUTED_VALUE"""),"t_hst_calc")</f>
        <v>t_hst_calc</v>
      </c>
      <c r="B1988" s="13" t="str">
        <f ca="1">IFERROR(__xludf.DUMMYFUNCTION("""COMPUTED_VALUE"""),"Температура наиболее нагретой точки обмотки расчётная")</f>
        <v>Температура наиболее нагретой точки обмотки расчётная</v>
      </c>
    </row>
    <row r="1989" spans="1:2" ht="15.75" customHeight="1" x14ac:dyDescent="0.25">
      <c r="A1989" s="13" t="str">
        <f ca="1">IFERROR(__xludf.DUMMYFUNCTION("""COMPUTED_VALUE"""),"t_hst_lim0")</f>
        <v>t_hst_lim0</v>
      </c>
      <c r="B1989" s="13" t="str">
        <f ca="1">IFERROR(__xludf.DUMMYFUNCTION("""COMPUTED_VALUE"""),"ДЗ температуры наиболее нагретой точки обмотки ")</f>
        <v xml:space="preserve">ДЗ температуры наиболее нагретой точки обмотки </v>
      </c>
    </row>
    <row r="1990" spans="1:2" ht="15.75" customHeight="1" x14ac:dyDescent="0.25">
      <c r="A1990" s="13" t="str">
        <f ca="1">IFERROR(__xludf.DUMMYFUNCTION("""COMPUTED_VALUE"""),"t_hst_lim0_manual")</f>
        <v>t_hst_lim0_manual</v>
      </c>
      <c r="B1990" s="13" t="str">
        <f ca="1">IFERROR(__xludf.DUMMYFUNCTION("""COMPUTED_VALUE"""),"ДЗ температуры наиболее нагретой точки обмотки, ручное")</f>
        <v>ДЗ температуры наиболее нагретой точки обмотки, ручное</v>
      </c>
    </row>
    <row r="1991" spans="1:2" ht="15.75" customHeight="1" x14ac:dyDescent="0.25">
      <c r="A1991" s="13" t="str">
        <f ca="1">IFERROR(__xludf.DUMMYFUNCTION("""COMPUTED_VALUE"""),"t_hst_res")</f>
        <v>t_hst_res</v>
      </c>
      <c r="B1991" s="13" t="str">
        <f ca="1">IFERROR(__xludf.DUMMYFUNCTION("""COMPUTED_VALUE"""),"Температура наиболее нагретой точки обмотки для расчётов")</f>
        <v>Температура наиболее нагретой точки обмотки для расчётов</v>
      </c>
    </row>
    <row r="1992" spans="1:2" ht="15.75" customHeight="1" x14ac:dyDescent="0.25">
      <c r="A1992" s="13" t="str">
        <f ca="1">IFERROR(__xludf.DUMMYFUNCTION("""COMPUTED_VALUE"""),"t_hst_ttr")</f>
        <v>t_hst_ttr</v>
      </c>
      <c r="B1992" s="13" t="str">
        <f ca="1">IFERROR(__xludf.DUMMYFUNCTION("""COMPUTED_VALUE"""),"Время достижения ДЗ температуры наиболее нагретой точки")</f>
        <v>Время достижения ДЗ температуры наиболее нагретой точки</v>
      </c>
    </row>
    <row r="1993" spans="1:2" ht="15.75" customHeight="1" x14ac:dyDescent="0.25">
      <c r="A1993" s="13" t="str">
        <f ca="1">IFERROR(__xludf.DUMMYFUNCTION("""COMPUTED_VALUE"""),"t_ltc")</f>
        <v>t_ltc</v>
      </c>
      <c r="B1993" s="13" t="str">
        <f ca="1">IFERROR(__xludf.DUMMYFUNCTION("""COMPUTED_VALUE"""),"Температура масла в баке РПН")</f>
        <v>Температура масла в баке РПН</v>
      </c>
    </row>
    <row r="1994" spans="1:2" ht="15.75" customHeight="1" x14ac:dyDescent="0.25">
      <c r="A1994" s="13" t="str">
        <f ca="1">IFERROR(__xludf.DUMMYFUNCTION("""COMPUTED_VALUE"""),"t_ltc_alarm0")</f>
        <v>t_ltc_alarm0</v>
      </c>
      <c r="B1994" s="13" t="str">
        <f ca="1">IFERROR(__xludf.DUMMYFUNCTION("""COMPUTED_VALUE"""),"Превышение температуры масла в баке РПН")</f>
        <v>Превышение температуры масла в баке РПН</v>
      </c>
    </row>
    <row r="1995" spans="1:2" ht="15.75" customHeight="1" x14ac:dyDescent="0.25">
      <c r="A1995" s="13" t="str">
        <f ca="1">IFERROR(__xludf.DUMMYFUNCTION("""COMPUTED_VALUE"""),"t_ltc_lim0_manual")</f>
        <v>t_ltc_lim0_manual</v>
      </c>
      <c r="B1995" s="13" t="str">
        <f ca="1">IFERROR(__xludf.DUMMYFUNCTION("""COMPUTED_VALUE"""),"ДЗ температуры масла в баке РПН, ручное")</f>
        <v>ДЗ температуры масла в баке РПН, ручное</v>
      </c>
    </row>
    <row r="1996" spans="1:2" ht="15.75" customHeight="1" x14ac:dyDescent="0.25">
      <c r="A1996" s="13" t="str">
        <f ca="1">IFERROR(__xludf.DUMMYFUNCTION("""COMPUTED_VALUE"""),"t_ltc_ttr")</f>
        <v>t_ltc_ttr</v>
      </c>
      <c r="B1996" s="13" t="str">
        <f ca="1">IFERROR(__xludf.DUMMYFUNCTION("""COMPUTED_VALUE"""),"Время достижения ДЗ температуры масла в баке РПН")</f>
        <v>Время достижения ДЗ температуры масла в баке РПН</v>
      </c>
    </row>
    <row r="1997" spans="1:2" ht="15.75" customHeight="1" x14ac:dyDescent="0.25">
      <c r="A1997" s="13" t="str">
        <f ca="1">IFERROR(__xludf.DUMMYFUNCTION("""COMPUTED_VALUE"""),"t_monitoring_cubicle")</f>
        <v>t_monitoring_cubicle</v>
      </c>
      <c r="B1997" s="13" t="str">
        <f ca="1">IFERROR(__xludf.DUMMYFUNCTION("""COMPUTED_VALUE"""),"Температура в шкафу мониторинга")</f>
        <v>Температура в шкафу мониторинга</v>
      </c>
    </row>
    <row r="1998" spans="1:2" ht="15.75" customHeight="1" x14ac:dyDescent="0.25">
      <c r="A1998" s="13" t="str">
        <f ca="1">IFERROR(__xludf.DUMMYFUNCTION("""COMPUTED_VALUE"""),"t_sf6_1")</f>
        <v>t_sf6_1</v>
      </c>
      <c r="B1998" s="13" t="str">
        <f ca="1">IFERROR(__xludf.DUMMYFUNCTION("""COMPUTED_VALUE"""),"Температура элегаза КРУЭ. Датчик 1")</f>
        <v>Температура элегаза КРУЭ. Датчик 1</v>
      </c>
    </row>
    <row r="1999" spans="1:2" ht="15.75" customHeight="1" x14ac:dyDescent="0.25">
      <c r="A1999" s="13" t="str">
        <f ca="1">IFERROR(__xludf.DUMMYFUNCTION("""COMPUTED_VALUE"""),"t_sf6_10")</f>
        <v>t_sf6_10</v>
      </c>
      <c r="B1999" s="13" t="str">
        <f ca="1">IFERROR(__xludf.DUMMYFUNCTION("""COMPUTED_VALUE"""),"Температура элегаза КРУЭ. Датчик 10")</f>
        <v>Температура элегаза КРУЭ. Датчик 10</v>
      </c>
    </row>
    <row r="2000" spans="1:2" ht="15.75" customHeight="1" x14ac:dyDescent="0.25">
      <c r="A2000" s="13" t="str">
        <f ca="1">IFERROR(__xludf.DUMMYFUNCTION("""COMPUTED_VALUE"""),"t_sf6_2")</f>
        <v>t_sf6_2</v>
      </c>
      <c r="B2000" s="13" t="str">
        <f ca="1">IFERROR(__xludf.DUMMYFUNCTION("""COMPUTED_VALUE"""),"Температура элегаза КРУЭ. Датчик 2")</f>
        <v>Температура элегаза КРУЭ. Датчик 2</v>
      </c>
    </row>
    <row r="2001" spans="1:2" ht="15.75" customHeight="1" x14ac:dyDescent="0.25">
      <c r="A2001" s="13" t="str">
        <f ca="1">IFERROR(__xludf.DUMMYFUNCTION("""COMPUTED_VALUE"""),"t_sf6_3")</f>
        <v>t_sf6_3</v>
      </c>
      <c r="B2001" s="13" t="str">
        <f ca="1">IFERROR(__xludf.DUMMYFUNCTION("""COMPUTED_VALUE"""),"Температура элегаза КРУЭ. Датчик 3")</f>
        <v>Температура элегаза КРУЭ. Датчик 3</v>
      </c>
    </row>
    <row r="2002" spans="1:2" ht="15.75" customHeight="1" x14ac:dyDescent="0.25">
      <c r="A2002" s="13" t="str">
        <f ca="1">IFERROR(__xludf.DUMMYFUNCTION("""COMPUTED_VALUE"""),"t_sf6_4")</f>
        <v>t_sf6_4</v>
      </c>
      <c r="B2002" s="13" t="str">
        <f ca="1">IFERROR(__xludf.DUMMYFUNCTION("""COMPUTED_VALUE"""),"Температура элегаза КРУЭ. Датчик 4")</f>
        <v>Температура элегаза КРУЭ. Датчик 4</v>
      </c>
    </row>
    <row r="2003" spans="1:2" ht="15.75" customHeight="1" x14ac:dyDescent="0.25">
      <c r="A2003" s="13" t="str">
        <f ca="1">IFERROR(__xludf.DUMMYFUNCTION("""COMPUTED_VALUE"""),"t_sf6_5")</f>
        <v>t_sf6_5</v>
      </c>
      <c r="B2003" s="13" t="str">
        <f ca="1">IFERROR(__xludf.DUMMYFUNCTION("""COMPUTED_VALUE"""),"Температура элегаза КРУЭ. Датчик 5")</f>
        <v>Температура элегаза КРУЭ. Датчик 5</v>
      </c>
    </row>
    <row r="2004" spans="1:2" ht="15.75" customHeight="1" x14ac:dyDescent="0.25">
      <c r="A2004" s="13" t="str">
        <f ca="1">IFERROR(__xludf.DUMMYFUNCTION("""COMPUTED_VALUE"""),"t_sf6_6")</f>
        <v>t_sf6_6</v>
      </c>
      <c r="B2004" s="13" t="str">
        <f ca="1">IFERROR(__xludf.DUMMYFUNCTION("""COMPUTED_VALUE"""),"Температура элегаза КРУЭ. Датчик 6")</f>
        <v>Температура элегаза КРУЭ. Датчик 6</v>
      </c>
    </row>
    <row r="2005" spans="1:2" ht="15.75" customHeight="1" x14ac:dyDescent="0.25">
      <c r="A2005" s="13" t="str">
        <f ca="1">IFERROR(__xludf.DUMMYFUNCTION("""COMPUTED_VALUE"""),"t_sf6_7")</f>
        <v>t_sf6_7</v>
      </c>
      <c r="B2005" s="13" t="str">
        <f ca="1">IFERROR(__xludf.DUMMYFUNCTION("""COMPUTED_VALUE"""),"Температура элегаза КРУЭ. Датчик 7")</f>
        <v>Температура элегаза КРУЭ. Датчик 7</v>
      </c>
    </row>
    <row r="2006" spans="1:2" ht="15.75" customHeight="1" x14ac:dyDescent="0.25">
      <c r="A2006" s="13" t="str">
        <f ca="1">IFERROR(__xludf.DUMMYFUNCTION("""COMPUTED_VALUE"""),"t_sf6_8")</f>
        <v>t_sf6_8</v>
      </c>
      <c r="B2006" s="13" t="str">
        <f ca="1">IFERROR(__xludf.DUMMYFUNCTION("""COMPUTED_VALUE"""),"Температура элегаза КРУЭ. Датчик 8")</f>
        <v>Температура элегаза КРУЭ. Датчик 8</v>
      </c>
    </row>
    <row r="2007" spans="1:2" ht="15.75" customHeight="1" x14ac:dyDescent="0.25">
      <c r="A2007" s="13" t="str">
        <f ca="1">IFERROR(__xludf.DUMMYFUNCTION("""COMPUTED_VALUE"""),"t_sf6_9")</f>
        <v>t_sf6_9</v>
      </c>
      <c r="B2007" s="13" t="str">
        <f ca="1">IFERROR(__xludf.DUMMYFUNCTION("""COMPUTED_VALUE"""),"Температура элегаза КРУЭ. Датчик 9")</f>
        <v>Температура элегаза КРУЭ. Датчик 9</v>
      </c>
    </row>
    <row r="2008" spans="1:2" ht="15.75" customHeight="1" x14ac:dyDescent="0.25">
      <c r="A2008" s="13" t="str">
        <f ca="1">IFERROR(__xludf.DUMMYFUNCTION("""COMPUTED_VALUE"""),"t_tp")</f>
        <v>t_tp</v>
      </c>
      <c r="B2008" s="13" t="str">
        <f ca="1">IFERROR(__xludf.DUMMYFUNCTION("""COMPUTED_VALUE"""),"Температура верхних слоёв масла")</f>
        <v>Температура верхних слоёв масла</v>
      </c>
    </row>
    <row r="2009" spans="1:2" ht="15.75" customHeight="1" x14ac:dyDescent="0.25">
      <c r="A2009" s="13" t="str">
        <f ca="1">IFERROR(__xludf.DUMMYFUNCTION("""COMPUTED_VALUE"""),"t_tp_0")</f>
        <v>t_tp_0</v>
      </c>
      <c r="B2009" s="13" t="str">
        <f ca="1">IFERROR(__xludf.DUMMYFUNCTION("""COMPUTED_VALUE"""),"Температура верхних слоёв масла, начальная")</f>
        <v>Температура верхних слоёв масла, начальная</v>
      </c>
    </row>
    <row r="2010" spans="1:2" ht="15.75" customHeight="1" x14ac:dyDescent="0.25">
      <c r="A2010" s="13" t="str">
        <f ca="1">IFERROR(__xludf.DUMMYFUNCTION("""COMPUTED_VALUE"""),"t_tp_alarm0")</f>
        <v>t_tp_alarm0</v>
      </c>
      <c r="B2010" s="13" t="str">
        <f ca="1">IFERROR(__xludf.DUMMYFUNCTION("""COMPUTED_VALUE"""),"Превышение температуры верхних слоёв масла")</f>
        <v>Превышение температуры верхних слоёв масла</v>
      </c>
    </row>
    <row r="2011" spans="1:2" ht="15.75" customHeight="1" x14ac:dyDescent="0.25">
      <c r="A2011" s="13" t="str">
        <f ca="1">IFERROR(__xludf.DUMMYFUNCTION("""COMPUTED_VALUE"""),"t_tp_avg_1")</f>
        <v>t_tp_avg_1</v>
      </c>
      <c r="B2011" s="13" t="str">
        <f ca="1">IFERROR(__xludf.DUMMYFUNCTION("""COMPUTED_VALUE"""),"Среднее часовое значение температуры верхних слоёв масла")</f>
        <v>Среднее часовое значение температуры верхних слоёв масла</v>
      </c>
    </row>
    <row r="2012" spans="1:2" ht="15.75" customHeight="1" x14ac:dyDescent="0.25">
      <c r="A2012" s="13" t="str">
        <f ca="1">IFERROR(__xludf.DUMMYFUNCTION("""COMPUTED_VALUE"""),"t_tp_avg_1_forecast")</f>
        <v>t_tp_avg_1_forecast</v>
      </c>
      <c r="B2012" s="13" t="str">
        <f ca="1">IFERROR(__xludf.DUMMYFUNCTION("""COMPUTED_VALUE"""),"Прогноз средних часовых значений температуры верхних слоёв")</f>
        <v>Прогноз средних часовых значений температуры верхних слоёв</v>
      </c>
    </row>
    <row r="2013" spans="1:2" ht="15.75" customHeight="1" x14ac:dyDescent="0.25">
      <c r="A2013" s="13" t="str">
        <f ca="1">IFERROR(__xludf.DUMMYFUNCTION("""COMPUTED_VALUE"""),"t_tp_avg_16")</f>
        <v>t_tp_avg_16</v>
      </c>
      <c r="B2013" s="13" t="str">
        <f ca="1">IFERROR(__xludf.DUMMYFUNCTION("""COMPUTED_VALUE"""),"Среднее значение температуры верхних слоёв, за последние 16 часов")</f>
        <v>Среднее значение температуры верхних слоёв, за последние 16 часов</v>
      </c>
    </row>
    <row r="2014" spans="1:2" ht="15.75" customHeight="1" x14ac:dyDescent="0.25">
      <c r="A2014" s="13" t="str">
        <f ca="1">IFERROR(__xludf.DUMMYFUNCTION("""COMPUTED_VALUE"""),"t_tp_avg_24")</f>
        <v>t_tp_avg_24</v>
      </c>
      <c r="B2014" s="13" t="str">
        <f ca="1">IFERROR(__xludf.DUMMYFUNCTION("""COMPUTED_VALUE"""),"Среднее значение температуры верхних слоёв, за последние 24 часа")</f>
        <v>Среднее значение температуры верхних слоёв, за последние 24 часа</v>
      </c>
    </row>
    <row r="2015" spans="1:2" ht="15.75" customHeight="1" x14ac:dyDescent="0.25">
      <c r="A2015" s="13" t="str">
        <f ca="1">IFERROR(__xludf.DUMMYFUNCTION("""COMPUTED_VALUE"""),"t_tp_avg_48")</f>
        <v>t_tp_avg_48</v>
      </c>
      <c r="B2015" s="13" t="str">
        <f ca="1">IFERROR(__xludf.DUMMYFUNCTION("""COMPUTED_VALUE"""),"Среднее значение температуры верхних слоёв, за последние 48 часов")</f>
        <v>Среднее значение температуры верхних слоёв, за последние 48 часов</v>
      </c>
    </row>
    <row r="2016" spans="1:2" ht="15.75" customHeight="1" x14ac:dyDescent="0.25">
      <c r="A2016" s="13" t="str">
        <f ca="1">IFERROR(__xludf.DUMMYFUNCTION("""COMPUTED_VALUE"""),"t_tp_avg_8")</f>
        <v>t_tp_avg_8</v>
      </c>
      <c r="B2016" s="13" t="str">
        <f ca="1">IFERROR(__xludf.DUMMYFUNCTION("""COMPUTED_VALUE"""),"Среднее значение температуры верхних слоёв, за последние 8 часов")</f>
        <v>Среднее значение температуры верхних слоёв, за последние 8 часов</v>
      </c>
    </row>
    <row r="2017" spans="1:2" ht="15.75" customHeight="1" x14ac:dyDescent="0.25">
      <c r="A2017" s="13" t="str">
        <f ca="1">IFERROR(__xludf.DUMMYFUNCTION("""COMPUTED_VALUE"""),"t_tp_calc")</f>
        <v>t_tp_calc</v>
      </c>
      <c r="B2017" s="13" t="str">
        <f ca="1">IFERROR(__xludf.DUMMYFUNCTION("""COMPUTED_VALUE"""),"Температура верхних слоёв масла расчётная")</f>
        <v>Температура верхних слоёв масла расчётная</v>
      </c>
    </row>
    <row r="2018" spans="1:2" ht="15.75" customHeight="1" x14ac:dyDescent="0.25">
      <c r="A2018" s="13" t="str">
        <f ca="1">IFERROR(__xludf.DUMMYFUNCTION("""COMPUTED_VALUE"""),"t_tp_lim0")</f>
        <v>t_tp_lim0</v>
      </c>
      <c r="B2018" s="13" t="str">
        <f ca="1">IFERROR(__xludf.DUMMYFUNCTION("""COMPUTED_VALUE"""),"ДЗ температуры верхних слоев масла ")</f>
        <v xml:space="preserve">ДЗ температуры верхних слоев масла </v>
      </c>
    </row>
    <row r="2019" spans="1:2" ht="15.75" customHeight="1" x14ac:dyDescent="0.25">
      <c r="A2019" s="13" t="str">
        <f ca="1">IFERROR(__xludf.DUMMYFUNCTION("""COMPUTED_VALUE"""),"t_tp_lim0_manual")</f>
        <v>t_tp_lim0_manual</v>
      </c>
      <c r="B2019" s="13" t="str">
        <f ca="1">IFERROR(__xludf.DUMMYFUNCTION("""COMPUTED_VALUE"""),"ДЗ температуры верхних слоёв масла, ручное")</f>
        <v>ДЗ температуры верхних слоёв масла, ручное</v>
      </c>
    </row>
    <row r="2020" spans="1:2" ht="15.75" customHeight="1" x14ac:dyDescent="0.25">
      <c r="A2020" s="13" t="str">
        <f ca="1">IFERROR(__xludf.DUMMYFUNCTION("""COMPUTED_VALUE"""),"t_tp_res")</f>
        <v>t_tp_res</v>
      </c>
      <c r="B2020" s="13" t="str">
        <f ca="1">IFERROR(__xludf.DUMMYFUNCTION("""COMPUTED_VALUE"""),"Температура верхних слоёв масла для расчётов")</f>
        <v>Температура верхних слоёв масла для расчётов</v>
      </c>
    </row>
    <row r="2021" spans="1:2" ht="15.75" customHeight="1" x14ac:dyDescent="0.25">
      <c r="A2021" s="13" t="str">
        <f ca="1">IFERROR(__xludf.DUMMYFUNCTION("""COMPUTED_VALUE"""),"t_tp_ttr")</f>
        <v>t_tp_ttr</v>
      </c>
      <c r="B2021" s="13" t="str">
        <f ca="1">IFERROR(__xludf.DUMMYFUNCTION("""COMPUTED_VALUE"""),"Время достижения ДЗ температуры верхних слоёв масла")</f>
        <v>Время достижения ДЗ температуры верхних слоёв масла</v>
      </c>
    </row>
    <row r="2022" spans="1:2" ht="15.75" customHeight="1" x14ac:dyDescent="0.25">
      <c r="A2022" s="13" t="str">
        <f ca="1">IFERROR(__xludf.DUMMYFUNCTION("""COMPUTED_VALUE"""),"t_wrw")</f>
        <v>t_wrw</v>
      </c>
      <c r="B2022" s="13" t="str">
        <f ca="1">IFERROR(__xludf.DUMMYFUNCTION("""COMPUTED_VALUE"""),"Ширина окна времени контроля температуры")</f>
        <v>Ширина окна времени контроля температуры</v>
      </c>
    </row>
    <row r="2023" spans="1:2" ht="15.75" customHeight="1" x14ac:dyDescent="0.25">
      <c r="A2023" s="13" t="str">
        <f ca="1">IFERROR(__xludf.DUMMYFUNCTION("""COMPUTED_VALUE"""),"table_overload_coeff_long")</f>
        <v>table_overload_coeff_long</v>
      </c>
      <c r="B2023" s="13" t="str">
        <f ca="1">IFERROR(__xludf.DUMMYFUNCTION("""COMPUTED_VALUE"""),"Таблица коэффициентов допустимой аварийной перегрузки")</f>
        <v>Таблица коэффициентов допустимой аварийной перегрузки</v>
      </c>
    </row>
    <row r="2024" spans="1:2" ht="15.75" customHeight="1" x14ac:dyDescent="0.25">
      <c r="A2024" s="13" t="str">
        <f ca="1">IFERROR(__xludf.DUMMYFUNCTION("""COMPUTED_VALUE"""),"table_overload_coeff_long_number_manual")</f>
        <v>table_overload_coeff_long_number_manual</v>
      </c>
      <c r="B2024" s="13" t="str">
        <f ca="1">IFERROR(__xludf.DUMMYFUNCTION("""COMPUTED_VALUE"""),"Таблица коэффициентов допустимой аварийной перегрузки, ручная")</f>
        <v>Таблица коэффициентов допустимой аварийной перегрузки, ручная</v>
      </c>
    </row>
    <row r="2025" spans="1:2" ht="15.75" customHeight="1" x14ac:dyDescent="0.25">
      <c r="A2025" s="13" t="str">
        <f ca="1">IFERROR(__xludf.DUMMYFUNCTION("""COMPUTED_VALUE"""),"table_overload_coeff_normal")</f>
        <v>table_overload_coeff_normal</v>
      </c>
      <c r="B2025" s="13" t="str">
        <f ca="1">IFERROR(__xludf.DUMMYFUNCTION("""COMPUTED_VALUE"""),"Таблица коэффициентов допустимой длительной перегрузки")</f>
        <v>Таблица коэффициентов допустимой длительной перегрузки</v>
      </c>
    </row>
    <row r="2026" spans="1:2" ht="15.75" customHeight="1" x14ac:dyDescent="0.25">
      <c r="A2026" s="13" t="str">
        <f ca="1">IFERROR(__xludf.DUMMYFUNCTION("""COMPUTED_VALUE"""),"table_overload_coeff_normal_manual")</f>
        <v>table_overload_coeff_normal_manual</v>
      </c>
      <c r="B2026" s="13" t="str">
        <f ca="1">IFERROR(__xludf.DUMMYFUNCTION("""COMPUTED_VALUE"""),"Таблица коэффициентов допустимой длительной перегрузки, ручная")</f>
        <v>Таблица коэффициентов допустимой длительной перегрузки, ручная</v>
      </c>
    </row>
    <row r="2027" spans="1:2" ht="15.75" customHeight="1" x14ac:dyDescent="0.25">
      <c r="A2027" s="13" t="str">
        <f ca="1">IFERROR(__xludf.DUMMYFUNCTION("""COMPUTED_VALUE"""),"time_left_duration_hv")</f>
        <v>time_left_duration_hv</v>
      </c>
      <c r="B2027" s="13" t="str">
        <f ca="1">IFERROR(__xludf.DUMMYFUNCTION("""COMPUTED_VALUE"""),"Оставшееся время достижения уставки по допустимой длительности перегрузки ВН")</f>
        <v>Оставшееся время достижения уставки по допустимой длительности перегрузки ВН</v>
      </c>
    </row>
    <row r="2028" spans="1:2" ht="15.75" customHeight="1" x14ac:dyDescent="0.25">
      <c r="A2028" s="13" t="str">
        <f ca="1">IFERROR(__xludf.DUMMYFUNCTION("""COMPUTED_VALUE"""),"time_left_duration_lv")</f>
        <v>time_left_duration_lv</v>
      </c>
      <c r="B2028" s="13" t="str">
        <f ca="1">IFERROR(__xludf.DUMMYFUNCTION("""COMPUTED_VALUE"""),"Оставшееся время достижения уставки по допустимой длительности перегрузки НН")</f>
        <v>Оставшееся время достижения уставки по допустимой длительности перегрузки НН</v>
      </c>
    </row>
    <row r="2029" spans="1:2" ht="15.75" customHeight="1" x14ac:dyDescent="0.25">
      <c r="A2029" s="13" t="str">
        <f ca="1">IFERROR(__xludf.DUMMYFUNCTION("""COMPUTED_VALUE"""),"u_hv_avg24")</f>
        <v>u_hv_avg24</v>
      </c>
      <c r="B2029" s="13" t="str">
        <f ca="1">IFERROR(__xludf.DUMMYFUNCTION("""COMPUTED_VALUE"""),"Среднее значение напряжения ВН за последние 24 час")</f>
        <v>Среднее значение напряжения ВН за последние 24 час</v>
      </c>
    </row>
    <row r="2030" spans="1:2" ht="15.75" customHeight="1" x14ac:dyDescent="0.25">
      <c r="A2030" s="13" t="str">
        <f ca="1">IFERROR(__xludf.DUMMYFUNCTION("""COMPUTED_VALUE"""),"u_max_hv")</f>
        <v>u_max_hv</v>
      </c>
      <c r="B2030" s="13" t="str">
        <f ca="1">IFERROR(__xludf.DUMMYFUNCTION("""COMPUTED_VALUE"""),"Наибольшее рабочее линейное напряжение, ВН")</f>
        <v>Наибольшее рабочее линейное напряжение, ВН</v>
      </c>
    </row>
    <row r="2031" spans="1:2" ht="15.75" customHeight="1" x14ac:dyDescent="0.25">
      <c r="A2031" s="13" t="str">
        <f ca="1">IFERROR(__xludf.DUMMYFUNCTION("""COMPUTED_VALUE"""),"u_max_lv")</f>
        <v>u_max_lv</v>
      </c>
      <c r="B2031" s="13" t="str">
        <f ca="1">IFERROR(__xludf.DUMMYFUNCTION("""COMPUTED_VALUE"""),"Наибольшее рабочее линейное напряжение, НН")</f>
        <v>Наибольшее рабочее линейное напряжение, НН</v>
      </c>
    </row>
    <row r="2032" spans="1:2" ht="15.75" customHeight="1" x14ac:dyDescent="0.25">
      <c r="A2032" s="13" t="str">
        <f ca="1">IFERROR(__xludf.DUMMYFUNCTION("""COMPUTED_VALUE"""),"u_max_mv")</f>
        <v>u_max_mv</v>
      </c>
      <c r="B2032" s="13" t="str">
        <f ca="1">IFERROR(__xludf.DUMMYFUNCTION("""COMPUTED_VALUE"""),"Наибольшее рабочее линейное напряжение, СН")</f>
        <v>Наибольшее рабочее линейное напряжение, СН</v>
      </c>
    </row>
    <row r="2033" spans="1:2" ht="15.75" customHeight="1" x14ac:dyDescent="0.25">
      <c r="A2033" s="13" t="str">
        <f ca="1">IFERROR(__xludf.DUMMYFUNCTION("""COMPUTED_VALUE"""),"u_n_hv")</f>
        <v>u_n_hv</v>
      </c>
      <c r="B2033" s="13" t="str">
        <f ca="1">IFERROR(__xludf.DUMMYFUNCTION("""COMPUTED_VALUE"""),"Напряжение нейтрали ВН")</f>
        <v>Напряжение нейтрали ВН</v>
      </c>
    </row>
    <row r="2034" spans="1:2" ht="15.75" customHeight="1" x14ac:dyDescent="0.25">
      <c r="A2034" s="13" t="str">
        <f ca="1">IFERROR(__xludf.DUMMYFUNCTION("""COMPUTED_VALUE"""),"u_n_lv")</f>
        <v>u_n_lv</v>
      </c>
      <c r="B2034" s="13" t="str">
        <f ca="1">IFERROR(__xludf.DUMMYFUNCTION("""COMPUTED_VALUE"""),"Напряжение нейтрали НН")</f>
        <v>Напряжение нейтрали НН</v>
      </c>
    </row>
    <row r="2035" spans="1:2" ht="15.75" customHeight="1" x14ac:dyDescent="0.25">
      <c r="A2035" s="13" t="str">
        <f ca="1">IFERROR(__xludf.DUMMYFUNCTION("""COMPUTED_VALUE"""),"u_n_lv1")</f>
        <v>u_n_lv1</v>
      </c>
      <c r="B2035" s="13" t="str">
        <f ca="1">IFERROR(__xludf.DUMMYFUNCTION("""COMPUTED_VALUE"""),"Напряжение нейтрали НН1")</f>
        <v>Напряжение нейтрали НН1</v>
      </c>
    </row>
    <row r="2036" spans="1:2" ht="15.75" customHeight="1" x14ac:dyDescent="0.25">
      <c r="A2036" s="13" t="str">
        <f ca="1">IFERROR(__xludf.DUMMYFUNCTION("""COMPUTED_VALUE"""),"u_n_lv2")</f>
        <v>u_n_lv2</v>
      </c>
      <c r="B2036" s="13" t="str">
        <f ca="1">IFERROR(__xludf.DUMMYFUNCTION("""COMPUTED_VALUE"""),"Напряжение нейтрали НН2")</f>
        <v>Напряжение нейтрали НН2</v>
      </c>
    </row>
    <row r="2037" spans="1:2" ht="15.75" customHeight="1" x14ac:dyDescent="0.25">
      <c r="A2037" s="13" t="str">
        <f ca="1">IFERROR(__xludf.DUMMYFUNCTION("""COMPUTED_VALUE"""),"u_n_mv")</f>
        <v>u_n_mv</v>
      </c>
      <c r="B2037" s="13" t="str">
        <f ca="1">IFERROR(__xludf.DUMMYFUNCTION("""COMPUTED_VALUE"""),"Напряжение нейтрали СН")</f>
        <v>Напряжение нейтрали СН</v>
      </c>
    </row>
    <row r="2038" spans="1:2" ht="15.75" customHeight="1" x14ac:dyDescent="0.25">
      <c r="A2038" s="13" t="str">
        <f ca="1">IFERROR(__xludf.DUMMYFUNCTION("""COMPUTED_VALUE"""),"u_pa_hv")</f>
        <v>u_pa_hv</v>
      </c>
      <c r="B2038" s="13" t="str">
        <f ca="1">IFERROR(__xludf.DUMMYFUNCTION("""COMPUTED_VALUE"""),"Напряжение фазное ВН, фаза A")</f>
        <v>Напряжение фазное ВН, фаза A</v>
      </c>
    </row>
    <row r="2039" spans="1:2" ht="15.75" customHeight="1" x14ac:dyDescent="0.25">
      <c r="A2039" s="13" t="str">
        <f ca="1">IFERROR(__xludf.DUMMYFUNCTION("""COMPUTED_VALUE"""),"u_pa_lv")</f>
        <v>u_pa_lv</v>
      </c>
      <c r="B2039" s="13" t="str">
        <f ca="1">IFERROR(__xludf.DUMMYFUNCTION("""COMPUTED_VALUE"""),"Напряжение фазное НН, фаза A")</f>
        <v>Напряжение фазное НН, фаза A</v>
      </c>
    </row>
    <row r="2040" spans="1:2" ht="15.75" customHeight="1" x14ac:dyDescent="0.25">
      <c r="A2040" s="13" t="str">
        <f ca="1">IFERROR(__xludf.DUMMYFUNCTION("""COMPUTED_VALUE"""),"u_pa_lv1")</f>
        <v>u_pa_lv1</v>
      </c>
      <c r="B2040" s="13" t="str">
        <f ca="1">IFERROR(__xludf.DUMMYFUNCTION("""COMPUTED_VALUE"""),"Напряжение фазное НН1, фаза A")</f>
        <v>Напряжение фазное НН1, фаза A</v>
      </c>
    </row>
    <row r="2041" spans="1:2" ht="15.75" customHeight="1" x14ac:dyDescent="0.25">
      <c r="A2041" s="13" t="str">
        <f ca="1">IFERROR(__xludf.DUMMYFUNCTION("""COMPUTED_VALUE"""),"u_pa_lv1b")</f>
        <v>u_pa_lv1b</v>
      </c>
      <c r="B2041" s="13" t="str">
        <f ca="1">IFERROR(__xludf.DUMMYFUNCTION("""COMPUTED_VALUE"""),"Напряжение линейное НН1, фазы A и B")</f>
        <v>Напряжение линейное НН1, фазы A и B</v>
      </c>
    </row>
    <row r="2042" spans="1:2" ht="15.75" customHeight="1" x14ac:dyDescent="0.25">
      <c r="A2042" s="13" t="str">
        <f ca="1">IFERROR(__xludf.DUMMYFUNCTION("""COMPUTED_VALUE"""),"u_pa_lv2")</f>
        <v>u_pa_lv2</v>
      </c>
      <c r="B2042" s="13" t="str">
        <f ca="1">IFERROR(__xludf.DUMMYFUNCTION("""COMPUTED_VALUE"""),"Напряжение фазное НН2, фаза A")</f>
        <v>Напряжение фазное НН2, фаза A</v>
      </c>
    </row>
    <row r="2043" spans="1:2" ht="15.75" customHeight="1" x14ac:dyDescent="0.25">
      <c r="A2043" s="13" t="str">
        <f ca="1">IFERROR(__xludf.DUMMYFUNCTION("""COMPUTED_VALUE"""),"u_pa_lv2b")</f>
        <v>u_pa_lv2b</v>
      </c>
      <c r="B2043" s="13" t="str">
        <f ca="1">IFERROR(__xludf.DUMMYFUNCTION("""COMPUTED_VALUE"""),"Напряжение линейное НН2, фазы A и B")</f>
        <v>Напряжение линейное НН2, фазы A и B</v>
      </c>
    </row>
    <row r="2044" spans="1:2" ht="15.75" customHeight="1" x14ac:dyDescent="0.25">
      <c r="A2044" s="13" t="str">
        <f ca="1">IFERROR(__xludf.DUMMYFUNCTION("""COMPUTED_VALUE"""),"u_pa_lvb")</f>
        <v>u_pa_lvb</v>
      </c>
      <c r="B2044" s="13" t="str">
        <f ca="1">IFERROR(__xludf.DUMMYFUNCTION("""COMPUTED_VALUE"""),"Напряжение линейное НН, фазы A и B")</f>
        <v>Напряжение линейное НН, фазы A и B</v>
      </c>
    </row>
    <row r="2045" spans="1:2" ht="15.75" customHeight="1" x14ac:dyDescent="0.25">
      <c r="A2045" s="13" t="str">
        <f ca="1">IFERROR(__xludf.DUMMYFUNCTION("""COMPUTED_VALUE"""),"u_pa_mv")</f>
        <v>u_pa_mv</v>
      </c>
      <c r="B2045" s="13" t="str">
        <f ca="1">IFERROR(__xludf.DUMMYFUNCTION("""COMPUTED_VALUE"""),"Напряжение фазное СН, фаза A")</f>
        <v>Напряжение фазное СН, фаза A</v>
      </c>
    </row>
    <row r="2046" spans="1:2" ht="15.75" customHeight="1" x14ac:dyDescent="0.25">
      <c r="A2046" s="13" t="str">
        <f ca="1">IFERROR(__xludf.DUMMYFUNCTION("""COMPUTED_VALUE"""),"u_pab_hv")</f>
        <v>u_pab_hv</v>
      </c>
      <c r="B2046" s="13" t="str">
        <f ca="1">IFERROR(__xludf.DUMMYFUNCTION("""COMPUTED_VALUE"""),"Напряжение линейное ВН, фазы A и B")</f>
        <v>Напряжение линейное ВН, фазы A и B</v>
      </c>
    </row>
    <row r="2047" spans="1:2" ht="15.75" customHeight="1" x14ac:dyDescent="0.25">
      <c r="A2047" s="13" t="str">
        <f ca="1">IFERROR(__xludf.DUMMYFUNCTION("""COMPUTED_VALUE"""),"u_pab_mv")</f>
        <v>u_pab_mv</v>
      </c>
      <c r="B2047" s="13" t="str">
        <f ca="1">IFERROR(__xludf.DUMMYFUNCTION("""COMPUTED_VALUE"""),"Напряжение линейное СН, фазы A и B")</f>
        <v>Напряжение линейное СН, фазы A и B</v>
      </c>
    </row>
    <row r="2048" spans="1:2" ht="15.75" customHeight="1" x14ac:dyDescent="0.25">
      <c r="A2048" s="13" t="str">
        <f ca="1">IFERROR(__xludf.DUMMYFUNCTION("""COMPUTED_VALUE"""),"u_pb_hv")</f>
        <v>u_pb_hv</v>
      </c>
      <c r="B2048" s="13" t="str">
        <f ca="1">IFERROR(__xludf.DUMMYFUNCTION("""COMPUTED_VALUE"""),"Напряжение фазное ВН, фаза B")</f>
        <v>Напряжение фазное ВН, фаза B</v>
      </c>
    </row>
    <row r="2049" spans="1:2" ht="15.75" customHeight="1" x14ac:dyDescent="0.25">
      <c r="A2049" s="13" t="str">
        <f ca="1">IFERROR(__xludf.DUMMYFUNCTION("""COMPUTED_VALUE"""),"u_pb_lv")</f>
        <v>u_pb_lv</v>
      </c>
      <c r="B2049" s="13" t="str">
        <f ca="1">IFERROR(__xludf.DUMMYFUNCTION("""COMPUTED_VALUE"""),"Напряжение фазное НН, фаза B")</f>
        <v>Напряжение фазное НН, фаза B</v>
      </c>
    </row>
    <row r="2050" spans="1:2" ht="15.75" customHeight="1" x14ac:dyDescent="0.25">
      <c r="A2050" s="13" t="str">
        <f ca="1">IFERROR(__xludf.DUMMYFUNCTION("""COMPUTED_VALUE"""),"u_pb_lv1")</f>
        <v>u_pb_lv1</v>
      </c>
      <c r="B2050" s="13" t="str">
        <f ca="1">IFERROR(__xludf.DUMMYFUNCTION("""COMPUTED_VALUE"""),"Напряжение фазное НН1, фаза B")</f>
        <v>Напряжение фазное НН1, фаза B</v>
      </c>
    </row>
    <row r="2051" spans="1:2" ht="15.75" customHeight="1" x14ac:dyDescent="0.25">
      <c r="A2051" s="13" t="str">
        <f ca="1">IFERROR(__xludf.DUMMYFUNCTION("""COMPUTED_VALUE"""),"u_pb_lv1c")</f>
        <v>u_pb_lv1c</v>
      </c>
      <c r="B2051" s="13" t="str">
        <f ca="1">IFERROR(__xludf.DUMMYFUNCTION("""COMPUTED_VALUE"""),"Напряжение линейное НН1, фазы B и C")</f>
        <v>Напряжение линейное НН1, фазы B и C</v>
      </c>
    </row>
    <row r="2052" spans="1:2" ht="15.75" customHeight="1" x14ac:dyDescent="0.25">
      <c r="A2052" s="13" t="str">
        <f ca="1">IFERROR(__xludf.DUMMYFUNCTION("""COMPUTED_VALUE"""),"u_pb_lv2")</f>
        <v>u_pb_lv2</v>
      </c>
      <c r="B2052" s="13" t="str">
        <f ca="1">IFERROR(__xludf.DUMMYFUNCTION("""COMPUTED_VALUE"""),"Напряжение фазное НН2, фаза B")</f>
        <v>Напряжение фазное НН2, фаза B</v>
      </c>
    </row>
    <row r="2053" spans="1:2" ht="15.75" customHeight="1" x14ac:dyDescent="0.25">
      <c r="A2053" s="13" t="str">
        <f ca="1">IFERROR(__xludf.DUMMYFUNCTION("""COMPUTED_VALUE"""),"u_pb_lv2c")</f>
        <v>u_pb_lv2c</v>
      </c>
      <c r="B2053" s="13" t="str">
        <f ca="1">IFERROR(__xludf.DUMMYFUNCTION("""COMPUTED_VALUE"""),"Напряжение линейное НН2, фазы B и C")</f>
        <v>Напряжение линейное НН2, фазы B и C</v>
      </c>
    </row>
    <row r="2054" spans="1:2" ht="15.75" customHeight="1" x14ac:dyDescent="0.25">
      <c r="A2054" s="13" t="str">
        <f ca="1">IFERROR(__xludf.DUMMYFUNCTION("""COMPUTED_VALUE"""),"u_pb_lvc")</f>
        <v>u_pb_lvc</v>
      </c>
      <c r="B2054" s="13" t="str">
        <f ca="1">IFERROR(__xludf.DUMMYFUNCTION("""COMPUTED_VALUE"""),"Напряжение линейное НН, фазы B и C")</f>
        <v>Напряжение линейное НН, фазы B и C</v>
      </c>
    </row>
    <row r="2055" spans="1:2" ht="15.75" customHeight="1" x14ac:dyDescent="0.25">
      <c r="A2055" s="13" t="str">
        <f ca="1">IFERROR(__xludf.DUMMYFUNCTION("""COMPUTED_VALUE"""),"u_pb_mv")</f>
        <v>u_pb_mv</v>
      </c>
      <c r="B2055" s="13" t="str">
        <f ca="1">IFERROR(__xludf.DUMMYFUNCTION("""COMPUTED_VALUE"""),"Напряжение фазное СН, фаза B")</f>
        <v>Напряжение фазное СН, фаза B</v>
      </c>
    </row>
    <row r="2056" spans="1:2" ht="15.75" customHeight="1" x14ac:dyDescent="0.25">
      <c r="A2056" s="13" t="str">
        <f ca="1">IFERROR(__xludf.DUMMYFUNCTION("""COMPUTED_VALUE"""),"u_pbc_hv")</f>
        <v>u_pbc_hv</v>
      </c>
      <c r="B2056" s="13" t="str">
        <f ca="1">IFERROR(__xludf.DUMMYFUNCTION("""COMPUTED_VALUE"""),"Напряжение линейное ВН, фазы B и C")</f>
        <v>Напряжение линейное ВН, фазы B и C</v>
      </c>
    </row>
    <row r="2057" spans="1:2" ht="15.75" customHeight="1" x14ac:dyDescent="0.25">
      <c r="A2057" s="13" t="str">
        <f ca="1">IFERROR(__xludf.DUMMYFUNCTION("""COMPUTED_VALUE"""),"u_pbc_mv")</f>
        <v>u_pbc_mv</v>
      </c>
      <c r="B2057" s="13" t="str">
        <f ca="1">IFERROR(__xludf.DUMMYFUNCTION("""COMPUTED_VALUE"""),"Напряжение линейное СН, фазы B и C")</f>
        <v>Напряжение линейное СН, фазы B и C</v>
      </c>
    </row>
    <row r="2058" spans="1:2" ht="15.75" customHeight="1" x14ac:dyDescent="0.25">
      <c r="A2058" s="13" t="str">
        <f ca="1">IFERROR(__xludf.DUMMYFUNCTION("""COMPUTED_VALUE"""),"u_pc_hv")</f>
        <v>u_pc_hv</v>
      </c>
      <c r="B2058" s="13" t="str">
        <f ca="1">IFERROR(__xludf.DUMMYFUNCTION("""COMPUTED_VALUE"""),"Напряжение фазное ВН, фаза C")</f>
        <v>Напряжение фазное ВН, фаза C</v>
      </c>
    </row>
    <row r="2059" spans="1:2" ht="15.75" customHeight="1" x14ac:dyDescent="0.25">
      <c r="A2059" s="13" t="str">
        <f ca="1">IFERROR(__xludf.DUMMYFUNCTION("""COMPUTED_VALUE"""),"u_pc_lv")</f>
        <v>u_pc_lv</v>
      </c>
      <c r="B2059" s="13" t="str">
        <f ca="1">IFERROR(__xludf.DUMMYFUNCTION("""COMPUTED_VALUE"""),"Напряжение фазное НН, фаза C")</f>
        <v>Напряжение фазное НН, фаза C</v>
      </c>
    </row>
    <row r="2060" spans="1:2" ht="15.75" customHeight="1" x14ac:dyDescent="0.25">
      <c r="A2060" s="13" t="str">
        <f ca="1">IFERROR(__xludf.DUMMYFUNCTION("""COMPUTED_VALUE"""),"u_pc_lv1")</f>
        <v>u_pc_lv1</v>
      </c>
      <c r="B2060" s="13" t="str">
        <f ca="1">IFERROR(__xludf.DUMMYFUNCTION("""COMPUTED_VALUE"""),"Напряжение фазное НН1, фаза C")</f>
        <v>Напряжение фазное НН1, фаза C</v>
      </c>
    </row>
    <row r="2061" spans="1:2" ht="15.75" customHeight="1" x14ac:dyDescent="0.25">
      <c r="A2061" s="13" t="str">
        <f ca="1">IFERROR(__xludf.DUMMYFUNCTION("""COMPUTED_VALUE"""),"u_pc_lv1a")</f>
        <v>u_pc_lv1a</v>
      </c>
      <c r="B2061" s="13" t="str">
        <f ca="1">IFERROR(__xludf.DUMMYFUNCTION("""COMPUTED_VALUE"""),"Напряжение линейное НН1, фазы C и A")</f>
        <v>Напряжение линейное НН1, фазы C и A</v>
      </c>
    </row>
    <row r="2062" spans="1:2" ht="15.75" customHeight="1" x14ac:dyDescent="0.25">
      <c r="A2062" s="13" t="str">
        <f ca="1">IFERROR(__xludf.DUMMYFUNCTION("""COMPUTED_VALUE"""),"u_pc_lv2")</f>
        <v>u_pc_lv2</v>
      </c>
      <c r="B2062" s="13" t="str">
        <f ca="1">IFERROR(__xludf.DUMMYFUNCTION("""COMPUTED_VALUE"""),"Напряжение фазное НН2, фаза C")</f>
        <v>Напряжение фазное НН2, фаза C</v>
      </c>
    </row>
    <row r="2063" spans="1:2" ht="15.75" customHeight="1" x14ac:dyDescent="0.25">
      <c r="A2063" s="13" t="str">
        <f ca="1">IFERROR(__xludf.DUMMYFUNCTION("""COMPUTED_VALUE"""),"u_pc_lv2a")</f>
        <v>u_pc_lv2a</v>
      </c>
      <c r="B2063" s="13" t="str">
        <f ca="1">IFERROR(__xludf.DUMMYFUNCTION("""COMPUTED_VALUE"""),"Напряжение линейное НН2, фазы C и A")</f>
        <v>Напряжение линейное НН2, фазы C и A</v>
      </c>
    </row>
    <row r="2064" spans="1:2" ht="15.75" customHeight="1" x14ac:dyDescent="0.25">
      <c r="A2064" s="13" t="str">
        <f ca="1">IFERROR(__xludf.DUMMYFUNCTION("""COMPUTED_VALUE"""),"u_pc_lva")</f>
        <v>u_pc_lva</v>
      </c>
      <c r="B2064" s="13" t="str">
        <f ca="1">IFERROR(__xludf.DUMMYFUNCTION("""COMPUTED_VALUE"""),"Напряжение линейное НН, фазы C и A")</f>
        <v>Напряжение линейное НН, фазы C и A</v>
      </c>
    </row>
    <row r="2065" spans="1:2" ht="15.75" customHeight="1" x14ac:dyDescent="0.25">
      <c r="A2065" s="13" t="str">
        <f ca="1">IFERROR(__xludf.DUMMYFUNCTION("""COMPUTED_VALUE"""),"u_pc_mv")</f>
        <v>u_pc_mv</v>
      </c>
      <c r="B2065" s="13" t="str">
        <f ca="1">IFERROR(__xludf.DUMMYFUNCTION("""COMPUTED_VALUE"""),"Напряжение фазное СН, фаза C")</f>
        <v>Напряжение фазное СН, фаза C</v>
      </c>
    </row>
    <row r="2066" spans="1:2" ht="15.75" customHeight="1" x14ac:dyDescent="0.25">
      <c r="A2066" s="13" t="str">
        <f ca="1">IFERROR(__xludf.DUMMYFUNCTION("""COMPUTED_VALUE"""),"u_pca_hv")</f>
        <v>u_pca_hv</v>
      </c>
      <c r="B2066" s="13" t="str">
        <f ca="1">IFERROR(__xludf.DUMMYFUNCTION("""COMPUTED_VALUE"""),"Напряжение линейное ВН, фазы C и A")</f>
        <v>Напряжение линейное ВН, фазы C и A</v>
      </c>
    </row>
    <row r="2067" spans="1:2" ht="15.75" customHeight="1" x14ac:dyDescent="0.25">
      <c r="A2067" s="13" t="str">
        <f ca="1">IFERROR(__xludf.DUMMYFUNCTION("""COMPUTED_VALUE"""),"u_pca_mv")</f>
        <v>u_pca_mv</v>
      </c>
      <c r="B2067" s="13" t="str">
        <f ca="1">IFERROR(__xludf.DUMMYFUNCTION("""COMPUTED_VALUE"""),"Напряжение линейное СН, фазы C и A")</f>
        <v>Напряжение линейное СН, фазы C и A</v>
      </c>
    </row>
    <row r="2068" spans="1:2" ht="15.75" customHeight="1" x14ac:dyDescent="0.25">
      <c r="A2068" s="13" t="str">
        <f ca="1">IFERROR(__xludf.DUMMYFUNCTION("""COMPUTED_VALUE"""),"wcl")</f>
        <v>wcl</v>
      </c>
      <c r="B2068" s="13" t="str">
        <f ca="1">IFERROR(__xludf.DUMMYFUNCTION("""COMPUTED_VALUE"""),"Влажность масла абсолютная")</f>
        <v>Влажность масла абсолютная</v>
      </c>
    </row>
    <row r="2069" spans="1:2" ht="15.75" customHeight="1" x14ac:dyDescent="0.25">
      <c r="A2069" s="13" t="str">
        <f ca="1">IFERROR(__xludf.DUMMYFUNCTION("""COMPUTED_VALUE"""),"wcl_calc")</f>
        <v>wcl_calc</v>
      </c>
      <c r="B2069" s="13" t="str">
        <f ca="1">IFERROR(__xludf.DUMMYFUNCTION("""COMPUTED_VALUE"""),"Влажность масла абсолютная, расчётная")</f>
        <v>Влажность масла абсолютная, расчётная</v>
      </c>
    </row>
    <row r="2070" spans="1:2" ht="15.75" customHeight="1" x14ac:dyDescent="0.25">
      <c r="A2070" s="13" t="str">
        <f ca="1">IFERROR(__xludf.DUMMYFUNCTION("""COMPUTED_VALUE"""),"wcl_diff_lim0")</f>
        <v>wcl_diff_lim0</v>
      </c>
      <c r="B2070" s="13" t="str">
        <f ca="1">IFERROR(__xludf.DUMMYFUNCTION("""COMPUTED_VALUE"""),"Уставка по изменению влажности масла абсолютной")</f>
        <v>Уставка по изменению влажности масла абсолютной</v>
      </c>
    </row>
    <row r="2071" spans="1:2" ht="15.75" customHeight="1" x14ac:dyDescent="0.25">
      <c r="A2071" s="13" t="str">
        <f ca="1">IFERROR(__xludf.DUMMYFUNCTION("""COMPUTED_VALUE"""),"wcl_lim0")</f>
        <v>wcl_lim0</v>
      </c>
      <c r="B2071" s="13" t="str">
        <f ca="1">IFERROR(__xludf.DUMMYFUNCTION("""COMPUTED_VALUE"""),"ДЗ абсолютной влажности масла")</f>
        <v>ДЗ абсолютной влажности масла</v>
      </c>
    </row>
    <row r="2072" spans="1:2" ht="15.75" customHeight="1" x14ac:dyDescent="0.25">
      <c r="A2072" s="13" t="str">
        <f ca="1">IFERROR(__xludf.DUMMYFUNCTION("""COMPUTED_VALUE"""),"wcl_lim0_manual")</f>
        <v>wcl_lim0_manual</v>
      </c>
      <c r="B2072" s="13" t="str">
        <f ca="1">IFERROR(__xludf.DUMMYFUNCTION("""COMPUTED_VALUE"""),"ДЗ абсолютной влажности масла, ручное")</f>
        <v>ДЗ абсолютной влажности масла, ручное</v>
      </c>
    </row>
    <row r="2073" spans="1:2" ht="15.75" customHeight="1" x14ac:dyDescent="0.25">
      <c r="A2073" s="13" t="str">
        <f ca="1">IFERROR(__xludf.DUMMYFUNCTION("""COMPUTED_VALUE"""),"wcl_lim1")</f>
        <v>wcl_lim1</v>
      </c>
      <c r="B2073" s="13" t="str">
        <f ca="1">IFERROR(__xludf.DUMMYFUNCTION("""COMPUTED_VALUE"""),"ПДЗ абсолютной влажности масла")</f>
        <v>ПДЗ абсолютной влажности масла</v>
      </c>
    </row>
    <row r="2074" spans="1:2" ht="15.75" customHeight="1" x14ac:dyDescent="0.25">
      <c r="A2074" s="13" t="str">
        <f ca="1">IFERROR(__xludf.DUMMYFUNCTION("""COMPUTED_VALUE"""),"wcl_lim1_manual")</f>
        <v>wcl_lim1_manual</v>
      </c>
      <c r="B2074" s="13" t="str">
        <f ca="1">IFERROR(__xludf.DUMMYFUNCTION("""COMPUTED_VALUE"""),"ПДЗ абсолютной влажности масла, ручное")</f>
        <v>ПДЗ абсолютной влажности масла, ручное</v>
      </c>
    </row>
    <row r="2075" spans="1:2" ht="15.75" customHeight="1" x14ac:dyDescent="0.25">
      <c r="A2075" s="13" t="str">
        <f ca="1">IFERROR(__xludf.DUMMYFUNCTION("""COMPUTED_VALUE"""),"wcl_offline")</f>
        <v>wcl_offline</v>
      </c>
      <c r="B2075" s="13" t="str">
        <f ca="1">IFERROR(__xludf.DUMMYFUNCTION("""COMPUTED_VALUE"""),"Оффлайн-данные: влажность масла абсолютная")</f>
        <v>Оффлайн-данные: влажность масла абсолютная</v>
      </c>
    </row>
    <row r="2076" spans="1:2" ht="15.75" customHeight="1" x14ac:dyDescent="0.25">
      <c r="A2076" s="13" t="str">
        <f ca="1">IFERROR(__xludf.DUMMYFUNCTION("""COMPUTED_VALUE"""),"wcl_roc_abs_day")</f>
        <v>wcl_roc_abs_day</v>
      </c>
      <c r="B2076" s="13" t="str">
        <f ca="1">IFERROR(__xludf.DUMMYFUNCTION("""COMPUTED_VALUE"""),"Скорость роста влажности масла абсолютная, день")</f>
        <v>Скорость роста влажности масла абсолютная, день</v>
      </c>
    </row>
    <row r="2077" spans="1:2" ht="15.75" customHeight="1" x14ac:dyDescent="0.25">
      <c r="A2077" s="13" t="str">
        <f ca="1">IFERROR(__xludf.DUMMYFUNCTION("""COMPUTED_VALUE"""),"wcl_roc_abs_day_lim0")</f>
        <v>wcl_roc_abs_day_lim0</v>
      </c>
      <c r="B2077" s="13" t="str">
        <f ca="1">IFERROR(__xludf.DUMMYFUNCTION("""COMPUTED_VALUE"""),"ДЗ скорости роста влажности масла абсолютной, день")</f>
        <v>ДЗ скорости роста влажности масла абсолютной, день</v>
      </c>
    </row>
    <row r="2078" spans="1:2" ht="15.75" customHeight="1" x14ac:dyDescent="0.25">
      <c r="A2078" s="13" t="str">
        <f ca="1">IFERROR(__xludf.DUMMYFUNCTION("""COMPUTED_VALUE"""),"wcl_roc_abs_day_lim0_manual")</f>
        <v>wcl_roc_abs_day_lim0_manual</v>
      </c>
      <c r="B2078" s="13" t="str">
        <f ca="1">IFERROR(__xludf.DUMMYFUNCTION("""COMPUTED_VALUE"""),"ДЗ скорости роста влажности масла абсолютной, день, ручное")</f>
        <v>ДЗ скорости роста влажности масла абсолютной, день, ручное</v>
      </c>
    </row>
    <row r="2079" spans="1:2" ht="15.75" customHeight="1" x14ac:dyDescent="0.25">
      <c r="A2079" s="13" t="str">
        <f ca="1">IFERROR(__xludf.DUMMYFUNCTION("""COMPUTED_VALUE"""),"wcl_roc_abs_day_lim1")</f>
        <v>wcl_roc_abs_day_lim1</v>
      </c>
      <c r="B2079" s="13" t="str">
        <f ca="1">IFERROR(__xludf.DUMMYFUNCTION("""COMPUTED_VALUE"""),"ПДЗ скорости роста влажности масла абсолютной, день")</f>
        <v>ПДЗ скорости роста влажности масла абсолютной, день</v>
      </c>
    </row>
    <row r="2080" spans="1:2" ht="15.75" customHeight="1" x14ac:dyDescent="0.25">
      <c r="A2080" s="13" t="str">
        <f ca="1">IFERROR(__xludf.DUMMYFUNCTION("""COMPUTED_VALUE"""),"wcl_roc_abs_day_lim1_manual")</f>
        <v>wcl_roc_abs_day_lim1_manual</v>
      </c>
      <c r="B2080" s="13" t="str">
        <f ca="1">IFERROR(__xludf.DUMMYFUNCTION("""COMPUTED_VALUE"""),"ПДЗ скорости роста влажности масла абсолютной, день, ручное")</f>
        <v>ПДЗ скорости роста влажности масла абсолютной, день, ручное</v>
      </c>
    </row>
    <row r="2081" spans="1:2" ht="15.75" customHeight="1" x14ac:dyDescent="0.25">
      <c r="A2081" s="13" t="str">
        <f ca="1">IFERROR(__xludf.DUMMYFUNCTION("""COMPUTED_VALUE"""),"wcl_roc_abs_month")</f>
        <v>wcl_roc_abs_month</v>
      </c>
      <c r="B2081" s="13" t="str">
        <f ca="1">IFERROR(__xludf.DUMMYFUNCTION("""COMPUTED_VALUE"""),"Скорость роста влажности масла абсолютная, месяц")</f>
        <v>Скорость роста влажности масла абсолютная, месяц</v>
      </c>
    </row>
    <row r="2082" spans="1:2" ht="15.75" customHeight="1" x14ac:dyDescent="0.25">
      <c r="A2082" s="13" t="str">
        <f ca="1">IFERROR(__xludf.DUMMYFUNCTION("""COMPUTED_VALUE"""),"wcl_roc_abs_month_lim0")</f>
        <v>wcl_roc_abs_month_lim0</v>
      </c>
      <c r="B2082" s="13" t="str">
        <f ca="1">IFERROR(__xludf.DUMMYFUNCTION("""COMPUTED_VALUE"""),"ДЗ скорости роста влажности масла абсолютной, месяц")</f>
        <v>ДЗ скорости роста влажности масла абсолютной, месяц</v>
      </c>
    </row>
    <row r="2083" spans="1:2" ht="15.75" customHeight="1" x14ac:dyDescent="0.25">
      <c r="A2083" s="13" t="str">
        <f ca="1">IFERROR(__xludf.DUMMYFUNCTION("""COMPUTED_VALUE"""),"wcl_roc_abs_month_lim0_manual")</f>
        <v>wcl_roc_abs_month_lim0_manual</v>
      </c>
      <c r="B2083" s="13" t="str">
        <f ca="1">IFERROR(__xludf.DUMMYFUNCTION("""COMPUTED_VALUE"""),"ДЗ скорости роста влажности масла абсолютной, месяц, ручное")</f>
        <v>ДЗ скорости роста влажности масла абсолютной, месяц, ручное</v>
      </c>
    </row>
    <row r="2084" spans="1:2" ht="15.75" customHeight="1" x14ac:dyDescent="0.25">
      <c r="A2084" s="13" t="str">
        <f ca="1">IFERROR(__xludf.DUMMYFUNCTION("""COMPUTED_VALUE"""),"wcl_roc_abs_month_lim1")</f>
        <v>wcl_roc_abs_month_lim1</v>
      </c>
      <c r="B2084" s="13" t="str">
        <f ca="1">IFERROR(__xludf.DUMMYFUNCTION("""COMPUTED_VALUE"""),"ПДЗ скорости роста влажности масла абсолютной, месяц")</f>
        <v>ПДЗ скорости роста влажности масла абсолютной, месяц</v>
      </c>
    </row>
    <row r="2085" spans="1:2" ht="15.75" customHeight="1" x14ac:dyDescent="0.25">
      <c r="A2085" s="13" t="str">
        <f ca="1">IFERROR(__xludf.DUMMYFUNCTION("""COMPUTED_VALUE"""),"wcl_roc_abs_month_lim1_manual")</f>
        <v>wcl_roc_abs_month_lim1_manual</v>
      </c>
      <c r="B2085" s="13" t="str">
        <f ca="1">IFERROR(__xludf.DUMMYFUNCTION("""COMPUTED_VALUE"""),"ПДЗ скорости роста влажности масла абсолютной, месяц, ручное")</f>
        <v>ПДЗ скорости роста влажности масла абсолютной, месяц, ручное</v>
      </c>
    </row>
    <row r="2086" spans="1:2" ht="15.75" customHeight="1" x14ac:dyDescent="0.25">
      <c r="A2086" s="13" t="str">
        <f ca="1">IFERROR(__xludf.DUMMYFUNCTION("""COMPUTED_VALUE"""),"wcl_roc_abs_week")</f>
        <v>wcl_roc_abs_week</v>
      </c>
      <c r="B2086" s="13" t="str">
        <f ca="1">IFERROR(__xludf.DUMMYFUNCTION("""COMPUTED_VALUE"""),"Скорость роста влажности масла абсолютная, неделя")</f>
        <v>Скорость роста влажности масла абсолютная, неделя</v>
      </c>
    </row>
    <row r="2087" spans="1:2" ht="15.75" customHeight="1" x14ac:dyDescent="0.25">
      <c r="A2087" s="13" t="str">
        <f ca="1">IFERROR(__xludf.DUMMYFUNCTION("""COMPUTED_VALUE"""),"wcl_roc_abs_week_lim0")</f>
        <v>wcl_roc_abs_week_lim0</v>
      </c>
      <c r="B2087" s="13" t="str">
        <f ca="1">IFERROR(__xludf.DUMMYFUNCTION("""COMPUTED_VALUE"""),"ДЗ скорости роста влажности масла абсолютной, неделя")</f>
        <v>ДЗ скорости роста влажности масла абсолютной, неделя</v>
      </c>
    </row>
    <row r="2088" spans="1:2" ht="15.75" customHeight="1" x14ac:dyDescent="0.25">
      <c r="A2088" s="13" t="str">
        <f ca="1">IFERROR(__xludf.DUMMYFUNCTION("""COMPUTED_VALUE"""),"wcl_roc_abs_week_lim0_manual")</f>
        <v>wcl_roc_abs_week_lim0_manual</v>
      </c>
      <c r="B2088" s="13" t="str">
        <f ca="1">IFERROR(__xludf.DUMMYFUNCTION("""COMPUTED_VALUE"""),"ДЗ скорости роста влажности масла абсолютной, неделя, ручное")</f>
        <v>ДЗ скорости роста влажности масла абсолютной, неделя, ручное</v>
      </c>
    </row>
    <row r="2089" spans="1:2" ht="15.75" customHeight="1" x14ac:dyDescent="0.25">
      <c r="A2089" s="13" t="str">
        <f ca="1">IFERROR(__xludf.DUMMYFUNCTION("""COMPUTED_VALUE"""),"wcl_roc_abs_week_lim1")</f>
        <v>wcl_roc_abs_week_lim1</v>
      </c>
      <c r="B2089" s="13" t="str">
        <f ca="1">IFERROR(__xludf.DUMMYFUNCTION("""COMPUTED_VALUE"""),"ПДЗ скорости роста влажности масла абсолютной, неделя")</f>
        <v>ПДЗ скорости роста влажности масла абсолютной, неделя</v>
      </c>
    </row>
    <row r="2090" spans="1:2" ht="15.75" customHeight="1" x14ac:dyDescent="0.25">
      <c r="A2090" s="13" t="str">
        <f ca="1">IFERROR(__xludf.DUMMYFUNCTION("""COMPUTED_VALUE"""),"wcl_roc_abs_week_lim1_manual")</f>
        <v>wcl_roc_abs_week_lim1_manual</v>
      </c>
      <c r="B2090" s="13" t="str">
        <f ca="1">IFERROR(__xludf.DUMMYFUNCTION("""COMPUTED_VALUE"""),"ПДЗ скорости роста влажности масла абсолютной, неделя, ручное")</f>
        <v>ПДЗ скорости роста влажности масла абсолютной, неделя, ручное</v>
      </c>
    </row>
    <row r="2091" spans="1:2" ht="15.75" customHeight="1" x14ac:dyDescent="0.25">
      <c r="A2091" s="13" t="str">
        <f ca="1">IFERROR(__xludf.DUMMYFUNCTION("""COMPUTED_VALUE"""),"wcl_roc_abs_year")</f>
        <v>wcl_roc_abs_year</v>
      </c>
      <c r="B2091" s="13" t="str">
        <f ca="1">IFERROR(__xludf.DUMMYFUNCTION("""COMPUTED_VALUE"""),"Скорость роста влажности масла абсолютная, год")</f>
        <v>Скорость роста влажности масла абсолютная, год</v>
      </c>
    </row>
    <row r="2092" spans="1:2" ht="15.75" customHeight="1" x14ac:dyDescent="0.25">
      <c r="A2092" s="13" t="str">
        <f ca="1">IFERROR(__xludf.DUMMYFUNCTION("""COMPUTED_VALUE"""),"wcl_roc_abs_year_lim0")</f>
        <v>wcl_roc_abs_year_lim0</v>
      </c>
      <c r="B2092" s="13" t="str">
        <f ca="1">IFERROR(__xludf.DUMMYFUNCTION("""COMPUTED_VALUE"""),"ДЗ скорости роста влажности масла абсолютной, год")</f>
        <v>ДЗ скорости роста влажности масла абсолютной, год</v>
      </c>
    </row>
    <row r="2093" spans="1:2" ht="15.75" customHeight="1" x14ac:dyDescent="0.25">
      <c r="A2093" s="13" t="str">
        <f ca="1">IFERROR(__xludf.DUMMYFUNCTION("""COMPUTED_VALUE"""),"wcl_roc_abs_year_lim0_manual")</f>
        <v>wcl_roc_abs_year_lim0_manual</v>
      </c>
      <c r="B2093" s="13" t="str">
        <f ca="1">IFERROR(__xludf.DUMMYFUNCTION("""COMPUTED_VALUE"""),"ДЗ скорости роста влажности масла абсолютной, год, ручное")</f>
        <v>ДЗ скорости роста влажности масла абсолютной, год, ручное</v>
      </c>
    </row>
    <row r="2094" spans="1:2" ht="15.75" customHeight="1" x14ac:dyDescent="0.25">
      <c r="A2094" s="13" t="str">
        <f ca="1">IFERROR(__xludf.DUMMYFUNCTION("""COMPUTED_VALUE"""),"wcl_roc_abs_year_lim1")</f>
        <v>wcl_roc_abs_year_lim1</v>
      </c>
      <c r="B2094" s="13" t="str">
        <f ca="1">IFERROR(__xludf.DUMMYFUNCTION("""COMPUTED_VALUE"""),"ПДЗ скорости роста влажности масла абсолютной, год")</f>
        <v>ПДЗ скорости роста влажности масла абсолютной, год</v>
      </c>
    </row>
    <row r="2095" spans="1:2" ht="15.75" customHeight="1" x14ac:dyDescent="0.25">
      <c r="A2095" s="13" t="str">
        <f ca="1">IFERROR(__xludf.DUMMYFUNCTION("""COMPUTED_VALUE"""),"wcl_roc_abs_year_lim1_manual")</f>
        <v>wcl_roc_abs_year_lim1_manual</v>
      </c>
      <c r="B2095" s="13" t="str">
        <f ca="1">IFERROR(__xludf.DUMMYFUNCTION("""COMPUTED_VALUE"""),"ПДЗ скорости роста влажности масла абсолютной, год, ручное")</f>
        <v>ПДЗ скорости роста влажности масла абсолютной, год, ручное</v>
      </c>
    </row>
    <row r="2096" spans="1:2" ht="15.75" customHeight="1" x14ac:dyDescent="0.25">
      <c r="A2096" s="13" t="str">
        <f ca="1">IFERROR(__xludf.DUMMYFUNCTION("""COMPUTED_VALUE"""),"wcl_roc_rel_day")</f>
        <v>wcl_roc_rel_day</v>
      </c>
      <c r="B2096" s="13" t="str">
        <f ca="1">IFERROR(__xludf.DUMMYFUNCTION("""COMPUTED_VALUE"""),"Скорость роста влажности масла относительная, день")</f>
        <v>Скорость роста влажности масла относительная, день</v>
      </c>
    </row>
    <row r="2097" spans="1:2" ht="15.75" customHeight="1" x14ac:dyDescent="0.25">
      <c r="A2097" s="13" t="str">
        <f ca="1">IFERROR(__xludf.DUMMYFUNCTION("""COMPUTED_VALUE"""),"wcl_roc_rel_day_lim0")</f>
        <v>wcl_roc_rel_day_lim0</v>
      </c>
      <c r="B2097" s="13" t="str">
        <f ca="1">IFERROR(__xludf.DUMMYFUNCTION("""COMPUTED_VALUE"""),"ДЗ скорости роста влажности масла относительной, день")</f>
        <v>ДЗ скорости роста влажности масла относительной, день</v>
      </c>
    </row>
    <row r="2098" spans="1:2" ht="15.75" customHeight="1" x14ac:dyDescent="0.25">
      <c r="A2098" s="13" t="str">
        <f ca="1">IFERROR(__xludf.DUMMYFUNCTION("""COMPUTED_VALUE"""),"wcl_roc_rel_day_lim0_manual")</f>
        <v>wcl_roc_rel_day_lim0_manual</v>
      </c>
      <c r="B2098" s="13" t="str">
        <f ca="1">IFERROR(__xludf.DUMMYFUNCTION("""COMPUTED_VALUE"""),"ДЗ скорости роста влажности масла относительной, день, ручное")</f>
        <v>ДЗ скорости роста влажности масла относительной, день, ручное</v>
      </c>
    </row>
    <row r="2099" spans="1:2" ht="15.75" customHeight="1" x14ac:dyDescent="0.25">
      <c r="A2099" s="13" t="str">
        <f ca="1">IFERROR(__xludf.DUMMYFUNCTION("""COMPUTED_VALUE"""),"wcl_roc_rel_day_lim1")</f>
        <v>wcl_roc_rel_day_lim1</v>
      </c>
      <c r="B2099" s="13" t="str">
        <f ca="1">IFERROR(__xludf.DUMMYFUNCTION("""COMPUTED_VALUE"""),"ПДЗ скорости роста влажности масла относительной, день")</f>
        <v>ПДЗ скорости роста влажности масла относительной, день</v>
      </c>
    </row>
    <row r="2100" spans="1:2" ht="15.75" customHeight="1" x14ac:dyDescent="0.25">
      <c r="A2100" s="13" t="str">
        <f ca="1">IFERROR(__xludf.DUMMYFUNCTION("""COMPUTED_VALUE"""),"wcl_roc_rel_day_lim1_manual")</f>
        <v>wcl_roc_rel_day_lim1_manual</v>
      </c>
      <c r="B2100" s="13" t="str">
        <f ca="1">IFERROR(__xludf.DUMMYFUNCTION("""COMPUTED_VALUE"""),"ПДЗ скорости роста влажности масла относительной, день, ручное")</f>
        <v>ПДЗ скорости роста влажности масла относительной, день, ручное</v>
      </c>
    </row>
    <row r="2101" spans="1:2" ht="15.75" customHeight="1" x14ac:dyDescent="0.25">
      <c r="A2101" s="13" t="str">
        <f ca="1">IFERROR(__xludf.DUMMYFUNCTION("""COMPUTED_VALUE"""),"wcl_roc_rel_month")</f>
        <v>wcl_roc_rel_month</v>
      </c>
      <c r="B2101" s="13" t="str">
        <f ca="1">IFERROR(__xludf.DUMMYFUNCTION("""COMPUTED_VALUE"""),"Скорость роста влажности масла относительная, месяц")</f>
        <v>Скорость роста влажности масла относительная, месяц</v>
      </c>
    </row>
    <row r="2102" spans="1:2" ht="15.75" customHeight="1" x14ac:dyDescent="0.25">
      <c r="A2102" s="13" t="str">
        <f ca="1">IFERROR(__xludf.DUMMYFUNCTION("""COMPUTED_VALUE"""),"wcl_roc_rel_month_lim0")</f>
        <v>wcl_roc_rel_month_lim0</v>
      </c>
      <c r="B2102" s="13" t="str">
        <f ca="1">IFERROR(__xludf.DUMMYFUNCTION("""COMPUTED_VALUE"""),"ДЗ скорости роста влажности масла относительной, месяц")</f>
        <v>ДЗ скорости роста влажности масла относительной, месяц</v>
      </c>
    </row>
    <row r="2103" spans="1:2" ht="15.75" customHeight="1" x14ac:dyDescent="0.25">
      <c r="A2103" s="13" t="str">
        <f ca="1">IFERROR(__xludf.DUMMYFUNCTION("""COMPUTED_VALUE"""),"wcl_roc_rel_month_lim0_manual")</f>
        <v>wcl_roc_rel_month_lim0_manual</v>
      </c>
      <c r="B2103" s="13" t="str">
        <f ca="1">IFERROR(__xludf.DUMMYFUNCTION("""COMPUTED_VALUE"""),"ДЗ скорости роста влажности масла относительной, месяц, ручное")</f>
        <v>ДЗ скорости роста влажности масла относительной, месяц, ручное</v>
      </c>
    </row>
    <row r="2104" spans="1:2" ht="15.75" customHeight="1" x14ac:dyDescent="0.25">
      <c r="A2104" s="13" t="str">
        <f ca="1">IFERROR(__xludf.DUMMYFUNCTION("""COMPUTED_VALUE"""),"wcl_roc_rel_month_lim1")</f>
        <v>wcl_roc_rel_month_lim1</v>
      </c>
      <c r="B2104" s="13" t="str">
        <f ca="1">IFERROR(__xludf.DUMMYFUNCTION("""COMPUTED_VALUE"""),"ПДЗ скорости роста влажности масла относительной, месяц")</f>
        <v>ПДЗ скорости роста влажности масла относительной, месяц</v>
      </c>
    </row>
    <row r="2105" spans="1:2" ht="15.75" customHeight="1" x14ac:dyDescent="0.25">
      <c r="A2105" s="13" t="str">
        <f ca="1">IFERROR(__xludf.DUMMYFUNCTION("""COMPUTED_VALUE"""),"wcl_roc_rel_month_lim1_manual")</f>
        <v>wcl_roc_rel_month_lim1_manual</v>
      </c>
      <c r="B2105" s="13" t="str">
        <f ca="1">IFERROR(__xludf.DUMMYFUNCTION("""COMPUTED_VALUE"""),"ПДЗ скорости роста влажности масла относительной, месяц, ручное")</f>
        <v>ПДЗ скорости роста влажности масла относительной, месяц, ручное</v>
      </c>
    </row>
    <row r="2106" spans="1:2" ht="15.75" customHeight="1" x14ac:dyDescent="0.25">
      <c r="A2106" s="13" t="str">
        <f ca="1">IFERROR(__xludf.DUMMYFUNCTION("""COMPUTED_VALUE"""),"wcl_roc_rel_week")</f>
        <v>wcl_roc_rel_week</v>
      </c>
      <c r="B2106" s="13" t="str">
        <f ca="1">IFERROR(__xludf.DUMMYFUNCTION("""COMPUTED_VALUE"""),"Скорость роста влажности масла относительная, неделя")</f>
        <v>Скорость роста влажности масла относительная, неделя</v>
      </c>
    </row>
    <row r="2107" spans="1:2" ht="15.75" customHeight="1" x14ac:dyDescent="0.25">
      <c r="A2107" s="13" t="str">
        <f ca="1">IFERROR(__xludf.DUMMYFUNCTION("""COMPUTED_VALUE"""),"wcl_roc_rel_week_lim0")</f>
        <v>wcl_roc_rel_week_lim0</v>
      </c>
      <c r="B2107" s="13" t="str">
        <f ca="1">IFERROR(__xludf.DUMMYFUNCTION("""COMPUTED_VALUE"""),"ДЗ скорости роста влажности масла относительной, неделя")</f>
        <v>ДЗ скорости роста влажности масла относительной, неделя</v>
      </c>
    </row>
    <row r="2108" spans="1:2" ht="15.75" customHeight="1" x14ac:dyDescent="0.25">
      <c r="A2108" s="13" t="str">
        <f ca="1">IFERROR(__xludf.DUMMYFUNCTION("""COMPUTED_VALUE"""),"wcl_roc_rel_week_lim0_manual")</f>
        <v>wcl_roc_rel_week_lim0_manual</v>
      </c>
      <c r="B2108" s="13" t="str">
        <f ca="1">IFERROR(__xludf.DUMMYFUNCTION("""COMPUTED_VALUE"""),"ДЗ скорости роста влажности масла относительной, неделя, ручное")</f>
        <v>ДЗ скорости роста влажности масла относительной, неделя, ручное</v>
      </c>
    </row>
    <row r="2109" spans="1:2" ht="15.75" customHeight="1" x14ac:dyDescent="0.25">
      <c r="A2109" s="13" t="str">
        <f ca="1">IFERROR(__xludf.DUMMYFUNCTION("""COMPUTED_VALUE"""),"wcl_roc_rel_week_lim1")</f>
        <v>wcl_roc_rel_week_lim1</v>
      </c>
      <c r="B2109" s="13" t="str">
        <f ca="1">IFERROR(__xludf.DUMMYFUNCTION("""COMPUTED_VALUE"""),"ПДЗ скорости роста влажности масла относительной, неделя")</f>
        <v>ПДЗ скорости роста влажности масла относительной, неделя</v>
      </c>
    </row>
    <row r="2110" spans="1:2" ht="15.75" customHeight="1" x14ac:dyDescent="0.25">
      <c r="A2110" s="13" t="str">
        <f ca="1">IFERROR(__xludf.DUMMYFUNCTION("""COMPUTED_VALUE"""),"wcl_roc_rel_week_lim1_manual")</f>
        <v>wcl_roc_rel_week_lim1_manual</v>
      </c>
      <c r="B2110" s="13" t="str">
        <f ca="1">IFERROR(__xludf.DUMMYFUNCTION("""COMPUTED_VALUE"""),"ПДЗ скорости роста влажности масла относительной, неделя, ручное")</f>
        <v>ПДЗ скорости роста влажности масла относительной, неделя, ручное</v>
      </c>
    </row>
    <row r="2111" spans="1:2" ht="15.75" customHeight="1" x14ac:dyDescent="0.25">
      <c r="A2111" s="13" t="str">
        <f ca="1">IFERROR(__xludf.DUMMYFUNCTION("""COMPUTED_VALUE"""),"wcl_roc_rel_year")</f>
        <v>wcl_roc_rel_year</v>
      </c>
      <c r="B2111" s="13" t="str">
        <f ca="1">IFERROR(__xludf.DUMMYFUNCTION("""COMPUTED_VALUE"""),"Скорость роста влажности масла относительная, год")</f>
        <v>Скорость роста влажности масла относительная, год</v>
      </c>
    </row>
    <row r="2112" spans="1:2" ht="15.75" customHeight="1" x14ac:dyDescent="0.25">
      <c r="A2112" s="13" t="str">
        <f ca="1">IFERROR(__xludf.DUMMYFUNCTION("""COMPUTED_VALUE"""),"wcl_roc_rel_year_lim0")</f>
        <v>wcl_roc_rel_year_lim0</v>
      </c>
      <c r="B2112" s="13" t="str">
        <f ca="1">IFERROR(__xludf.DUMMYFUNCTION("""COMPUTED_VALUE"""),"ДЗ скорости роста влажности масла относительной, год")</f>
        <v>ДЗ скорости роста влажности масла относительной, год</v>
      </c>
    </row>
    <row r="2113" spans="1:2" ht="15.75" customHeight="1" x14ac:dyDescent="0.25">
      <c r="A2113" s="13" t="str">
        <f ca="1">IFERROR(__xludf.DUMMYFUNCTION("""COMPUTED_VALUE"""),"wcl_roc_rel_year_lim0_manual")</f>
        <v>wcl_roc_rel_year_lim0_manual</v>
      </c>
      <c r="B2113" s="13" t="str">
        <f ca="1">IFERROR(__xludf.DUMMYFUNCTION("""COMPUTED_VALUE"""),"ДЗ скорости роста влажности масла относительной, год, ручное")</f>
        <v>ДЗ скорости роста влажности масла относительной, год, ручное</v>
      </c>
    </row>
    <row r="2114" spans="1:2" ht="15.75" customHeight="1" x14ac:dyDescent="0.25">
      <c r="A2114" s="13" t="str">
        <f ca="1">IFERROR(__xludf.DUMMYFUNCTION("""COMPUTED_VALUE"""),"wcl_roc_rel_year_lim1")</f>
        <v>wcl_roc_rel_year_lim1</v>
      </c>
      <c r="B2114" s="13" t="str">
        <f ca="1">IFERROR(__xludf.DUMMYFUNCTION("""COMPUTED_VALUE"""),"ПДЗ скорости роста влажности масла относительной, год")</f>
        <v>ПДЗ скорости роста влажности масла относительной, год</v>
      </c>
    </row>
    <row r="2115" spans="1:2" ht="15.75" customHeight="1" x14ac:dyDescent="0.25">
      <c r="A2115" s="13" t="str">
        <f ca="1">IFERROR(__xludf.DUMMYFUNCTION("""COMPUTED_VALUE"""),"wcl_roc_rel_year_lim1_manual")</f>
        <v>wcl_roc_rel_year_lim1_manual</v>
      </c>
      <c r="B2115" s="13" t="str">
        <f ca="1">IFERROR(__xludf.DUMMYFUNCTION("""COMPUTED_VALUE"""),"ПДЗ скорости роста влажности масла относительной, год, ручное")</f>
        <v>ПДЗ скорости роста влажности масла относительной, год, ручное</v>
      </c>
    </row>
    <row r="2116" spans="1:2" ht="15.75" customHeight="1" x14ac:dyDescent="0.25">
      <c r="A2116" s="13" t="str">
        <f ca="1">IFERROR(__xludf.DUMMYFUNCTION("""COMPUTED_VALUE"""),"wcl_s")</f>
        <v>wcl_s</v>
      </c>
      <c r="B2116" s="13" t="str">
        <f ca="1">IFERROR(__xludf.DUMMYFUNCTION("""COMPUTED_VALUE"""),"Максимальное влагонасыщение")</f>
        <v>Максимальное влагонасыщение</v>
      </c>
    </row>
    <row r="2117" spans="1:2" ht="15.75" customHeight="1" x14ac:dyDescent="0.25">
      <c r="A2117" s="13" t="str">
        <f ca="1">IFERROR(__xludf.DUMMYFUNCTION("""COMPUTED_VALUE"""),"wcp")</f>
        <v>wcp</v>
      </c>
      <c r="B2117" s="13" t="str">
        <f ca="1">IFERROR(__xludf.DUMMYFUNCTION("""COMPUTED_VALUE"""),"Влажность бумаги")</f>
        <v>Влажность бумаги</v>
      </c>
    </row>
    <row r="2118" spans="1:2" ht="15.75" customHeight="1" x14ac:dyDescent="0.25">
      <c r="A2118" s="13" t="str">
        <f ca="1">IFERROR(__xludf.DUMMYFUNCTION("""COMPUTED_VALUE"""),"wcp_lim0")</f>
        <v>wcp_lim0</v>
      </c>
      <c r="B2118" s="13" t="str">
        <f ca="1">IFERROR(__xludf.DUMMYFUNCTION("""COMPUTED_VALUE"""),"ДЗ влажности бумаги")</f>
        <v>ДЗ влажности бумаги</v>
      </c>
    </row>
    <row r="2119" spans="1:2" ht="15.75" customHeight="1" x14ac:dyDescent="0.25">
      <c r="A2119" s="13" t="str">
        <f ca="1">IFERROR(__xludf.DUMMYFUNCTION("""COMPUTED_VALUE"""),"wcp_lim0_manual")</f>
        <v>wcp_lim0_manual</v>
      </c>
      <c r="B2119" s="13" t="str">
        <f ca="1">IFERROR(__xludf.DUMMYFUNCTION("""COMPUTED_VALUE"""),"ДЗ влажности бумаги, ручное")</f>
        <v>ДЗ влажности бумаги, ручное</v>
      </c>
    </row>
    <row r="2120" spans="1:2" ht="15.75" customHeight="1" x14ac:dyDescent="0.25">
      <c r="A2120" s="13" t="str">
        <f ca="1">IFERROR(__xludf.DUMMYFUNCTION("""COMPUTED_VALUE"""),"wcp_rated")</f>
        <v>wcp_rated</v>
      </c>
      <c r="B2120" s="13" t="str">
        <f ca="1">IFERROR(__xludf.DUMMYFUNCTION("""COMPUTED_VALUE"""),"Номинальное значение влажности бумаги")</f>
        <v>Номинальное значение влажности бумаги</v>
      </c>
    </row>
    <row r="2121" spans="1:2" ht="15.75" customHeight="1" x14ac:dyDescent="0.25">
      <c r="A2121" s="13" t="str">
        <f ca="1">IFERROR(__xludf.DUMMYFUNCTION("""COMPUTED_VALUE"""),"wcp_rated_manual")</f>
        <v>wcp_rated_manual</v>
      </c>
      <c r="B2121" s="13" t="str">
        <f ca="1">IFERROR(__xludf.DUMMYFUNCTION("""COMPUTED_VALUE"""),"Номинальное значение влажности бумаги, ручное")</f>
        <v>Номинальное значение влажности бумаги, ручное</v>
      </c>
    </row>
    <row r="2122" spans="1:2" ht="15.75" customHeight="1" x14ac:dyDescent="0.25">
      <c r="A2122" s="13" t="str">
        <f ca="1">IFERROR(__xludf.DUMMYFUNCTION("""COMPUTED_VALUE"""),"wcp_roc_abs_day")</f>
        <v>wcp_roc_abs_day</v>
      </c>
      <c r="B2122" s="13" t="str">
        <f ca="1">IFERROR(__xludf.DUMMYFUNCTION("""COMPUTED_VALUE"""),"Скорость роста влажности бумаги абсолютная, день")</f>
        <v>Скорость роста влажности бумаги абсолютная, день</v>
      </c>
    </row>
    <row r="2123" spans="1:2" ht="15.75" customHeight="1" x14ac:dyDescent="0.25">
      <c r="A2123" s="13" t="str">
        <f ca="1">IFERROR(__xludf.DUMMYFUNCTION("""COMPUTED_VALUE"""),"wcp_roc_abs_day_lim0")</f>
        <v>wcp_roc_abs_day_lim0</v>
      </c>
      <c r="B2123" s="13" t="str">
        <f ca="1">IFERROR(__xludf.DUMMYFUNCTION("""COMPUTED_VALUE"""),"ДЗ скорости роста влажности бумаги абсолютной, день")</f>
        <v>ДЗ скорости роста влажности бумаги абсолютной, день</v>
      </c>
    </row>
    <row r="2124" spans="1:2" ht="15.75" customHeight="1" x14ac:dyDescent="0.25">
      <c r="A2124" s="13" t="str">
        <f ca="1">IFERROR(__xludf.DUMMYFUNCTION("""COMPUTED_VALUE"""),"wcp_roc_abs_day_lim0_manual")</f>
        <v>wcp_roc_abs_day_lim0_manual</v>
      </c>
      <c r="B2124" s="13" t="str">
        <f ca="1">IFERROR(__xludf.DUMMYFUNCTION("""COMPUTED_VALUE"""),"ДЗ скорости роста влажности бумаги абсолютной, день, ручное")</f>
        <v>ДЗ скорости роста влажности бумаги абсолютной, день, ручное</v>
      </c>
    </row>
    <row r="2125" spans="1:2" ht="15.75" customHeight="1" x14ac:dyDescent="0.25">
      <c r="A2125" s="13" t="str">
        <f ca="1">IFERROR(__xludf.DUMMYFUNCTION("""COMPUTED_VALUE"""),"wcp_roc_abs_day_lim1")</f>
        <v>wcp_roc_abs_day_lim1</v>
      </c>
      <c r="B2125" s="13" t="str">
        <f ca="1">IFERROR(__xludf.DUMMYFUNCTION("""COMPUTED_VALUE"""),"ПДЗ скорости роста влажности бумаги абсолютной, день")</f>
        <v>ПДЗ скорости роста влажности бумаги абсолютной, день</v>
      </c>
    </row>
    <row r="2126" spans="1:2" ht="15.75" customHeight="1" x14ac:dyDescent="0.25">
      <c r="A2126" s="13" t="str">
        <f ca="1">IFERROR(__xludf.DUMMYFUNCTION("""COMPUTED_VALUE"""),"wcp_roc_abs_day_lim1_manual")</f>
        <v>wcp_roc_abs_day_lim1_manual</v>
      </c>
      <c r="B2126" s="13" t="str">
        <f ca="1">IFERROR(__xludf.DUMMYFUNCTION("""COMPUTED_VALUE"""),"ПДЗ скорости роста влажности бумаги абсолютной, день, ручное")</f>
        <v>ПДЗ скорости роста влажности бумаги абсолютной, день, ручное</v>
      </c>
    </row>
    <row r="2127" spans="1:2" ht="15.75" customHeight="1" x14ac:dyDescent="0.25">
      <c r="A2127" s="13" t="str">
        <f ca="1">IFERROR(__xludf.DUMMYFUNCTION("""COMPUTED_VALUE"""),"wcp_roc_abs_month")</f>
        <v>wcp_roc_abs_month</v>
      </c>
      <c r="B2127" s="13" t="str">
        <f ca="1">IFERROR(__xludf.DUMMYFUNCTION("""COMPUTED_VALUE"""),"Скорость роста влажности бумаги абсолютная, месяц")</f>
        <v>Скорость роста влажности бумаги абсолютная, месяц</v>
      </c>
    </row>
    <row r="2128" spans="1:2" ht="15.75" customHeight="1" x14ac:dyDescent="0.25">
      <c r="A2128" s="13" t="str">
        <f ca="1">IFERROR(__xludf.DUMMYFUNCTION("""COMPUTED_VALUE"""),"wcp_roc_abs_month_lim0")</f>
        <v>wcp_roc_abs_month_lim0</v>
      </c>
      <c r="B2128" s="13" t="str">
        <f ca="1">IFERROR(__xludf.DUMMYFUNCTION("""COMPUTED_VALUE"""),"ДЗ скорости роста влажности бумаги абсолютной, месяц")</f>
        <v>ДЗ скорости роста влажности бумаги абсолютной, месяц</v>
      </c>
    </row>
    <row r="2129" spans="1:2" ht="15.75" customHeight="1" x14ac:dyDescent="0.25">
      <c r="A2129" s="13" t="str">
        <f ca="1">IFERROR(__xludf.DUMMYFUNCTION("""COMPUTED_VALUE"""),"wcp_roc_abs_month_lim0_manual")</f>
        <v>wcp_roc_abs_month_lim0_manual</v>
      </c>
      <c r="B2129" s="13" t="str">
        <f ca="1">IFERROR(__xludf.DUMMYFUNCTION("""COMPUTED_VALUE"""),"ДЗ скорости роста влажности бумаги абсолютной, месяц, ручное")</f>
        <v>ДЗ скорости роста влажности бумаги абсолютной, месяц, ручное</v>
      </c>
    </row>
    <row r="2130" spans="1:2" ht="15.75" customHeight="1" x14ac:dyDescent="0.25">
      <c r="A2130" s="13" t="str">
        <f ca="1">IFERROR(__xludf.DUMMYFUNCTION("""COMPUTED_VALUE"""),"wcp_roc_abs_month_lim1")</f>
        <v>wcp_roc_abs_month_lim1</v>
      </c>
      <c r="B2130" s="13" t="str">
        <f ca="1">IFERROR(__xludf.DUMMYFUNCTION("""COMPUTED_VALUE"""),"ПДЗ скорости роста влажности бумаги абсолютной, месяц")</f>
        <v>ПДЗ скорости роста влажности бумаги абсолютной, месяц</v>
      </c>
    </row>
    <row r="2131" spans="1:2" ht="15.75" customHeight="1" x14ac:dyDescent="0.25">
      <c r="A2131" s="13" t="str">
        <f ca="1">IFERROR(__xludf.DUMMYFUNCTION("""COMPUTED_VALUE"""),"wcp_roc_abs_month_lim1_manual")</f>
        <v>wcp_roc_abs_month_lim1_manual</v>
      </c>
      <c r="B2131" s="13" t="str">
        <f ca="1">IFERROR(__xludf.DUMMYFUNCTION("""COMPUTED_VALUE"""),"ПДЗ скорости роста влажности бумаги абсолютной, месяц, ручное")</f>
        <v>ПДЗ скорости роста влажности бумаги абсолютной, месяц, ручное</v>
      </c>
    </row>
    <row r="2132" spans="1:2" ht="15.75" customHeight="1" x14ac:dyDescent="0.25">
      <c r="A2132" s="13" t="str">
        <f ca="1">IFERROR(__xludf.DUMMYFUNCTION("""COMPUTED_VALUE"""),"wcp_roc_abs_week")</f>
        <v>wcp_roc_abs_week</v>
      </c>
      <c r="B2132" s="13" t="str">
        <f ca="1">IFERROR(__xludf.DUMMYFUNCTION("""COMPUTED_VALUE"""),"Скорость роста влажности бумаги абсолютная, неделя")</f>
        <v>Скорость роста влажности бумаги абсолютная, неделя</v>
      </c>
    </row>
    <row r="2133" spans="1:2" ht="15.75" customHeight="1" x14ac:dyDescent="0.25">
      <c r="A2133" s="13" t="str">
        <f ca="1">IFERROR(__xludf.DUMMYFUNCTION("""COMPUTED_VALUE"""),"wcp_roc_abs_week_lim0")</f>
        <v>wcp_roc_abs_week_lim0</v>
      </c>
      <c r="B2133" s="13" t="str">
        <f ca="1">IFERROR(__xludf.DUMMYFUNCTION("""COMPUTED_VALUE"""),"ДЗ скорости роста влажности бумаги абсолютной, неделя")</f>
        <v>ДЗ скорости роста влажности бумаги абсолютной, неделя</v>
      </c>
    </row>
    <row r="2134" spans="1:2" ht="15.75" customHeight="1" x14ac:dyDescent="0.25">
      <c r="A2134" s="13" t="str">
        <f ca="1">IFERROR(__xludf.DUMMYFUNCTION("""COMPUTED_VALUE"""),"wcp_roc_abs_week_lim0_manual")</f>
        <v>wcp_roc_abs_week_lim0_manual</v>
      </c>
      <c r="B2134" s="13" t="str">
        <f ca="1">IFERROR(__xludf.DUMMYFUNCTION("""COMPUTED_VALUE"""),"ДЗ скорости роста влажности бумаги абсолютной, неделя, ручное")</f>
        <v>ДЗ скорости роста влажности бумаги абсолютной, неделя, ручное</v>
      </c>
    </row>
    <row r="2135" spans="1:2" ht="15.75" customHeight="1" x14ac:dyDescent="0.25">
      <c r="A2135" s="13" t="str">
        <f ca="1">IFERROR(__xludf.DUMMYFUNCTION("""COMPUTED_VALUE"""),"wcp_roc_abs_week_lim1")</f>
        <v>wcp_roc_abs_week_lim1</v>
      </c>
      <c r="B2135" s="13" t="str">
        <f ca="1">IFERROR(__xludf.DUMMYFUNCTION("""COMPUTED_VALUE"""),"ПДЗ скорости роста влажности бумаги абсолютной, неделя")</f>
        <v>ПДЗ скорости роста влажности бумаги абсолютной, неделя</v>
      </c>
    </row>
    <row r="2136" spans="1:2" ht="15.75" customHeight="1" x14ac:dyDescent="0.25">
      <c r="A2136" s="13" t="str">
        <f ca="1">IFERROR(__xludf.DUMMYFUNCTION("""COMPUTED_VALUE"""),"wcp_roc_abs_week_lim1_manual")</f>
        <v>wcp_roc_abs_week_lim1_manual</v>
      </c>
      <c r="B2136" s="13" t="str">
        <f ca="1">IFERROR(__xludf.DUMMYFUNCTION("""COMPUTED_VALUE"""),"ПДЗ скорости роста влажности бумаги абсолютной, неделя, ручное")</f>
        <v>ПДЗ скорости роста влажности бумаги абсолютной, неделя, ручное</v>
      </c>
    </row>
    <row r="2137" spans="1:2" ht="15.75" customHeight="1" x14ac:dyDescent="0.25">
      <c r="A2137" s="13" t="str">
        <f ca="1">IFERROR(__xludf.DUMMYFUNCTION("""COMPUTED_VALUE"""),"wcp_roc_abs_year")</f>
        <v>wcp_roc_abs_year</v>
      </c>
      <c r="B2137" s="13" t="str">
        <f ca="1">IFERROR(__xludf.DUMMYFUNCTION("""COMPUTED_VALUE"""),"Скорость роста влажности бумаги абсолютная, год")</f>
        <v>Скорость роста влажности бумаги абсолютная, год</v>
      </c>
    </row>
    <row r="2138" spans="1:2" ht="15.75" customHeight="1" x14ac:dyDescent="0.25">
      <c r="A2138" s="13" t="str">
        <f ca="1">IFERROR(__xludf.DUMMYFUNCTION("""COMPUTED_VALUE"""),"wcp_roc_abs_year_lim0")</f>
        <v>wcp_roc_abs_year_lim0</v>
      </c>
      <c r="B2138" s="13" t="str">
        <f ca="1">IFERROR(__xludf.DUMMYFUNCTION("""COMPUTED_VALUE"""),"ДЗ скорости роста влажности бумаги абсолютной, год")</f>
        <v>ДЗ скорости роста влажности бумаги абсолютной, год</v>
      </c>
    </row>
    <row r="2139" spans="1:2" ht="15.75" customHeight="1" x14ac:dyDescent="0.25">
      <c r="A2139" s="13" t="str">
        <f ca="1">IFERROR(__xludf.DUMMYFUNCTION("""COMPUTED_VALUE"""),"wcp_roc_abs_year_lim0_manual")</f>
        <v>wcp_roc_abs_year_lim0_manual</v>
      </c>
      <c r="B2139" s="13" t="str">
        <f ca="1">IFERROR(__xludf.DUMMYFUNCTION("""COMPUTED_VALUE"""),"ДЗ скорости роста влажности бумаги абсолютной, год, ручное")</f>
        <v>ДЗ скорости роста влажности бумаги абсолютной, год, ручное</v>
      </c>
    </row>
    <row r="2140" spans="1:2" ht="15.75" customHeight="1" x14ac:dyDescent="0.25">
      <c r="A2140" s="13" t="str">
        <f ca="1">IFERROR(__xludf.DUMMYFUNCTION("""COMPUTED_VALUE"""),"wcp_roc_abs_year_lim1")</f>
        <v>wcp_roc_abs_year_lim1</v>
      </c>
      <c r="B2140" s="13" t="str">
        <f ca="1">IFERROR(__xludf.DUMMYFUNCTION("""COMPUTED_VALUE"""),"ПДЗ скорости роста влажности бумаги абсолютной, год")</f>
        <v>ПДЗ скорости роста влажности бумаги абсолютной, год</v>
      </c>
    </row>
    <row r="2141" spans="1:2" ht="15.75" customHeight="1" x14ac:dyDescent="0.25">
      <c r="A2141" s="13" t="str">
        <f ca="1">IFERROR(__xludf.DUMMYFUNCTION("""COMPUTED_VALUE"""),"wcp_roc_abs_year_lim1_manual")</f>
        <v>wcp_roc_abs_year_lim1_manual</v>
      </c>
      <c r="B2141" s="13" t="str">
        <f ca="1">IFERROR(__xludf.DUMMYFUNCTION("""COMPUTED_VALUE"""),"ПДЗ скорости роста влажности бумаги абсолютной, год, ручное")</f>
        <v>ПДЗ скорости роста влажности бумаги абсолютной, год, ручное</v>
      </c>
    </row>
    <row r="2142" spans="1:2" ht="15.75" customHeight="1" x14ac:dyDescent="0.25">
      <c r="A2142" s="13" t="str">
        <f ca="1">IFERROR(__xludf.DUMMYFUNCTION("""COMPUTED_VALUE"""),"wcp_roc_rel_day")</f>
        <v>wcp_roc_rel_day</v>
      </c>
      <c r="B2142" s="13" t="str">
        <f ca="1">IFERROR(__xludf.DUMMYFUNCTION("""COMPUTED_VALUE"""),"Скорость роста влажности бумаги относительная, день")</f>
        <v>Скорость роста влажности бумаги относительная, день</v>
      </c>
    </row>
    <row r="2143" spans="1:2" ht="15.75" customHeight="1" x14ac:dyDescent="0.25">
      <c r="A2143" s="13" t="str">
        <f ca="1">IFERROR(__xludf.DUMMYFUNCTION("""COMPUTED_VALUE"""),"wcp_roc_rel_day_lim0")</f>
        <v>wcp_roc_rel_day_lim0</v>
      </c>
      <c r="B2143" s="13" t="str">
        <f ca="1">IFERROR(__xludf.DUMMYFUNCTION("""COMPUTED_VALUE"""),"ДЗ скорости роста влажности бумаги относительной, день")</f>
        <v>ДЗ скорости роста влажности бумаги относительной, день</v>
      </c>
    </row>
    <row r="2144" spans="1:2" ht="15.75" customHeight="1" x14ac:dyDescent="0.25">
      <c r="A2144" s="13" t="str">
        <f ca="1">IFERROR(__xludf.DUMMYFUNCTION("""COMPUTED_VALUE"""),"wcp_roc_rel_day_lim0_manual")</f>
        <v>wcp_roc_rel_day_lim0_manual</v>
      </c>
      <c r="B2144" s="13" t="str">
        <f ca="1">IFERROR(__xludf.DUMMYFUNCTION("""COMPUTED_VALUE"""),"ДЗ скорости роста влажности бумаги относительной, день, ручное")</f>
        <v>ДЗ скорости роста влажности бумаги относительной, день, ручное</v>
      </c>
    </row>
    <row r="2145" spans="1:2" ht="15.75" customHeight="1" x14ac:dyDescent="0.25">
      <c r="A2145" s="13" t="str">
        <f ca="1">IFERROR(__xludf.DUMMYFUNCTION("""COMPUTED_VALUE"""),"wcp_roc_rel_day_lim1")</f>
        <v>wcp_roc_rel_day_lim1</v>
      </c>
      <c r="B2145" s="13" t="str">
        <f ca="1">IFERROR(__xludf.DUMMYFUNCTION("""COMPUTED_VALUE"""),"ПДЗ скорости роста влажности бумаги относительной, день")</f>
        <v>ПДЗ скорости роста влажности бумаги относительной, день</v>
      </c>
    </row>
    <row r="2146" spans="1:2" ht="15.75" customHeight="1" x14ac:dyDescent="0.25">
      <c r="A2146" s="13" t="str">
        <f ca="1">IFERROR(__xludf.DUMMYFUNCTION("""COMPUTED_VALUE"""),"wcp_roc_rel_day_lim1_manual")</f>
        <v>wcp_roc_rel_day_lim1_manual</v>
      </c>
      <c r="B2146" s="13" t="str">
        <f ca="1">IFERROR(__xludf.DUMMYFUNCTION("""COMPUTED_VALUE"""),"ПДЗ скорости роста влажности бумаги относительной, день, ручное")</f>
        <v>ПДЗ скорости роста влажности бумаги относительной, день, ручное</v>
      </c>
    </row>
    <row r="2147" spans="1:2" ht="15.75" customHeight="1" x14ac:dyDescent="0.25">
      <c r="A2147" s="13" t="str">
        <f ca="1">IFERROR(__xludf.DUMMYFUNCTION("""COMPUTED_VALUE"""),"wcp_roc_rel_month")</f>
        <v>wcp_roc_rel_month</v>
      </c>
      <c r="B2147" s="13" t="str">
        <f ca="1">IFERROR(__xludf.DUMMYFUNCTION("""COMPUTED_VALUE"""),"Скорость роста влажности бумаги относительная, месяц")</f>
        <v>Скорость роста влажности бумаги относительная, месяц</v>
      </c>
    </row>
    <row r="2148" spans="1:2" ht="15.75" customHeight="1" x14ac:dyDescent="0.25">
      <c r="A2148" s="13" t="str">
        <f ca="1">IFERROR(__xludf.DUMMYFUNCTION("""COMPUTED_VALUE"""),"wcp_roc_rel_month_lim0")</f>
        <v>wcp_roc_rel_month_lim0</v>
      </c>
      <c r="B2148" s="13" t="str">
        <f ca="1">IFERROR(__xludf.DUMMYFUNCTION("""COMPUTED_VALUE"""),"ДЗ скорости роста влажности бумаги относительной, месяц")</f>
        <v>ДЗ скорости роста влажности бумаги относительной, месяц</v>
      </c>
    </row>
    <row r="2149" spans="1:2" ht="15.75" customHeight="1" x14ac:dyDescent="0.25">
      <c r="A2149" s="13" t="str">
        <f ca="1">IFERROR(__xludf.DUMMYFUNCTION("""COMPUTED_VALUE"""),"wcp_roc_rel_month_lim0_manual")</f>
        <v>wcp_roc_rel_month_lim0_manual</v>
      </c>
      <c r="B2149" s="13" t="str">
        <f ca="1">IFERROR(__xludf.DUMMYFUNCTION("""COMPUTED_VALUE"""),"ДЗ скорости роста влажности бумаги относительной, месяц, ручное")</f>
        <v>ДЗ скорости роста влажности бумаги относительной, месяц, ручное</v>
      </c>
    </row>
    <row r="2150" spans="1:2" ht="15.75" customHeight="1" x14ac:dyDescent="0.25">
      <c r="A2150" s="13" t="str">
        <f ca="1">IFERROR(__xludf.DUMMYFUNCTION("""COMPUTED_VALUE"""),"wcp_roc_rel_month_lim1")</f>
        <v>wcp_roc_rel_month_lim1</v>
      </c>
      <c r="B2150" s="13" t="str">
        <f ca="1">IFERROR(__xludf.DUMMYFUNCTION("""COMPUTED_VALUE"""),"ПДЗ скорости роста влажности бумаги относительной, месяц")</f>
        <v>ПДЗ скорости роста влажности бумаги относительной, месяц</v>
      </c>
    </row>
    <row r="2151" spans="1:2" ht="15.75" customHeight="1" x14ac:dyDescent="0.25">
      <c r="A2151" s="13" t="str">
        <f ca="1">IFERROR(__xludf.DUMMYFUNCTION("""COMPUTED_VALUE"""),"wcp_roc_rel_month_lim1_manual")</f>
        <v>wcp_roc_rel_month_lim1_manual</v>
      </c>
      <c r="B2151" s="13" t="str">
        <f ca="1">IFERROR(__xludf.DUMMYFUNCTION("""COMPUTED_VALUE"""),"ПДЗ скорости роста влажности бумаги относительной, месяц, ручное")</f>
        <v>ПДЗ скорости роста влажности бумаги относительной, месяц, ручное</v>
      </c>
    </row>
    <row r="2152" spans="1:2" ht="15.75" customHeight="1" x14ac:dyDescent="0.25">
      <c r="A2152" s="13" t="str">
        <f ca="1">IFERROR(__xludf.DUMMYFUNCTION("""COMPUTED_VALUE"""),"wcp_roc_rel_week")</f>
        <v>wcp_roc_rel_week</v>
      </c>
      <c r="B2152" s="13" t="str">
        <f ca="1">IFERROR(__xludf.DUMMYFUNCTION("""COMPUTED_VALUE"""),"Скорость роста влажности бумаги относительная, неделя")</f>
        <v>Скорость роста влажности бумаги относительная, неделя</v>
      </c>
    </row>
    <row r="2153" spans="1:2" ht="15.75" customHeight="1" x14ac:dyDescent="0.25">
      <c r="A2153" s="13" t="str">
        <f ca="1">IFERROR(__xludf.DUMMYFUNCTION("""COMPUTED_VALUE"""),"wcp_roc_rel_week_lim0")</f>
        <v>wcp_roc_rel_week_lim0</v>
      </c>
      <c r="B2153" s="13" t="str">
        <f ca="1">IFERROR(__xludf.DUMMYFUNCTION("""COMPUTED_VALUE"""),"ДЗ скорости роста влажности бумаги относительной, неделя")</f>
        <v>ДЗ скорости роста влажности бумаги относительной, неделя</v>
      </c>
    </row>
    <row r="2154" spans="1:2" ht="15.75" customHeight="1" x14ac:dyDescent="0.25">
      <c r="A2154" s="13" t="str">
        <f ca="1">IFERROR(__xludf.DUMMYFUNCTION("""COMPUTED_VALUE"""),"wcp_roc_rel_week_lim0_manual")</f>
        <v>wcp_roc_rel_week_lim0_manual</v>
      </c>
      <c r="B2154" s="13" t="str">
        <f ca="1">IFERROR(__xludf.DUMMYFUNCTION("""COMPUTED_VALUE"""),"ДЗ скорости роста влажности бумаги относительной, неделя, ручное")</f>
        <v>ДЗ скорости роста влажности бумаги относительной, неделя, ручное</v>
      </c>
    </row>
    <row r="2155" spans="1:2" ht="15.75" customHeight="1" x14ac:dyDescent="0.25">
      <c r="A2155" s="13" t="str">
        <f ca="1">IFERROR(__xludf.DUMMYFUNCTION("""COMPUTED_VALUE"""),"wcp_roc_rel_week_lim1")</f>
        <v>wcp_roc_rel_week_lim1</v>
      </c>
      <c r="B2155" s="13" t="str">
        <f ca="1">IFERROR(__xludf.DUMMYFUNCTION("""COMPUTED_VALUE"""),"ПДЗ скорости роста влажности бумаги относительной, неделя")</f>
        <v>ПДЗ скорости роста влажности бумаги относительной, неделя</v>
      </c>
    </row>
    <row r="2156" spans="1:2" ht="15.75" customHeight="1" x14ac:dyDescent="0.25">
      <c r="A2156" s="13" t="str">
        <f ca="1">IFERROR(__xludf.DUMMYFUNCTION("""COMPUTED_VALUE"""),"wcp_roc_rel_week_lim1_manual")</f>
        <v>wcp_roc_rel_week_lim1_manual</v>
      </c>
      <c r="B2156" s="13" t="str">
        <f ca="1">IFERROR(__xludf.DUMMYFUNCTION("""COMPUTED_VALUE"""),"ПДЗ скорости роста влажности бумаги относительной, неделя, ручное")</f>
        <v>ПДЗ скорости роста влажности бумаги относительной, неделя, ручное</v>
      </c>
    </row>
    <row r="2157" spans="1:2" ht="15.75" customHeight="1" x14ac:dyDescent="0.25">
      <c r="A2157" s="13" t="str">
        <f ca="1">IFERROR(__xludf.DUMMYFUNCTION("""COMPUTED_VALUE"""),"wcp_roc_rel_year")</f>
        <v>wcp_roc_rel_year</v>
      </c>
      <c r="B2157" s="13" t="str">
        <f ca="1">IFERROR(__xludf.DUMMYFUNCTION("""COMPUTED_VALUE"""),"Скорость роста влажности бумаги относительная, год")</f>
        <v>Скорость роста влажности бумаги относительная, год</v>
      </c>
    </row>
    <row r="2158" spans="1:2" ht="15.75" customHeight="1" x14ac:dyDescent="0.25">
      <c r="A2158" s="13" t="str">
        <f ca="1">IFERROR(__xludf.DUMMYFUNCTION("""COMPUTED_VALUE"""),"wcp_roc_rel_year_lim0")</f>
        <v>wcp_roc_rel_year_lim0</v>
      </c>
      <c r="B2158" s="13" t="str">
        <f ca="1">IFERROR(__xludf.DUMMYFUNCTION("""COMPUTED_VALUE"""),"ДЗ скорости роста влажности бумаги относительной, год")</f>
        <v>ДЗ скорости роста влажности бумаги относительной, год</v>
      </c>
    </row>
    <row r="2159" spans="1:2" ht="15.75" customHeight="1" x14ac:dyDescent="0.25">
      <c r="A2159" s="13" t="str">
        <f ca="1">IFERROR(__xludf.DUMMYFUNCTION("""COMPUTED_VALUE"""),"wcp_roc_rel_year_lim0_manual")</f>
        <v>wcp_roc_rel_year_lim0_manual</v>
      </c>
      <c r="B2159" s="13" t="str">
        <f ca="1">IFERROR(__xludf.DUMMYFUNCTION("""COMPUTED_VALUE"""),"ДЗ скорости роста влажности бумаги относительной, год, ручное")</f>
        <v>ДЗ скорости роста влажности бумаги относительной, год, ручное</v>
      </c>
    </row>
    <row r="2160" spans="1:2" ht="15.75" customHeight="1" x14ac:dyDescent="0.25">
      <c r="A2160" s="13" t="str">
        <f ca="1">IFERROR(__xludf.DUMMYFUNCTION("""COMPUTED_VALUE"""),"wcp_roc_rel_year_lim1")</f>
        <v>wcp_roc_rel_year_lim1</v>
      </c>
      <c r="B2160" s="13" t="str">
        <f ca="1">IFERROR(__xludf.DUMMYFUNCTION("""COMPUTED_VALUE"""),"ПДЗ скорости роста влажности бумаги относительной, год")</f>
        <v>ПДЗ скорости роста влажности бумаги относительной, год</v>
      </c>
    </row>
    <row r="2161" spans="1:2" ht="15.75" customHeight="1" x14ac:dyDescent="0.25">
      <c r="A2161" s="13" t="str">
        <f ca="1">IFERROR(__xludf.DUMMYFUNCTION("""COMPUTED_VALUE"""),"wcp_roc_rel_year_lim1_manual")</f>
        <v>wcp_roc_rel_year_lim1_manual</v>
      </c>
      <c r="B2161" s="13" t="str">
        <f ca="1">IFERROR(__xludf.DUMMYFUNCTION("""COMPUTED_VALUE"""),"ПДЗ скорости роста влажности бумаги относительной, год, ручное")</f>
        <v>ПДЗ скорости роста влажности бумаги относительной, год, ручное</v>
      </c>
    </row>
    <row r="2162" spans="1:2" ht="15.75" customHeight="1" x14ac:dyDescent="0.25">
      <c r="A2162" s="13"/>
      <c r="B2162" s="13"/>
    </row>
    <row r="2163" spans="1:2" ht="15.75" customHeight="1" x14ac:dyDescent="0.25">
      <c r="A2163" s="13"/>
      <c r="B2163" s="13"/>
    </row>
    <row r="2164" spans="1:2" ht="15.75" customHeight="1" x14ac:dyDescent="0.25">
      <c r="A2164" s="13"/>
      <c r="B2164" s="13"/>
    </row>
    <row r="2165" spans="1:2" ht="15.75" customHeight="1" x14ac:dyDescent="0.25">
      <c r="A2165" s="13"/>
      <c r="B2165" s="13"/>
    </row>
    <row r="2166" spans="1:2" ht="15.75" customHeight="1" x14ac:dyDescent="0.25">
      <c r="A2166" s="13"/>
      <c r="B2166" s="13"/>
    </row>
    <row r="2167" spans="1:2" ht="15.75" customHeight="1" x14ac:dyDescent="0.25">
      <c r="A2167" s="13"/>
      <c r="B2167" s="13"/>
    </row>
    <row r="2168" spans="1:2" ht="15.75" customHeight="1" x14ac:dyDescent="0.25">
      <c r="A2168" s="13"/>
      <c r="B2168" s="13"/>
    </row>
    <row r="2169" spans="1:2" ht="15.75" customHeight="1" x14ac:dyDescent="0.25">
      <c r="A2169" s="13"/>
      <c r="B2169" s="13"/>
    </row>
    <row r="2170" spans="1:2" ht="15.75" customHeight="1" x14ac:dyDescent="0.25">
      <c r="A2170" s="13"/>
      <c r="B2170" s="13"/>
    </row>
    <row r="2171" spans="1:2" ht="15.75" customHeight="1" x14ac:dyDescent="0.25">
      <c r="A2171" s="13"/>
      <c r="B2171" s="13"/>
    </row>
    <row r="2172" spans="1:2" ht="15.75" customHeight="1" x14ac:dyDescent="0.25">
      <c r="A2172" s="13"/>
      <c r="B2172" s="13"/>
    </row>
    <row r="2173" spans="1:2" ht="15.75" customHeight="1" x14ac:dyDescent="0.25">
      <c r="A2173" s="13"/>
      <c r="B2173" s="13"/>
    </row>
    <row r="2174" spans="1:2" ht="15.75" customHeight="1" x14ac:dyDescent="0.25">
      <c r="A2174" s="13"/>
      <c r="B2174" s="13"/>
    </row>
    <row r="2175" spans="1:2" ht="15.75" customHeight="1" x14ac:dyDescent="0.25">
      <c r="A2175" s="13"/>
      <c r="B2175" s="13"/>
    </row>
    <row r="2176" spans="1:2" ht="15.75" customHeight="1" x14ac:dyDescent="0.25">
      <c r="A2176" s="13"/>
      <c r="B2176" s="13"/>
    </row>
    <row r="2177" spans="1:2" ht="15.75" customHeight="1" x14ac:dyDescent="0.25">
      <c r="A2177" s="13"/>
      <c r="B2177" s="13"/>
    </row>
    <row r="2178" spans="1:2" ht="15.75" customHeight="1" x14ac:dyDescent="0.25">
      <c r="A2178" s="13"/>
      <c r="B2178" s="13"/>
    </row>
    <row r="2179" spans="1:2" ht="15.75" customHeight="1" x14ac:dyDescent="0.25">
      <c r="A2179" s="13"/>
      <c r="B2179" s="13"/>
    </row>
    <row r="2180" spans="1:2" ht="15.75" customHeight="1" x14ac:dyDescent="0.25">
      <c r="A2180" s="13"/>
      <c r="B2180" s="13"/>
    </row>
    <row r="2181" spans="1:2" ht="15.75" customHeight="1" x14ac:dyDescent="0.25">
      <c r="A2181" s="13"/>
      <c r="B2181" s="13"/>
    </row>
    <row r="2182" spans="1:2" ht="15.75" customHeight="1" x14ac:dyDescent="0.25">
      <c r="A2182" s="13"/>
      <c r="B2182" s="13"/>
    </row>
    <row r="2183" spans="1:2" ht="15.75" customHeight="1" x14ac:dyDescent="0.25">
      <c r="A2183" s="13"/>
      <c r="B2183" s="13"/>
    </row>
    <row r="2184" spans="1:2" ht="15.75" customHeight="1" x14ac:dyDescent="0.25">
      <c r="A2184" s="13"/>
      <c r="B2184" s="13"/>
    </row>
    <row r="2185" spans="1:2" ht="15.75" customHeight="1" x14ac:dyDescent="0.25">
      <c r="A2185" s="13"/>
      <c r="B2185" s="13"/>
    </row>
    <row r="2186" spans="1:2" ht="15.75" customHeight="1" x14ac:dyDescent="0.25">
      <c r="A2186" s="13"/>
      <c r="B2186" s="13"/>
    </row>
    <row r="2187" spans="1:2" ht="15.75" customHeight="1" x14ac:dyDescent="0.25">
      <c r="A2187" s="13"/>
      <c r="B2187" s="13"/>
    </row>
    <row r="2188" spans="1:2" ht="15.75" customHeight="1" x14ac:dyDescent="0.25">
      <c r="A2188" s="13"/>
      <c r="B2188" s="13"/>
    </row>
    <row r="2189" spans="1:2" ht="15.75" customHeight="1" x14ac:dyDescent="0.25">
      <c r="A2189" s="13"/>
      <c r="B2189" s="13"/>
    </row>
    <row r="2190" spans="1:2" ht="15.75" customHeight="1" x14ac:dyDescent="0.25">
      <c r="A2190" s="13"/>
      <c r="B2190" s="13"/>
    </row>
    <row r="2191" spans="1:2" ht="15.75" customHeight="1" x14ac:dyDescent="0.25">
      <c r="A2191" s="13"/>
      <c r="B2191" s="13"/>
    </row>
    <row r="2192" spans="1:2" ht="15.75" customHeight="1" x14ac:dyDescent="0.25">
      <c r="A2192" s="13"/>
      <c r="B2192" s="13"/>
    </row>
    <row r="2193" spans="1:2" ht="15.75" customHeight="1" x14ac:dyDescent="0.25">
      <c r="A2193" s="13"/>
      <c r="B2193" s="13"/>
    </row>
    <row r="2194" spans="1:2" ht="15.75" customHeight="1" x14ac:dyDescent="0.25">
      <c r="A2194" s="13"/>
      <c r="B2194" s="13"/>
    </row>
    <row r="2195" spans="1:2" ht="15.75" customHeight="1" x14ac:dyDescent="0.25">
      <c r="A2195" s="13"/>
      <c r="B2195" s="13"/>
    </row>
    <row r="2196" spans="1:2" ht="15.75" customHeight="1" x14ac:dyDescent="0.25">
      <c r="A2196" s="13"/>
      <c r="B2196" s="13"/>
    </row>
    <row r="2197" spans="1:2" ht="15.75" customHeight="1" x14ac:dyDescent="0.25">
      <c r="A2197" s="13"/>
      <c r="B2197" s="13"/>
    </row>
    <row r="2198" spans="1:2" ht="15.75" customHeight="1" x14ac:dyDescent="0.25">
      <c r="A2198" s="13"/>
      <c r="B2198" s="13"/>
    </row>
    <row r="2199" spans="1:2" ht="15.75" customHeight="1" x14ac:dyDescent="0.25">
      <c r="A2199" s="13"/>
      <c r="B2199" s="13"/>
    </row>
    <row r="2200" spans="1:2" ht="15.75" customHeight="1" x14ac:dyDescent="0.25">
      <c r="A2200" s="13"/>
      <c r="B2200" s="13"/>
    </row>
    <row r="2201" spans="1:2" ht="15.75" customHeight="1" x14ac:dyDescent="0.25">
      <c r="A2201" s="13"/>
      <c r="B2201" s="13"/>
    </row>
    <row r="2202" spans="1:2" ht="15.75" customHeight="1" x14ac:dyDescent="0.25">
      <c r="A2202" s="13"/>
      <c r="B2202" s="13"/>
    </row>
    <row r="2203" spans="1:2" ht="15.75" customHeight="1" x14ac:dyDescent="0.25">
      <c r="A2203" s="13"/>
      <c r="B2203" s="13"/>
    </row>
    <row r="2204" spans="1:2" ht="15.75" customHeight="1" x14ac:dyDescent="0.25">
      <c r="A2204" s="13"/>
      <c r="B2204" s="13"/>
    </row>
    <row r="2205" spans="1:2" ht="15.75" customHeight="1" x14ac:dyDescent="0.25">
      <c r="A2205" s="13"/>
      <c r="B2205" s="13"/>
    </row>
    <row r="2206" spans="1:2" ht="15.75" customHeight="1" x14ac:dyDescent="0.25">
      <c r="A2206" s="13"/>
      <c r="B2206" s="13"/>
    </row>
    <row r="2207" spans="1:2" ht="15.75" customHeight="1" x14ac:dyDescent="0.25">
      <c r="A2207" s="13"/>
      <c r="B2207" s="13"/>
    </row>
    <row r="2208" spans="1:2" ht="15.75" customHeight="1" x14ac:dyDescent="0.25">
      <c r="A2208" s="13"/>
      <c r="B2208" s="13"/>
    </row>
    <row r="2209" spans="1:2" ht="15.75" customHeight="1" x14ac:dyDescent="0.25">
      <c r="A2209" s="13"/>
      <c r="B2209" s="13"/>
    </row>
    <row r="2210" spans="1:2" ht="15.75" customHeight="1" x14ac:dyDescent="0.25">
      <c r="A2210" s="13"/>
      <c r="B2210" s="13"/>
    </row>
    <row r="2211" spans="1:2" ht="15.75" customHeight="1" x14ac:dyDescent="0.25">
      <c r="A2211" s="13"/>
      <c r="B2211" s="13"/>
    </row>
    <row r="2212" spans="1:2" ht="15.75" customHeight="1" x14ac:dyDescent="0.25">
      <c r="A2212" s="13"/>
      <c r="B2212" s="13"/>
    </row>
    <row r="2213" spans="1:2" ht="15.75" customHeight="1" x14ac:dyDescent="0.25">
      <c r="A2213" s="13"/>
      <c r="B2213" s="13"/>
    </row>
    <row r="2214" spans="1:2" ht="15.75" customHeight="1" x14ac:dyDescent="0.25">
      <c r="A2214" s="13"/>
      <c r="B2214" s="13"/>
    </row>
    <row r="2215" spans="1:2" ht="15.75" customHeight="1" x14ac:dyDescent="0.25">
      <c r="A2215" s="13"/>
      <c r="B2215" s="13"/>
    </row>
    <row r="2216" spans="1:2" ht="15.75" customHeight="1" x14ac:dyDescent="0.25">
      <c r="A2216" s="13"/>
      <c r="B2216" s="13"/>
    </row>
    <row r="2217" spans="1:2" ht="15.75" customHeight="1" x14ac:dyDescent="0.25">
      <c r="A2217" s="13"/>
      <c r="B2217" s="13"/>
    </row>
    <row r="2218" spans="1:2" ht="15.75" customHeight="1" x14ac:dyDescent="0.25">
      <c r="A2218" s="13"/>
      <c r="B2218" s="13"/>
    </row>
    <row r="2219" spans="1:2" ht="15.75" customHeight="1" x14ac:dyDescent="0.25">
      <c r="A2219" s="13"/>
      <c r="B2219" s="13"/>
    </row>
    <row r="2220" spans="1:2" ht="15.75" customHeight="1" x14ac:dyDescent="0.25">
      <c r="A2220" s="13"/>
      <c r="B2220" s="13"/>
    </row>
    <row r="2221" spans="1:2" ht="15.75" customHeight="1" x14ac:dyDescent="0.25">
      <c r="A2221" s="13"/>
      <c r="B2221" s="13"/>
    </row>
    <row r="2222" spans="1:2" ht="15.75" customHeight="1" x14ac:dyDescent="0.25">
      <c r="A2222" s="13"/>
      <c r="B2222" s="13"/>
    </row>
    <row r="2223" spans="1:2" ht="15.75" customHeight="1" x14ac:dyDescent="0.25">
      <c r="A2223" s="13"/>
      <c r="B2223" s="13"/>
    </row>
    <row r="2224" spans="1:2" ht="15.75" customHeight="1" x14ac:dyDescent="0.25">
      <c r="A2224" s="13"/>
      <c r="B2224" s="13"/>
    </row>
    <row r="2225" spans="1:2" ht="15.75" customHeight="1" x14ac:dyDescent="0.25">
      <c r="A2225" s="13"/>
      <c r="B2225" s="13"/>
    </row>
    <row r="2226" spans="1:2" ht="15.75" customHeight="1" x14ac:dyDescent="0.25">
      <c r="A2226" s="13"/>
      <c r="B2226" s="13"/>
    </row>
    <row r="2227" spans="1:2" ht="15.75" customHeight="1" x14ac:dyDescent="0.25">
      <c r="A2227" s="13"/>
      <c r="B2227" s="13"/>
    </row>
    <row r="2228" spans="1:2" ht="15.75" customHeight="1" x14ac:dyDescent="0.25">
      <c r="A2228" s="13"/>
      <c r="B2228" s="13"/>
    </row>
    <row r="2229" spans="1:2" ht="15.75" customHeight="1" x14ac:dyDescent="0.25">
      <c r="A2229" s="13"/>
      <c r="B2229" s="13"/>
    </row>
    <row r="2230" spans="1:2" ht="15.75" customHeight="1" x14ac:dyDescent="0.25">
      <c r="A2230" s="13"/>
      <c r="B2230" s="13"/>
    </row>
    <row r="2231" spans="1:2" ht="15.75" customHeight="1" x14ac:dyDescent="0.25">
      <c r="A2231" s="13"/>
      <c r="B2231" s="13"/>
    </row>
    <row r="2232" spans="1:2" ht="15.75" customHeight="1" x14ac:dyDescent="0.25">
      <c r="A2232" s="13"/>
      <c r="B2232" s="13"/>
    </row>
    <row r="2233" spans="1:2" ht="15.75" customHeight="1" x14ac:dyDescent="0.25">
      <c r="A2233" s="13"/>
      <c r="B2233" s="13"/>
    </row>
    <row r="2234" spans="1:2" ht="15.75" customHeight="1" x14ac:dyDescent="0.25">
      <c r="A2234" s="13"/>
      <c r="B2234" s="13"/>
    </row>
    <row r="2235" spans="1:2" ht="15.75" customHeight="1" x14ac:dyDescent="0.25">
      <c r="A2235" s="13"/>
      <c r="B2235" s="13"/>
    </row>
    <row r="2236" spans="1:2" ht="15.75" customHeight="1" x14ac:dyDescent="0.25">
      <c r="A2236" s="13"/>
      <c r="B2236" s="13"/>
    </row>
    <row r="2237" spans="1:2" ht="15.75" customHeight="1" x14ac:dyDescent="0.25">
      <c r="A2237" s="13"/>
      <c r="B2237" s="13"/>
    </row>
    <row r="2238" spans="1:2" ht="15.75" customHeight="1" x14ac:dyDescent="0.25">
      <c r="A2238" s="13"/>
      <c r="B2238" s="13"/>
    </row>
    <row r="2239" spans="1:2" ht="15.75" customHeight="1" x14ac:dyDescent="0.25">
      <c r="A2239" s="13"/>
      <c r="B2239" s="13"/>
    </row>
    <row r="2240" spans="1:2" ht="15.75" customHeight="1" x14ac:dyDescent="0.25">
      <c r="A2240" s="13"/>
      <c r="B2240" s="13"/>
    </row>
    <row r="2241" spans="1:2" ht="15.75" customHeight="1" x14ac:dyDescent="0.25">
      <c r="A2241" s="13"/>
      <c r="B2241" s="13"/>
    </row>
    <row r="2242" spans="1:2" ht="15.75" customHeight="1" x14ac:dyDescent="0.25">
      <c r="A2242" s="13"/>
      <c r="B2242" s="13"/>
    </row>
    <row r="2243" spans="1:2" ht="15.75" customHeight="1" x14ac:dyDescent="0.25">
      <c r="A2243" s="13"/>
      <c r="B2243" s="13"/>
    </row>
    <row r="2244" spans="1:2" ht="15.75" customHeight="1" x14ac:dyDescent="0.25">
      <c r="A2244" s="13"/>
      <c r="B2244" s="13"/>
    </row>
    <row r="2245" spans="1:2" ht="15.75" customHeight="1" x14ac:dyDescent="0.25">
      <c r="A2245" s="13"/>
      <c r="B2245" s="13"/>
    </row>
    <row r="2246" spans="1:2" ht="15.75" customHeight="1" x14ac:dyDescent="0.25">
      <c r="A2246" s="13"/>
      <c r="B2246" s="13"/>
    </row>
    <row r="2247" spans="1:2" ht="15.75" customHeight="1" x14ac:dyDescent="0.25">
      <c r="A2247" s="13"/>
      <c r="B2247" s="13"/>
    </row>
    <row r="2248" spans="1:2" ht="15.75" customHeight="1" x14ac:dyDescent="0.25">
      <c r="A2248" s="13"/>
      <c r="B2248" s="13"/>
    </row>
    <row r="2249" spans="1:2" ht="15.75" customHeight="1" x14ac:dyDescent="0.25">
      <c r="A2249" s="13"/>
      <c r="B2249" s="13"/>
    </row>
    <row r="2250" spans="1:2" ht="15.75" customHeight="1" x14ac:dyDescent="0.25">
      <c r="A2250" s="13"/>
      <c r="B2250" s="13"/>
    </row>
    <row r="2251" spans="1:2" ht="15.75" customHeight="1" x14ac:dyDescent="0.25">
      <c r="A2251" s="13"/>
      <c r="B2251" s="13"/>
    </row>
    <row r="2252" spans="1:2" ht="15.75" customHeight="1" x14ac:dyDescent="0.25">
      <c r="A2252" s="13"/>
      <c r="B2252" s="13"/>
    </row>
    <row r="2253" spans="1:2" ht="15.75" customHeight="1" x14ac:dyDescent="0.25">
      <c r="A2253" s="13"/>
      <c r="B2253" s="13"/>
    </row>
    <row r="2254" spans="1:2" ht="15.75" customHeight="1" x14ac:dyDescent="0.25">
      <c r="A2254" s="13"/>
      <c r="B2254" s="13"/>
    </row>
    <row r="2255" spans="1:2" ht="15.75" customHeight="1" x14ac:dyDescent="0.25">
      <c r="A2255" s="13"/>
      <c r="B2255" s="13"/>
    </row>
    <row r="2256" spans="1:2" ht="15.75" customHeight="1" x14ac:dyDescent="0.25">
      <c r="A2256" s="13"/>
      <c r="B2256" s="13"/>
    </row>
    <row r="2257" spans="1:2" ht="15.75" customHeight="1" x14ac:dyDescent="0.25">
      <c r="A2257" s="13"/>
      <c r="B2257" s="13"/>
    </row>
    <row r="2258" spans="1:2" ht="15.75" customHeight="1" x14ac:dyDescent="0.25">
      <c r="A2258" s="13"/>
      <c r="B2258" s="13"/>
    </row>
    <row r="2259" spans="1:2" ht="15.75" customHeight="1" x14ac:dyDescent="0.25">
      <c r="A2259" s="13"/>
      <c r="B2259" s="13"/>
    </row>
    <row r="2260" spans="1:2" ht="15.75" customHeight="1" x14ac:dyDescent="0.25">
      <c r="A2260" s="13"/>
      <c r="B2260" s="13"/>
    </row>
    <row r="2261" spans="1:2" ht="15.75" customHeight="1" x14ac:dyDescent="0.25">
      <c r="A2261" s="13"/>
      <c r="B2261" s="13"/>
    </row>
    <row r="2262" spans="1:2" ht="15.75" customHeight="1" x14ac:dyDescent="0.25">
      <c r="A2262" s="13"/>
      <c r="B2262" s="13"/>
    </row>
    <row r="2263" spans="1:2" ht="15.75" customHeight="1" x14ac:dyDescent="0.25">
      <c r="A2263" s="13"/>
      <c r="B2263" s="13"/>
    </row>
    <row r="2264" spans="1:2" ht="15.75" customHeight="1" x14ac:dyDescent="0.25">
      <c r="A2264" s="13"/>
      <c r="B2264" s="13"/>
    </row>
    <row r="2265" spans="1:2" ht="15.75" customHeight="1" x14ac:dyDescent="0.25">
      <c r="A2265" s="13"/>
      <c r="B2265" s="13"/>
    </row>
    <row r="2266" spans="1:2" ht="15.75" customHeight="1" x14ac:dyDescent="0.25">
      <c r="A2266" s="13"/>
      <c r="B2266" s="13"/>
    </row>
    <row r="2267" spans="1:2" ht="15.75" customHeight="1" x14ac:dyDescent="0.25">
      <c r="A2267" s="13"/>
      <c r="B2267" s="13"/>
    </row>
    <row r="2268" spans="1:2" ht="15.75" customHeight="1" x14ac:dyDescent="0.25">
      <c r="A2268" s="13"/>
      <c r="B2268" s="13"/>
    </row>
    <row r="2269" spans="1:2" ht="15.75" customHeight="1" x14ac:dyDescent="0.25">
      <c r="A2269" s="13"/>
      <c r="B2269" s="13"/>
    </row>
    <row r="2270" spans="1:2" ht="15.75" customHeight="1" x14ac:dyDescent="0.25">
      <c r="A2270" s="13"/>
      <c r="B2270" s="13"/>
    </row>
    <row r="2271" spans="1:2" ht="15.75" customHeight="1" x14ac:dyDescent="0.25">
      <c r="A2271" s="13"/>
      <c r="B2271" s="13"/>
    </row>
    <row r="2272" spans="1:2" ht="15.75" customHeight="1" x14ac:dyDescent="0.25">
      <c r="A2272" s="13"/>
      <c r="B2272" s="13"/>
    </row>
    <row r="2273" spans="1:2" ht="15.75" customHeight="1" x14ac:dyDescent="0.25">
      <c r="A2273" s="13"/>
      <c r="B2273" s="13"/>
    </row>
    <row r="2274" spans="1:2" ht="15.75" customHeight="1" x14ac:dyDescent="0.25">
      <c r="A2274" s="13"/>
      <c r="B2274" s="13"/>
    </row>
    <row r="2275" spans="1:2" ht="15.75" customHeight="1" x14ac:dyDescent="0.25">
      <c r="A2275" s="13"/>
      <c r="B2275" s="13"/>
    </row>
    <row r="2276" spans="1:2" ht="15.75" customHeight="1" x14ac:dyDescent="0.25">
      <c r="A2276" s="13"/>
      <c r="B2276" s="13"/>
    </row>
    <row r="2277" spans="1:2" ht="15.75" customHeight="1" x14ac:dyDescent="0.25">
      <c r="A2277" s="13"/>
      <c r="B2277" s="13"/>
    </row>
    <row r="2278" spans="1:2" ht="15.75" customHeight="1" x14ac:dyDescent="0.25">
      <c r="A2278" s="13"/>
      <c r="B2278" s="13"/>
    </row>
    <row r="2279" spans="1:2" ht="15.75" customHeight="1" x14ac:dyDescent="0.25">
      <c r="A2279" s="13"/>
      <c r="B2279" s="13"/>
    </row>
    <row r="2280" spans="1:2" ht="15.75" customHeight="1" x14ac:dyDescent="0.25">
      <c r="A2280" s="13"/>
      <c r="B2280" s="13"/>
    </row>
    <row r="2281" spans="1:2" ht="15.75" customHeight="1" x14ac:dyDescent="0.25">
      <c r="A2281" s="13"/>
      <c r="B2281" s="13"/>
    </row>
    <row r="2282" spans="1:2" ht="15.75" customHeight="1" x14ac:dyDescent="0.25">
      <c r="A2282" s="13"/>
      <c r="B2282" s="13"/>
    </row>
    <row r="2283" spans="1:2" ht="15.75" customHeight="1" x14ac:dyDescent="0.25">
      <c r="A2283" s="13"/>
      <c r="B2283" s="13"/>
    </row>
    <row r="2284" spans="1:2" ht="15.75" customHeight="1" x14ac:dyDescent="0.25">
      <c r="A2284" s="13"/>
      <c r="B2284" s="13"/>
    </row>
    <row r="2285" spans="1:2" ht="15.75" customHeight="1" x14ac:dyDescent="0.25">
      <c r="A2285" s="13"/>
      <c r="B2285" s="13"/>
    </row>
    <row r="2286" spans="1:2" ht="15.75" customHeight="1" x14ac:dyDescent="0.25">
      <c r="A2286" s="13"/>
      <c r="B2286" s="13"/>
    </row>
    <row r="2287" spans="1:2" ht="15.75" customHeight="1" x14ac:dyDescent="0.25">
      <c r="A2287" s="13"/>
      <c r="B2287" s="13"/>
    </row>
    <row r="2288" spans="1:2" ht="15.75" customHeight="1" x14ac:dyDescent="0.25">
      <c r="A2288" s="13"/>
      <c r="B2288" s="13"/>
    </row>
    <row r="2289" spans="1:2" ht="15.75" customHeight="1" x14ac:dyDescent="0.25">
      <c r="A2289" s="13"/>
      <c r="B2289" s="13"/>
    </row>
    <row r="2290" spans="1:2" ht="15.75" customHeight="1" x14ac:dyDescent="0.25">
      <c r="A2290" s="13"/>
      <c r="B2290" s="13"/>
    </row>
    <row r="2291" spans="1:2" ht="15.75" customHeight="1" x14ac:dyDescent="0.25">
      <c r="A2291" s="13"/>
      <c r="B2291" s="13"/>
    </row>
    <row r="2292" spans="1:2" ht="15.75" customHeight="1" x14ac:dyDescent="0.25">
      <c r="A2292" s="13"/>
      <c r="B2292" s="13"/>
    </row>
    <row r="2293" spans="1:2" ht="15.75" customHeight="1" x14ac:dyDescent="0.25">
      <c r="A2293" s="13"/>
      <c r="B2293" s="13"/>
    </row>
    <row r="2294" spans="1:2" ht="15.75" customHeight="1" x14ac:dyDescent="0.25">
      <c r="A2294" s="13"/>
      <c r="B2294" s="13"/>
    </row>
    <row r="2295" spans="1:2" ht="15.75" customHeight="1" x14ac:dyDescent="0.25">
      <c r="A2295" s="13"/>
      <c r="B2295" s="13"/>
    </row>
    <row r="2296" spans="1:2" ht="15.75" customHeight="1" x14ac:dyDescent="0.25">
      <c r="A2296" s="13"/>
      <c r="B2296" s="13"/>
    </row>
    <row r="2297" spans="1:2" ht="15.75" customHeight="1" x14ac:dyDescent="0.25">
      <c r="A2297" s="13"/>
      <c r="B2297" s="13"/>
    </row>
    <row r="2298" spans="1:2" ht="15.75" customHeight="1" x14ac:dyDescent="0.25">
      <c r="A2298" s="13"/>
      <c r="B2298" s="13"/>
    </row>
    <row r="2299" spans="1:2" ht="15.75" customHeight="1" x14ac:dyDescent="0.25">
      <c r="A2299" s="13"/>
      <c r="B2299" s="13"/>
    </row>
    <row r="2300" spans="1:2" ht="15.75" customHeight="1" x14ac:dyDescent="0.25">
      <c r="A2300" s="13"/>
      <c r="B2300" s="13"/>
    </row>
    <row r="2301" spans="1:2" ht="15.75" customHeight="1" x14ac:dyDescent="0.25">
      <c r="A2301" s="13"/>
      <c r="B2301" s="13"/>
    </row>
    <row r="2302" spans="1:2" ht="15.75" customHeight="1" x14ac:dyDescent="0.25">
      <c r="A2302" s="13"/>
      <c r="B2302" s="13"/>
    </row>
    <row r="2303" spans="1:2" ht="15.75" customHeight="1" x14ac:dyDescent="0.25">
      <c r="A2303" s="13"/>
      <c r="B2303" s="13"/>
    </row>
    <row r="2304" spans="1:2" ht="15.75" customHeight="1" x14ac:dyDescent="0.25">
      <c r="A2304" s="13"/>
      <c r="B2304" s="13"/>
    </row>
    <row r="2305" spans="1:2" ht="15.75" customHeight="1" x14ac:dyDescent="0.25">
      <c r="A2305" s="13"/>
      <c r="B2305" s="13"/>
    </row>
    <row r="2306" spans="1:2" ht="15.75" customHeight="1" x14ac:dyDescent="0.25">
      <c r="A2306" s="13"/>
      <c r="B2306" s="13"/>
    </row>
    <row r="2307" spans="1:2" ht="15.75" customHeight="1" x14ac:dyDescent="0.25">
      <c r="A2307" s="13"/>
      <c r="B2307" s="13"/>
    </row>
    <row r="2308" spans="1:2" ht="15.75" customHeight="1" x14ac:dyDescent="0.25">
      <c r="A2308" s="13"/>
      <c r="B2308" s="13"/>
    </row>
    <row r="2309" spans="1:2" ht="15.75" customHeight="1" x14ac:dyDescent="0.25">
      <c r="A2309" s="13"/>
      <c r="B2309" s="13"/>
    </row>
    <row r="2310" spans="1:2" ht="15.75" customHeight="1" x14ac:dyDescent="0.25">
      <c r="A2310" s="13"/>
      <c r="B2310" s="13"/>
    </row>
    <row r="2311" spans="1:2" ht="15.75" customHeight="1" x14ac:dyDescent="0.25">
      <c r="A2311" s="13"/>
      <c r="B2311" s="13"/>
    </row>
    <row r="2312" spans="1:2" ht="15.75" customHeight="1" x14ac:dyDescent="0.25">
      <c r="A2312" s="13"/>
      <c r="B2312" s="13"/>
    </row>
    <row r="2313" spans="1:2" ht="15.75" customHeight="1" x14ac:dyDescent="0.25">
      <c r="A2313" s="13"/>
      <c r="B2313" s="13"/>
    </row>
    <row r="2314" spans="1:2" ht="15.75" customHeight="1" x14ac:dyDescent="0.25">
      <c r="A2314" s="13"/>
      <c r="B2314" s="13"/>
    </row>
    <row r="2315" spans="1:2" ht="15.75" customHeight="1" x14ac:dyDescent="0.25">
      <c r="A2315" s="13"/>
      <c r="B2315" s="13"/>
    </row>
    <row r="2316" spans="1:2" ht="15.75" customHeight="1" x14ac:dyDescent="0.25">
      <c r="A2316" s="13"/>
      <c r="B2316" s="13"/>
    </row>
    <row r="2317" spans="1:2" ht="15.75" customHeight="1" x14ac:dyDescent="0.25">
      <c r="A2317" s="13"/>
      <c r="B2317" s="13"/>
    </row>
    <row r="2318" spans="1:2" ht="15.75" customHeight="1" x14ac:dyDescent="0.25">
      <c r="A2318" s="13"/>
      <c r="B2318" s="13"/>
    </row>
    <row r="2319" spans="1:2" ht="15.75" customHeight="1" x14ac:dyDescent="0.25">
      <c r="A2319" s="13"/>
      <c r="B2319" s="13"/>
    </row>
    <row r="2320" spans="1:2" ht="15.75" customHeight="1" x14ac:dyDescent="0.25">
      <c r="A2320" s="13"/>
      <c r="B2320" s="13"/>
    </row>
    <row r="2321" spans="1:2" ht="15.75" customHeight="1" x14ac:dyDescent="0.25">
      <c r="A2321" s="13"/>
      <c r="B2321" s="13"/>
    </row>
    <row r="2322" spans="1:2" ht="15.75" customHeight="1" x14ac:dyDescent="0.25">
      <c r="A2322" s="13"/>
      <c r="B2322" s="13"/>
    </row>
    <row r="2323" spans="1:2" ht="15.75" customHeight="1" x14ac:dyDescent="0.25">
      <c r="A2323" s="13"/>
      <c r="B2323" s="13"/>
    </row>
    <row r="2324" spans="1:2" ht="15.75" customHeight="1" x14ac:dyDescent="0.25">
      <c r="A2324" s="13"/>
      <c r="B2324" s="13"/>
    </row>
    <row r="2325" spans="1:2" ht="15.75" customHeight="1" x14ac:dyDescent="0.25">
      <c r="A2325" s="13"/>
      <c r="B2325" s="13"/>
    </row>
    <row r="2326" spans="1:2" ht="15.75" customHeight="1" x14ac:dyDescent="0.25">
      <c r="A2326" s="13"/>
      <c r="B2326" s="13"/>
    </row>
    <row r="2327" spans="1:2" ht="15.75" customHeight="1" x14ac:dyDescent="0.25">
      <c r="A2327" s="13"/>
      <c r="B2327" s="13"/>
    </row>
    <row r="2328" spans="1:2" ht="15.75" customHeight="1" x14ac:dyDescent="0.25">
      <c r="A2328" s="13"/>
      <c r="B2328" s="13"/>
    </row>
    <row r="2329" spans="1:2" ht="15.75" customHeight="1" x14ac:dyDescent="0.25">
      <c r="A2329" s="13"/>
      <c r="B2329" s="13"/>
    </row>
    <row r="2330" spans="1:2" ht="15.75" customHeight="1" x14ac:dyDescent="0.25">
      <c r="A2330" s="13"/>
      <c r="B2330" s="13"/>
    </row>
    <row r="2331" spans="1:2" ht="15.75" customHeight="1" x14ac:dyDescent="0.25">
      <c r="A2331" s="13"/>
      <c r="B2331" s="13"/>
    </row>
    <row r="2332" spans="1:2" ht="15.75" customHeight="1" x14ac:dyDescent="0.25">
      <c r="A2332" s="13"/>
      <c r="B2332" s="13"/>
    </row>
    <row r="2333" spans="1:2" ht="15.75" customHeight="1" x14ac:dyDescent="0.25">
      <c r="A2333" s="13"/>
      <c r="B2333" s="13"/>
    </row>
    <row r="2334" spans="1:2" ht="15.75" customHeight="1" x14ac:dyDescent="0.25">
      <c r="A2334" s="13"/>
      <c r="B2334" s="13"/>
    </row>
    <row r="2335" spans="1:2" ht="15.75" customHeight="1" x14ac:dyDescent="0.25">
      <c r="A2335" s="13"/>
      <c r="B2335" s="13"/>
    </row>
    <row r="2336" spans="1:2" ht="15.75" customHeight="1" x14ac:dyDescent="0.25">
      <c r="A2336" s="13"/>
      <c r="B2336" s="13"/>
    </row>
    <row r="2337" spans="1:2" ht="15.75" customHeight="1" x14ac:dyDescent="0.25">
      <c r="A2337" s="13"/>
      <c r="B2337" s="13"/>
    </row>
    <row r="2338" spans="1:2" ht="15.75" customHeight="1" x14ac:dyDescent="0.25">
      <c r="A2338" s="13"/>
      <c r="B2338" s="13"/>
    </row>
    <row r="2339" spans="1:2" ht="15.75" customHeight="1" x14ac:dyDescent="0.25">
      <c r="A2339" s="13"/>
      <c r="B2339" s="13"/>
    </row>
    <row r="2340" spans="1:2" ht="15.75" customHeight="1" x14ac:dyDescent="0.25">
      <c r="A2340" s="13"/>
      <c r="B2340" s="13"/>
    </row>
    <row r="2341" spans="1:2" ht="15.75" customHeight="1" x14ac:dyDescent="0.25">
      <c r="A2341" s="13"/>
      <c r="B2341" s="13"/>
    </row>
    <row r="2342" spans="1:2" ht="15.75" customHeight="1" x14ac:dyDescent="0.25">
      <c r="A2342" s="13"/>
      <c r="B2342" s="13"/>
    </row>
    <row r="2343" spans="1:2" ht="15.75" customHeight="1" x14ac:dyDescent="0.25">
      <c r="A2343" s="13"/>
      <c r="B2343" s="13"/>
    </row>
    <row r="2344" spans="1:2" ht="15.75" customHeight="1" x14ac:dyDescent="0.25">
      <c r="A2344" s="13"/>
      <c r="B2344" s="13"/>
    </row>
    <row r="2345" spans="1:2" ht="15.75" customHeight="1" x14ac:dyDescent="0.25">
      <c r="A2345" s="13"/>
      <c r="B2345" s="13"/>
    </row>
    <row r="2346" spans="1:2" ht="15.75" customHeight="1" x14ac:dyDescent="0.25">
      <c r="A2346" s="13"/>
      <c r="B2346" s="13"/>
    </row>
    <row r="2347" spans="1:2" ht="15.75" customHeight="1" x14ac:dyDescent="0.25">
      <c r="A2347" s="13"/>
      <c r="B2347" s="13"/>
    </row>
    <row r="2348" spans="1:2" ht="15.75" customHeight="1" x14ac:dyDescent="0.25">
      <c r="A2348" s="13"/>
      <c r="B2348" s="13"/>
    </row>
    <row r="2349" spans="1:2" ht="15.75" customHeight="1" x14ac:dyDescent="0.25">
      <c r="A2349" s="13"/>
      <c r="B2349" s="13"/>
    </row>
    <row r="2350" spans="1:2" ht="15.75" customHeight="1" x14ac:dyDescent="0.25">
      <c r="A2350" s="13"/>
      <c r="B2350" s="13"/>
    </row>
    <row r="2351" spans="1:2" ht="15.75" customHeight="1" x14ac:dyDescent="0.25">
      <c r="A2351" s="13"/>
      <c r="B2351" s="13"/>
    </row>
    <row r="2352" spans="1:2" ht="15.75" customHeight="1" x14ac:dyDescent="0.25">
      <c r="A2352" s="13"/>
      <c r="B2352" s="13"/>
    </row>
    <row r="2353" spans="1:2" ht="15.75" customHeight="1" x14ac:dyDescent="0.25">
      <c r="A2353" s="13"/>
      <c r="B2353" s="13"/>
    </row>
    <row r="2354" spans="1:2" ht="15.75" customHeight="1" x14ac:dyDescent="0.25">
      <c r="A2354" s="13"/>
      <c r="B2354" s="13"/>
    </row>
    <row r="2355" spans="1:2" ht="15.75" customHeight="1" x14ac:dyDescent="0.25">
      <c r="A2355" s="13"/>
      <c r="B2355" s="13"/>
    </row>
    <row r="2356" spans="1:2" ht="15.75" customHeight="1" x14ac:dyDescent="0.25">
      <c r="A2356" s="13"/>
      <c r="B2356" s="13"/>
    </row>
    <row r="2357" spans="1:2" ht="15.75" customHeight="1" x14ac:dyDescent="0.25">
      <c r="A2357" s="13"/>
      <c r="B2357" s="13"/>
    </row>
    <row r="2358" spans="1:2" ht="15.75" customHeight="1" x14ac:dyDescent="0.25">
      <c r="A2358" s="13"/>
      <c r="B2358" s="13"/>
    </row>
    <row r="2359" spans="1:2" ht="15.75" customHeight="1" x14ac:dyDescent="0.25">
      <c r="A2359" s="13"/>
      <c r="B2359" s="13"/>
    </row>
    <row r="2360" spans="1:2" ht="15.75" customHeight="1" x14ac:dyDescent="0.25">
      <c r="A2360" s="13"/>
      <c r="B2360" s="13"/>
    </row>
    <row r="2361" spans="1:2" ht="15.75" customHeight="1" x14ac:dyDescent="0.25">
      <c r="A2361" s="13"/>
      <c r="B2361" s="13"/>
    </row>
    <row r="2362" spans="1:2" ht="15.75" customHeight="1" x14ac:dyDescent="0.25">
      <c r="A2362" s="13"/>
      <c r="B2362" s="13"/>
    </row>
    <row r="2363" spans="1:2" ht="15.75" customHeight="1" x14ac:dyDescent="0.25">
      <c r="A2363" s="13"/>
      <c r="B2363" s="13"/>
    </row>
    <row r="2364" spans="1:2" ht="15.75" customHeight="1" x14ac:dyDescent="0.25">
      <c r="A2364" s="13"/>
      <c r="B2364" s="13"/>
    </row>
    <row r="2365" spans="1:2" ht="15.75" customHeight="1" x14ac:dyDescent="0.25">
      <c r="A2365" s="13"/>
      <c r="B2365" s="13"/>
    </row>
    <row r="2366" spans="1:2" ht="15.75" customHeight="1" x14ac:dyDescent="0.25">
      <c r="A2366" s="13"/>
      <c r="B2366" s="13"/>
    </row>
    <row r="2367" spans="1:2" ht="15.75" customHeight="1" x14ac:dyDescent="0.25">
      <c r="A2367" s="13"/>
      <c r="B2367" s="13"/>
    </row>
    <row r="2368" spans="1:2" ht="15.75" customHeight="1" x14ac:dyDescent="0.25">
      <c r="A2368" s="13"/>
      <c r="B2368" s="13"/>
    </row>
    <row r="2369" spans="1:2" ht="15.75" customHeight="1" x14ac:dyDescent="0.25">
      <c r="A2369" s="13"/>
      <c r="B2369" s="13"/>
    </row>
    <row r="2370" spans="1:2" ht="15.75" customHeight="1" x14ac:dyDescent="0.25">
      <c r="A2370" s="13"/>
      <c r="B2370" s="13"/>
    </row>
    <row r="2371" spans="1:2" ht="15.75" customHeight="1" x14ac:dyDescent="0.25">
      <c r="A2371" s="13"/>
      <c r="B2371" s="13"/>
    </row>
    <row r="2372" spans="1:2" ht="15.75" customHeight="1" x14ac:dyDescent="0.25">
      <c r="A2372" s="13"/>
      <c r="B2372" s="13"/>
    </row>
    <row r="2373" spans="1:2" ht="15.75" customHeight="1" x14ac:dyDescent="0.25">
      <c r="A2373" s="13"/>
      <c r="B2373" s="13"/>
    </row>
    <row r="2374" spans="1:2" ht="15.75" customHeight="1" x14ac:dyDescent="0.25">
      <c r="A2374" s="13"/>
      <c r="B2374" s="13"/>
    </row>
    <row r="2375" spans="1:2" ht="15.75" customHeight="1" x14ac:dyDescent="0.25">
      <c r="A2375" s="13"/>
      <c r="B2375" s="13"/>
    </row>
    <row r="2376" spans="1:2" ht="15.75" customHeight="1" x14ac:dyDescent="0.25">
      <c r="A2376" s="13"/>
      <c r="B2376" s="13"/>
    </row>
    <row r="2377" spans="1:2" ht="15.75" customHeight="1" x14ac:dyDescent="0.25">
      <c r="A2377" s="13"/>
      <c r="B2377" s="13"/>
    </row>
    <row r="2378" spans="1:2" ht="15.75" customHeight="1" x14ac:dyDescent="0.25">
      <c r="A2378" s="13"/>
      <c r="B2378" s="13"/>
    </row>
    <row r="2379" spans="1:2" ht="15.75" customHeight="1" x14ac:dyDescent="0.25">
      <c r="A2379" s="13"/>
      <c r="B2379" s="13"/>
    </row>
    <row r="2380" spans="1:2" ht="15.75" customHeight="1" x14ac:dyDescent="0.25">
      <c r="A2380" s="13"/>
      <c r="B2380" s="13"/>
    </row>
    <row r="2381" spans="1:2" ht="15.75" customHeight="1" x14ac:dyDescent="0.25">
      <c r="A2381" s="13"/>
      <c r="B2381" s="13"/>
    </row>
    <row r="2382" spans="1:2" ht="15.75" customHeight="1" x14ac:dyDescent="0.25">
      <c r="A2382" s="13"/>
      <c r="B2382" s="13"/>
    </row>
    <row r="2383" spans="1:2" ht="15.75" customHeight="1" x14ac:dyDescent="0.25">
      <c r="A2383" s="13"/>
      <c r="B2383" s="13"/>
    </row>
    <row r="2384" spans="1:2" ht="15.75" customHeight="1" x14ac:dyDescent="0.25">
      <c r="A2384" s="13"/>
      <c r="B2384" s="13"/>
    </row>
    <row r="2385" spans="1:2" ht="15.75" customHeight="1" x14ac:dyDescent="0.25">
      <c r="A2385" s="13"/>
      <c r="B2385" s="13"/>
    </row>
    <row r="2386" spans="1:2" ht="15.75" customHeight="1" x14ac:dyDescent="0.25">
      <c r="A2386" s="13"/>
      <c r="B2386" s="13"/>
    </row>
    <row r="2387" spans="1:2" ht="15.75" customHeight="1" x14ac:dyDescent="0.25">
      <c r="A2387" s="13"/>
      <c r="B2387" s="13"/>
    </row>
    <row r="2388" spans="1:2" ht="15.75" customHeight="1" x14ac:dyDescent="0.25">
      <c r="A2388" s="13"/>
      <c r="B2388" s="13"/>
    </row>
    <row r="2389" spans="1:2" ht="15.75" customHeight="1" x14ac:dyDescent="0.25">
      <c r="A2389" s="13"/>
      <c r="B2389" s="13"/>
    </row>
    <row r="2390" spans="1:2" ht="15.75" customHeight="1" x14ac:dyDescent="0.25">
      <c r="A2390" s="13"/>
      <c r="B2390" s="13"/>
    </row>
    <row r="2391" spans="1:2" ht="15.75" customHeight="1" x14ac:dyDescent="0.25">
      <c r="A2391" s="13"/>
      <c r="B2391" s="13"/>
    </row>
    <row r="2392" spans="1:2" ht="15.75" customHeight="1" x14ac:dyDescent="0.25">
      <c r="A2392" s="13"/>
      <c r="B2392" s="13"/>
    </row>
    <row r="2393" spans="1:2" ht="15.75" customHeight="1" x14ac:dyDescent="0.25">
      <c r="A2393" s="13"/>
      <c r="B2393" s="13"/>
    </row>
    <row r="2394" spans="1:2" ht="15.75" customHeight="1" x14ac:dyDescent="0.25">
      <c r="A2394" s="13"/>
      <c r="B2394" s="13"/>
    </row>
    <row r="2395" spans="1:2" ht="15.75" customHeight="1" x14ac:dyDescent="0.25">
      <c r="A2395" s="13"/>
      <c r="B2395" s="13"/>
    </row>
    <row r="2396" spans="1:2" ht="15.75" customHeight="1" x14ac:dyDescent="0.25">
      <c r="A2396" s="13"/>
      <c r="B2396" s="13"/>
    </row>
    <row r="2397" spans="1:2" ht="15.75" customHeight="1" x14ac:dyDescent="0.25">
      <c r="A2397" s="13"/>
      <c r="B2397" s="13"/>
    </row>
    <row r="2398" spans="1:2" ht="15.75" customHeight="1" x14ac:dyDescent="0.25">
      <c r="A2398" s="13"/>
      <c r="B2398" s="13"/>
    </row>
    <row r="2399" spans="1:2" ht="15.75" customHeight="1" x14ac:dyDescent="0.25">
      <c r="A2399" s="13"/>
      <c r="B2399" s="13"/>
    </row>
    <row r="2400" spans="1:2" ht="15.75" customHeight="1" x14ac:dyDescent="0.25">
      <c r="A2400" s="13"/>
      <c r="B2400" s="13"/>
    </row>
    <row r="2401" spans="1:2" ht="15.75" customHeight="1" x14ac:dyDescent="0.25">
      <c r="A2401" s="13"/>
      <c r="B2401" s="13"/>
    </row>
    <row r="2402" spans="1:2" ht="15.75" customHeight="1" x14ac:dyDescent="0.25">
      <c r="A2402" s="13"/>
      <c r="B2402" s="13"/>
    </row>
    <row r="2403" spans="1:2" ht="15.75" customHeight="1" x14ac:dyDescent="0.25">
      <c r="A2403" s="13"/>
      <c r="B2403" s="13"/>
    </row>
    <row r="2404" spans="1:2" ht="15.75" customHeight="1" x14ac:dyDescent="0.25">
      <c r="A2404" s="13"/>
      <c r="B2404" s="13"/>
    </row>
    <row r="2405" spans="1:2" ht="15.75" customHeight="1" x14ac:dyDescent="0.25">
      <c r="A2405" s="13"/>
      <c r="B2405" s="13"/>
    </row>
    <row r="2406" spans="1:2" ht="15.75" customHeight="1" x14ac:dyDescent="0.25">
      <c r="A2406" s="13"/>
      <c r="B2406" s="13"/>
    </row>
    <row r="2407" spans="1:2" ht="15.75" customHeight="1" x14ac:dyDescent="0.25">
      <c r="A2407" s="13"/>
      <c r="B2407" s="13"/>
    </row>
    <row r="2408" spans="1:2" ht="15.75" customHeight="1" x14ac:dyDescent="0.25">
      <c r="A2408" s="13"/>
      <c r="B2408" s="13"/>
    </row>
    <row r="2409" spans="1:2" ht="15.75" customHeight="1" x14ac:dyDescent="0.25">
      <c r="A2409" s="13"/>
      <c r="B2409" s="13"/>
    </row>
    <row r="2410" spans="1:2" ht="15.75" customHeight="1" x14ac:dyDescent="0.25">
      <c r="A2410" s="13"/>
      <c r="B2410" s="13"/>
    </row>
    <row r="2411" spans="1:2" ht="15.75" customHeight="1" x14ac:dyDescent="0.25">
      <c r="A2411" s="13"/>
      <c r="B2411" s="13"/>
    </row>
    <row r="2412" spans="1:2" ht="15.75" customHeight="1" x14ac:dyDescent="0.25">
      <c r="A2412" s="13"/>
      <c r="B2412" s="13"/>
    </row>
    <row r="2413" spans="1:2" ht="15.75" customHeight="1" x14ac:dyDescent="0.25">
      <c r="A2413" s="13"/>
      <c r="B2413" s="13"/>
    </row>
    <row r="2414" spans="1:2" ht="15.75" customHeight="1" x14ac:dyDescent="0.25">
      <c r="A2414" s="13"/>
      <c r="B2414" s="13"/>
    </row>
    <row r="2415" spans="1:2" ht="15.75" customHeight="1" x14ac:dyDescent="0.25">
      <c r="A2415" s="13"/>
      <c r="B2415" s="13"/>
    </row>
    <row r="2416" spans="1:2" ht="15.75" customHeight="1" x14ac:dyDescent="0.25">
      <c r="A2416" s="13"/>
      <c r="B2416" s="13"/>
    </row>
    <row r="2417" spans="1:2" ht="15.75" customHeight="1" x14ac:dyDescent="0.25">
      <c r="A2417" s="13"/>
      <c r="B2417" s="13"/>
    </row>
    <row r="2418" spans="1:2" ht="15.75" customHeight="1" x14ac:dyDescent="0.25">
      <c r="A2418" s="13"/>
      <c r="B2418" s="13"/>
    </row>
    <row r="2419" spans="1:2" ht="15.75" customHeight="1" x14ac:dyDescent="0.25">
      <c r="A2419" s="13"/>
      <c r="B2419" s="13"/>
    </row>
    <row r="2420" spans="1:2" ht="15.75" customHeight="1" x14ac:dyDescent="0.25">
      <c r="A2420" s="13"/>
      <c r="B2420" s="13"/>
    </row>
    <row r="2421" spans="1:2" ht="15.75" customHeight="1" x14ac:dyDescent="0.25">
      <c r="A2421" s="13"/>
      <c r="B2421" s="13"/>
    </row>
    <row r="2422" spans="1:2" ht="15.75" customHeight="1" x14ac:dyDescent="0.25">
      <c r="A2422" s="13"/>
      <c r="B2422" s="13"/>
    </row>
    <row r="2423" spans="1:2" ht="15.75" customHeight="1" x14ac:dyDescent="0.25">
      <c r="A2423" s="13"/>
      <c r="B2423" s="13"/>
    </row>
    <row r="2424" spans="1:2" ht="15.75" customHeight="1" x14ac:dyDescent="0.25">
      <c r="A2424" s="13"/>
      <c r="B2424" s="13"/>
    </row>
    <row r="2425" spans="1:2" ht="15.75" customHeight="1" x14ac:dyDescent="0.25">
      <c r="A2425" s="13"/>
      <c r="B2425" s="13"/>
    </row>
    <row r="2426" spans="1:2" ht="15.75" customHeight="1" x14ac:dyDescent="0.25">
      <c r="A2426" s="13"/>
      <c r="B2426" s="13"/>
    </row>
    <row r="2427" spans="1:2" ht="15.75" customHeight="1" x14ac:dyDescent="0.25">
      <c r="A2427" s="13"/>
      <c r="B2427" s="13"/>
    </row>
    <row r="2428" spans="1:2" ht="15.75" customHeight="1" x14ac:dyDescent="0.25">
      <c r="A2428" s="13"/>
      <c r="B2428" s="13"/>
    </row>
    <row r="2429" spans="1:2" ht="15.75" customHeight="1" x14ac:dyDescent="0.25">
      <c r="A2429" s="13"/>
      <c r="B2429" s="13"/>
    </row>
    <row r="2430" spans="1:2" ht="15.75" customHeight="1" x14ac:dyDescent="0.25">
      <c r="A2430" s="13"/>
      <c r="B2430" s="13"/>
    </row>
    <row r="2431" spans="1:2" ht="15.75" customHeight="1" x14ac:dyDescent="0.25">
      <c r="A2431" s="13"/>
      <c r="B2431" s="13"/>
    </row>
    <row r="2432" spans="1:2" ht="15.75" customHeight="1" x14ac:dyDescent="0.25">
      <c r="A2432" s="13"/>
      <c r="B2432" s="13"/>
    </row>
    <row r="2433" spans="1:2" ht="15.75" customHeight="1" x14ac:dyDescent="0.25">
      <c r="A2433" s="13"/>
      <c r="B2433" s="13"/>
    </row>
    <row r="2434" spans="1:2" ht="15.75" customHeight="1" x14ac:dyDescent="0.25">
      <c r="A2434" s="13"/>
      <c r="B2434" s="13"/>
    </row>
    <row r="2435" spans="1:2" ht="15.75" customHeight="1" x14ac:dyDescent="0.25">
      <c r="A2435" s="13"/>
      <c r="B2435" s="13"/>
    </row>
    <row r="2436" spans="1:2" ht="15.75" customHeight="1" x14ac:dyDescent="0.25">
      <c r="A2436" s="13"/>
      <c r="B2436" s="13"/>
    </row>
    <row r="2437" spans="1:2" ht="15.75" customHeight="1" x14ac:dyDescent="0.25">
      <c r="A2437" s="13"/>
      <c r="B2437" s="13"/>
    </row>
    <row r="2438" spans="1:2" ht="15.75" customHeight="1" x14ac:dyDescent="0.25">
      <c r="A2438" s="13"/>
      <c r="B2438" s="13"/>
    </row>
    <row r="2439" spans="1:2" ht="15.75" customHeight="1" x14ac:dyDescent="0.25">
      <c r="A2439" s="13"/>
      <c r="B2439" s="13"/>
    </row>
    <row r="2440" spans="1:2" ht="15.75" customHeight="1" x14ac:dyDescent="0.25">
      <c r="A2440" s="13"/>
      <c r="B2440" s="13"/>
    </row>
    <row r="2441" spans="1:2" ht="15.75" customHeight="1" x14ac:dyDescent="0.25">
      <c r="A2441" s="13"/>
      <c r="B2441" s="13"/>
    </row>
    <row r="2442" spans="1:2" ht="15.75" customHeight="1" x14ac:dyDescent="0.25">
      <c r="A2442" s="13"/>
      <c r="B2442" s="13"/>
    </row>
    <row r="2443" spans="1:2" ht="15.75" customHeight="1" x14ac:dyDescent="0.25">
      <c r="A2443" s="13"/>
      <c r="B2443" s="13"/>
    </row>
    <row r="2444" spans="1:2" ht="15.75" customHeight="1" x14ac:dyDescent="0.25">
      <c r="A2444" s="13"/>
      <c r="B2444" s="13"/>
    </row>
    <row r="2445" spans="1:2" ht="15.75" customHeight="1" x14ac:dyDescent="0.25">
      <c r="A2445" s="13"/>
      <c r="B2445" s="13"/>
    </row>
    <row r="2446" spans="1:2" ht="15.75" customHeight="1" x14ac:dyDescent="0.25">
      <c r="A2446" s="13"/>
      <c r="B2446" s="13"/>
    </row>
    <row r="2447" spans="1:2" ht="15.75" customHeight="1" x14ac:dyDescent="0.25">
      <c r="A2447" s="13"/>
      <c r="B2447" s="13"/>
    </row>
    <row r="2448" spans="1:2" ht="15.75" customHeight="1" x14ac:dyDescent="0.25">
      <c r="A2448" s="13"/>
      <c r="B2448" s="13"/>
    </row>
    <row r="2449" spans="1:2" ht="15.75" customHeight="1" x14ac:dyDescent="0.25">
      <c r="A2449" s="13"/>
      <c r="B2449" s="13"/>
    </row>
    <row r="2450" spans="1:2" ht="15.75" customHeight="1" x14ac:dyDescent="0.25">
      <c r="A2450" s="13"/>
      <c r="B2450" s="13"/>
    </row>
    <row r="2451" spans="1:2" ht="15.75" customHeight="1" x14ac:dyDescent="0.25">
      <c r="A2451" s="13"/>
      <c r="B2451" s="13"/>
    </row>
    <row r="2452" spans="1:2" ht="15.75" customHeight="1" x14ac:dyDescent="0.25">
      <c r="A2452" s="13"/>
      <c r="B2452" s="13"/>
    </row>
    <row r="2453" spans="1:2" ht="15.75" customHeight="1" x14ac:dyDescent="0.25">
      <c r="A2453" s="13"/>
      <c r="B2453" s="13"/>
    </row>
    <row r="2454" spans="1:2" ht="15.75" customHeight="1" x14ac:dyDescent="0.25">
      <c r="A2454" s="13"/>
      <c r="B2454" s="13"/>
    </row>
    <row r="2455" spans="1:2" ht="15.75" customHeight="1" x14ac:dyDescent="0.25">
      <c r="A2455" s="13"/>
      <c r="B2455" s="13"/>
    </row>
    <row r="2456" spans="1:2" ht="15.75" customHeight="1" x14ac:dyDescent="0.25">
      <c r="A2456" s="13"/>
      <c r="B2456" s="13"/>
    </row>
    <row r="2457" spans="1:2" ht="15.75" customHeight="1" x14ac:dyDescent="0.25">
      <c r="A2457" s="13"/>
      <c r="B2457" s="13"/>
    </row>
    <row r="2458" spans="1:2" ht="15.75" customHeight="1" x14ac:dyDescent="0.25">
      <c r="A2458" s="13"/>
      <c r="B2458" s="13"/>
    </row>
    <row r="2459" spans="1:2" ht="15.75" customHeight="1" x14ac:dyDescent="0.25">
      <c r="A2459" s="13"/>
      <c r="B2459" s="13"/>
    </row>
    <row r="2460" spans="1:2" ht="15.75" customHeight="1" x14ac:dyDescent="0.25">
      <c r="A2460" s="13"/>
      <c r="B2460" s="13"/>
    </row>
    <row r="2461" spans="1:2" ht="15.75" customHeight="1" x14ac:dyDescent="0.25">
      <c r="A2461" s="13"/>
      <c r="B2461" s="13"/>
    </row>
    <row r="2462" spans="1:2" ht="15.75" customHeight="1" x14ac:dyDescent="0.25">
      <c r="A2462" s="13"/>
      <c r="B2462" s="13"/>
    </row>
    <row r="2463" spans="1:2" ht="15.75" customHeight="1" x14ac:dyDescent="0.25">
      <c r="A2463" s="13"/>
      <c r="B2463" s="13"/>
    </row>
    <row r="2464" spans="1:2" ht="15.75" customHeight="1" x14ac:dyDescent="0.25">
      <c r="A2464" s="13"/>
      <c r="B2464" s="13"/>
    </row>
    <row r="2465" spans="1:2" ht="15.75" customHeight="1" x14ac:dyDescent="0.25">
      <c r="A2465" s="13"/>
      <c r="B2465" s="13"/>
    </row>
    <row r="2466" spans="1:2" ht="15.75" customHeight="1" x14ac:dyDescent="0.25">
      <c r="A2466" s="13"/>
      <c r="B2466" s="13"/>
    </row>
    <row r="2467" spans="1:2" ht="15.75" customHeight="1" x14ac:dyDescent="0.25">
      <c r="A2467" s="13"/>
      <c r="B2467" s="13"/>
    </row>
    <row r="2468" spans="1:2" ht="15.75" customHeight="1" x14ac:dyDescent="0.25">
      <c r="A2468" s="13"/>
      <c r="B2468" s="13"/>
    </row>
    <row r="2469" spans="1:2" ht="15.75" customHeight="1" x14ac:dyDescent="0.25">
      <c r="A2469" s="13"/>
      <c r="B2469" s="13"/>
    </row>
    <row r="2470" spans="1:2" ht="15.75" customHeight="1" x14ac:dyDescent="0.25">
      <c r="A2470" s="13"/>
      <c r="B2470" s="13"/>
    </row>
    <row r="2471" spans="1:2" ht="15.75" customHeight="1" x14ac:dyDescent="0.25">
      <c r="A2471" s="13"/>
      <c r="B2471" s="13"/>
    </row>
    <row r="2472" spans="1:2" ht="15.75" customHeight="1" x14ac:dyDescent="0.25">
      <c r="A2472" s="13"/>
      <c r="B2472" s="13"/>
    </row>
    <row r="2473" spans="1:2" ht="15.75" customHeight="1" x14ac:dyDescent="0.25">
      <c r="A2473" s="13"/>
      <c r="B2473" s="13"/>
    </row>
    <row r="2474" spans="1:2" ht="15.75" customHeight="1" x14ac:dyDescent="0.25">
      <c r="A2474" s="13"/>
      <c r="B2474" s="13"/>
    </row>
    <row r="2475" spans="1:2" ht="15.75" customHeight="1" x14ac:dyDescent="0.25">
      <c r="A2475" s="13"/>
      <c r="B2475" s="13"/>
    </row>
    <row r="2476" spans="1:2" ht="15.75" customHeight="1" x14ac:dyDescent="0.25">
      <c r="A2476" s="13"/>
      <c r="B2476" s="13"/>
    </row>
    <row r="2477" spans="1:2" ht="15.75" customHeight="1" x14ac:dyDescent="0.25">
      <c r="A2477" s="13"/>
      <c r="B2477" s="13"/>
    </row>
    <row r="2478" spans="1:2" ht="15.75" customHeight="1" x14ac:dyDescent="0.25">
      <c r="A2478" s="13"/>
      <c r="B2478" s="13"/>
    </row>
    <row r="2479" spans="1:2" ht="15.75" customHeight="1" x14ac:dyDescent="0.25">
      <c r="A2479" s="13"/>
      <c r="B2479" s="13"/>
    </row>
    <row r="2480" spans="1:2" ht="15.75" customHeight="1" x14ac:dyDescent="0.25">
      <c r="A2480" s="13"/>
      <c r="B2480" s="13"/>
    </row>
    <row r="2481" spans="1:2" ht="15.75" customHeight="1" x14ac:dyDescent="0.25">
      <c r="A2481" s="13"/>
      <c r="B2481" s="13"/>
    </row>
    <row r="2482" spans="1:2" ht="15.75" customHeight="1" x14ac:dyDescent="0.25">
      <c r="A2482" s="13"/>
      <c r="B2482" s="13"/>
    </row>
    <row r="2483" spans="1:2" ht="15.75" customHeight="1" x14ac:dyDescent="0.25">
      <c r="A2483" s="13"/>
      <c r="B2483" s="13"/>
    </row>
    <row r="2484" spans="1:2" ht="15.75" customHeight="1" x14ac:dyDescent="0.25">
      <c r="A2484" s="13"/>
      <c r="B2484" s="13"/>
    </row>
    <row r="2485" spans="1:2" ht="15.75" customHeight="1" x14ac:dyDescent="0.25">
      <c r="A2485" s="13"/>
      <c r="B2485" s="13"/>
    </row>
    <row r="2486" spans="1:2" ht="15.75" customHeight="1" x14ac:dyDescent="0.25">
      <c r="A2486" s="13"/>
      <c r="B2486" s="13"/>
    </row>
    <row r="2487" spans="1:2" ht="15.75" customHeight="1" x14ac:dyDescent="0.25">
      <c r="A2487" s="13"/>
      <c r="B2487" s="13"/>
    </row>
    <row r="2488" spans="1:2" ht="15.75" customHeight="1" x14ac:dyDescent="0.25">
      <c r="A2488" s="13"/>
      <c r="B2488" s="13"/>
    </row>
    <row r="2489" spans="1:2" ht="15.75" customHeight="1" x14ac:dyDescent="0.25">
      <c r="A2489" s="13"/>
      <c r="B2489" s="13"/>
    </row>
    <row r="2490" spans="1:2" ht="15.75" customHeight="1" x14ac:dyDescent="0.25">
      <c r="A2490" s="13"/>
      <c r="B2490" s="13"/>
    </row>
    <row r="2491" spans="1:2" ht="15.75" customHeight="1" x14ac:dyDescent="0.25">
      <c r="A2491" s="13"/>
      <c r="B2491" s="13"/>
    </row>
    <row r="2492" spans="1:2" ht="15.75" customHeight="1" x14ac:dyDescent="0.25">
      <c r="A2492" s="13"/>
      <c r="B2492" s="13"/>
    </row>
    <row r="2493" spans="1:2" ht="15.75" customHeight="1" x14ac:dyDescent="0.25">
      <c r="A2493" s="13"/>
      <c r="B2493" s="13"/>
    </row>
    <row r="2494" spans="1:2" ht="15.75" customHeight="1" x14ac:dyDescent="0.25">
      <c r="A2494" s="13"/>
      <c r="B2494" s="13"/>
    </row>
    <row r="2495" spans="1:2" ht="15.75" customHeight="1" x14ac:dyDescent="0.25">
      <c r="A2495" s="13"/>
      <c r="B2495" s="13"/>
    </row>
    <row r="2496" spans="1:2" ht="15.75" customHeight="1" x14ac:dyDescent="0.25">
      <c r="A2496" s="13"/>
      <c r="B2496" s="13"/>
    </row>
    <row r="2497" spans="1:2" ht="15.75" customHeight="1" x14ac:dyDescent="0.25">
      <c r="A2497" s="13"/>
      <c r="B2497" s="13"/>
    </row>
    <row r="2498" spans="1:2" ht="15.75" customHeight="1" x14ac:dyDescent="0.25">
      <c r="A2498" s="13"/>
      <c r="B2498" s="13"/>
    </row>
    <row r="2499" spans="1:2" ht="15.75" customHeight="1" x14ac:dyDescent="0.25">
      <c r="A2499" s="13"/>
      <c r="B2499" s="13"/>
    </row>
    <row r="2500" spans="1:2" ht="15.75" customHeight="1" x14ac:dyDescent="0.25">
      <c r="A2500" s="13"/>
      <c r="B2500" s="13"/>
    </row>
    <row r="2501" spans="1:2" ht="15.75" customHeight="1" x14ac:dyDescent="0.25">
      <c r="A2501" s="13"/>
      <c r="B2501" s="13"/>
    </row>
    <row r="2502" spans="1:2" ht="15.75" customHeight="1" x14ac:dyDescent="0.25">
      <c r="A2502" s="13"/>
      <c r="B2502" s="13"/>
    </row>
    <row r="2503" spans="1:2" ht="15.75" customHeight="1" x14ac:dyDescent="0.25">
      <c r="A2503" s="13"/>
      <c r="B2503" s="13"/>
    </row>
    <row r="2504" spans="1:2" ht="15.75" customHeight="1" x14ac:dyDescent="0.25">
      <c r="A2504" s="13"/>
      <c r="B2504" s="13"/>
    </row>
    <row r="2505" spans="1:2" ht="15.75" customHeight="1" x14ac:dyDescent="0.25">
      <c r="A2505" s="13"/>
      <c r="B2505" s="13"/>
    </row>
    <row r="2506" spans="1:2" ht="15.75" customHeight="1" x14ac:dyDescent="0.25">
      <c r="A2506" s="13"/>
      <c r="B2506" s="13"/>
    </row>
    <row r="2507" spans="1:2" ht="15.75" customHeight="1" x14ac:dyDescent="0.25">
      <c r="A2507" s="13"/>
      <c r="B2507" s="13"/>
    </row>
    <row r="2508" spans="1:2" ht="15.75" customHeight="1" x14ac:dyDescent="0.25">
      <c r="A2508" s="13"/>
      <c r="B2508" s="13"/>
    </row>
    <row r="2509" spans="1:2" ht="15.75" customHeight="1" x14ac:dyDescent="0.25">
      <c r="A2509" s="13"/>
      <c r="B2509" s="13"/>
    </row>
    <row r="2510" spans="1:2" ht="15.75" customHeight="1" x14ac:dyDescent="0.25">
      <c r="A2510" s="13"/>
      <c r="B2510" s="13"/>
    </row>
    <row r="2511" spans="1:2" ht="15.75" customHeight="1" x14ac:dyDescent="0.25">
      <c r="A2511" s="13"/>
      <c r="B2511" s="13"/>
    </row>
    <row r="2512" spans="1:2" ht="15.75" customHeight="1" x14ac:dyDescent="0.25">
      <c r="A2512" s="13"/>
      <c r="B2512" s="13"/>
    </row>
    <row r="2513" spans="1:2" ht="15.75" customHeight="1" x14ac:dyDescent="0.25">
      <c r="A2513" s="13"/>
      <c r="B2513" s="13"/>
    </row>
    <row r="2514" spans="1:2" ht="15.75" customHeight="1" x14ac:dyDescent="0.25">
      <c r="A2514" s="13"/>
      <c r="B2514" s="13"/>
    </row>
    <row r="2515" spans="1:2" ht="15.75" customHeight="1" x14ac:dyDescent="0.25">
      <c r="A2515" s="13"/>
      <c r="B2515" s="13"/>
    </row>
    <row r="2516" spans="1:2" ht="15.75" customHeight="1" x14ac:dyDescent="0.25">
      <c r="A2516" s="13"/>
      <c r="B2516" s="13"/>
    </row>
    <row r="2517" spans="1:2" ht="15.75" customHeight="1" x14ac:dyDescent="0.25">
      <c r="A2517" s="13"/>
      <c r="B2517" s="13"/>
    </row>
    <row r="2518" spans="1:2" ht="15.75" customHeight="1" x14ac:dyDescent="0.25">
      <c r="A2518" s="13"/>
      <c r="B2518" s="13"/>
    </row>
    <row r="2519" spans="1:2" ht="15.75" customHeight="1" x14ac:dyDescent="0.25">
      <c r="A2519" s="13"/>
      <c r="B2519" s="13"/>
    </row>
    <row r="2520" spans="1:2" ht="15.75" customHeight="1" x14ac:dyDescent="0.25">
      <c r="A2520" s="13"/>
      <c r="B2520" s="13"/>
    </row>
    <row r="2521" spans="1:2" ht="15.75" customHeight="1" x14ac:dyDescent="0.25">
      <c r="A2521" s="13"/>
      <c r="B2521" s="13"/>
    </row>
    <row r="2522" spans="1:2" ht="15.75" customHeight="1" x14ac:dyDescent="0.25">
      <c r="A2522" s="13"/>
      <c r="B2522" s="13"/>
    </row>
    <row r="2523" spans="1:2" ht="15.75" customHeight="1" x14ac:dyDescent="0.25">
      <c r="A2523" s="13"/>
      <c r="B2523" s="13"/>
    </row>
    <row r="2524" spans="1:2" ht="15.75" customHeight="1" x14ac:dyDescent="0.25">
      <c r="A2524" s="13"/>
      <c r="B2524" s="13"/>
    </row>
    <row r="2525" spans="1:2" ht="15.75" customHeight="1" x14ac:dyDescent="0.25">
      <c r="A2525" s="13"/>
      <c r="B2525" s="13"/>
    </row>
    <row r="2526" spans="1:2" ht="15.75" customHeight="1" x14ac:dyDescent="0.25">
      <c r="A2526" s="13"/>
      <c r="B2526" s="13"/>
    </row>
    <row r="2527" spans="1:2" ht="15.75" customHeight="1" x14ac:dyDescent="0.25">
      <c r="A2527" s="13"/>
      <c r="B2527" s="13"/>
    </row>
    <row r="2528" spans="1:2" ht="15.75" customHeight="1" x14ac:dyDescent="0.25">
      <c r="A2528" s="13"/>
      <c r="B2528" s="13"/>
    </row>
    <row r="2529" spans="1:2" ht="15.75" customHeight="1" x14ac:dyDescent="0.25">
      <c r="A2529" s="13"/>
      <c r="B2529" s="13"/>
    </row>
    <row r="2530" spans="1:2" ht="15.75" customHeight="1" x14ac:dyDescent="0.25">
      <c r="A2530" s="13"/>
      <c r="B2530" s="13"/>
    </row>
    <row r="2531" spans="1:2" ht="15.75" customHeight="1" x14ac:dyDescent="0.25">
      <c r="A2531" s="13"/>
      <c r="B2531" s="13"/>
    </row>
    <row r="2532" spans="1:2" ht="15.75" customHeight="1" x14ac:dyDescent="0.25">
      <c r="A2532" s="13"/>
      <c r="B2532" s="13"/>
    </row>
    <row r="2533" spans="1:2" ht="15.75" customHeight="1" x14ac:dyDescent="0.25">
      <c r="A2533" s="13"/>
      <c r="B2533" s="13"/>
    </row>
    <row r="2534" spans="1:2" ht="15.75" customHeight="1" x14ac:dyDescent="0.25">
      <c r="A2534" s="13"/>
      <c r="B2534" s="13"/>
    </row>
    <row r="2535" spans="1:2" ht="15.75" customHeight="1" x14ac:dyDescent="0.25">
      <c r="A2535" s="13"/>
      <c r="B2535" s="13"/>
    </row>
    <row r="2536" spans="1:2" ht="15.75" customHeight="1" x14ac:dyDescent="0.25">
      <c r="A2536" s="13"/>
      <c r="B2536" s="13"/>
    </row>
    <row r="2537" spans="1:2" ht="15.75" customHeight="1" x14ac:dyDescent="0.25">
      <c r="A2537" s="13"/>
      <c r="B2537" s="13"/>
    </row>
    <row r="2538" spans="1:2" ht="15.75" customHeight="1" x14ac:dyDescent="0.25">
      <c r="A2538" s="13"/>
      <c r="B2538" s="13"/>
    </row>
    <row r="2539" spans="1:2" ht="15.75" customHeight="1" x14ac:dyDescent="0.25">
      <c r="A2539" s="13"/>
      <c r="B2539" s="13"/>
    </row>
    <row r="2540" spans="1:2" ht="15.75" customHeight="1" x14ac:dyDescent="0.25">
      <c r="A2540" s="13"/>
      <c r="B2540" s="13"/>
    </row>
    <row r="2541" spans="1:2" ht="15.75" customHeight="1" x14ac:dyDescent="0.25">
      <c r="A2541" s="13"/>
      <c r="B2541" s="13"/>
    </row>
    <row r="2542" spans="1:2" ht="15.75" customHeight="1" x14ac:dyDescent="0.25">
      <c r="A2542" s="13"/>
      <c r="B2542" s="13"/>
    </row>
    <row r="2543" spans="1:2" ht="15.75" customHeight="1" x14ac:dyDescent="0.25">
      <c r="A2543" s="13"/>
      <c r="B2543" s="13"/>
    </row>
    <row r="2544" spans="1:2" ht="15.75" customHeight="1" x14ac:dyDescent="0.25">
      <c r="A2544" s="13"/>
      <c r="B2544" s="13"/>
    </row>
    <row r="2545" spans="1:2" ht="15.75" customHeight="1" x14ac:dyDescent="0.25">
      <c r="A2545" s="13"/>
      <c r="B2545" s="13"/>
    </row>
    <row r="2546" spans="1:2" ht="15.75" customHeight="1" x14ac:dyDescent="0.25">
      <c r="A2546" s="13"/>
      <c r="B2546" s="13"/>
    </row>
    <row r="2547" spans="1:2" ht="15.75" customHeight="1" x14ac:dyDescent="0.25">
      <c r="A2547" s="13"/>
      <c r="B2547" s="13"/>
    </row>
    <row r="2548" spans="1:2" ht="15.75" customHeight="1" x14ac:dyDescent="0.25">
      <c r="A2548" s="13"/>
      <c r="B2548" s="13"/>
    </row>
    <row r="2549" spans="1:2" ht="15.75" customHeight="1" x14ac:dyDescent="0.25">
      <c r="A2549" s="13"/>
      <c r="B2549" s="13"/>
    </row>
    <row r="2550" spans="1:2" ht="15.75" customHeight="1" x14ac:dyDescent="0.25">
      <c r="A2550" s="13"/>
      <c r="B2550" s="13"/>
    </row>
    <row r="2551" spans="1:2" ht="15.75" customHeight="1" x14ac:dyDescent="0.25">
      <c r="A2551" s="13"/>
      <c r="B2551" s="13"/>
    </row>
    <row r="2552" spans="1:2" ht="15.75" customHeight="1" x14ac:dyDescent="0.25">
      <c r="A2552" s="13"/>
      <c r="B2552" s="13"/>
    </row>
    <row r="2553" spans="1:2" ht="15.75" customHeight="1" x14ac:dyDescent="0.25">
      <c r="A2553" s="13"/>
      <c r="B2553" s="13"/>
    </row>
    <row r="2554" spans="1:2" ht="15.75" customHeight="1" x14ac:dyDescent="0.25">
      <c r="A2554" s="13"/>
      <c r="B2554" s="13"/>
    </row>
    <row r="2555" spans="1:2" ht="15.75" customHeight="1" x14ac:dyDescent="0.25">
      <c r="A2555" s="13"/>
      <c r="B2555" s="13"/>
    </row>
    <row r="2556" spans="1:2" ht="15.75" customHeight="1" x14ac:dyDescent="0.25">
      <c r="A2556" s="13"/>
      <c r="B2556" s="13"/>
    </row>
    <row r="2557" spans="1:2" ht="15.75" customHeight="1" x14ac:dyDescent="0.25">
      <c r="A2557" s="13"/>
      <c r="B2557" s="13"/>
    </row>
    <row r="2558" spans="1:2" ht="15.75" customHeight="1" x14ac:dyDescent="0.25">
      <c r="A2558" s="13"/>
      <c r="B2558" s="13"/>
    </row>
    <row r="2559" spans="1:2" ht="15.75" customHeight="1" x14ac:dyDescent="0.25">
      <c r="A2559" s="13"/>
      <c r="B2559" s="13"/>
    </row>
    <row r="2560" spans="1:2" ht="15.75" customHeight="1" x14ac:dyDescent="0.25">
      <c r="A2560" s="13"/>
      <c r="B2560" s="13"/>
    </row>
    <row r="2561" spans="1:2" ht="15.75" customHeight="1" x14ac:dyDescent="0.25">
      <c r="A2561" s="13"/>
      <c r="B2561" s="13"/>
    </row>
    <row r="2562" spans="1:2" ht="15.75" customHeight="1" x14ac:dyDescent="0.25">
      <c r="A2562" s="13"/>
      <c r="B2562" s="13"/>
    </row>
    <row r="2563" spans="1:2" ht="15.75" customHeight="1" x14ac:dyDescent="0.25">
      <c r="A2563" s="13"/>
      <c r="B2563" s="13"/>
    </row>
    <row r="2564" spans="1:2" ht="15.75" customHeight="1" x14ac:dyDescent="0.25">
      <c r="A2564" s="13"/>
      <c r="B2564" s="13"/>
    </row>
    <row r="2565" spans="1:2" ht="15.75" customHeight="1" x14ac:dyDescent="0.25">
      <c r="A2565" s="13"/>
      <c r="B2565" s="13"/>
    </row>
    <row r="2566" spans="1:2" ht="15.75" customHeight="1" x14ac:dyDescent="0.25">
      <c r="A2566" s="13"/>
      <c r="B2566" s="13"/>
    </row>
    <row r="2567" spans="1:2" ht="15.75" customHeight="1" x14ac:dyDescent="0.25">
      <c r="A2567" s="13"/>
      <c r="B2567" s="13"/>
    </row>
    <row r="2568" spans="1:2" ht="15.75" customHeight="1" x14ac:dyDescent="0.25">
      <c r="A2568" s="13"/>
      <c r="B2568" s="13"/>
    </row>
    <row r="2569" spans="1:2" ht="15.75" customHeight="1" x14ac:dyDescent="0.25">
      <c r="A2569" s="13"/>
      <c r="B2569" s="13"/>
    </row>
    <row r="2570" spans="1:2" ht="15.75" customHeight="1" x14ac:dyDescent="0.25">
      <c r="A2570" s="13"/>
      <c r="B2570" s="13"/>
    </row>
    <row r="2571" spans="1:2" ht="15.75" customHeight="1" x14ac:dyDescent="0.25">
      <c r="A2571" s="13"/>
      <c r="B2571" s="13"/>
    </row>
    <row r="2572" spans="1:2" ht="15.75" customHeight="1" x14ac:dyDescent="0.25">
      <c r="A2572" s="13"/>
      <c r="B2572" s="13"/>
    </row>
    <row r="2573" spans="1:2" ht="15.75" customHeight="1" x14ac:dyDescent="0.25">
      <c r="A2573" s="13"/>
      <c r="B2573" s="13"/>
    </row>
    <row r="2574" spans="1:2" ht="15.75" customHeight="1" x14ac:dyDescent="0.25">
      <c r="A2574" s="13"/>
      <c r="B2574" s="13"/>
    </row>
    <row r="2575" spans="1:2" ht="15.75" customHeight="1" x14ac:dyDescent="0.25">
      <c r="A2575" s="13"/>
      <c r="B2575" s="13"/>
    </row>
    <row r="2576" spans="1:2" ht="15.75" customHeight="1" x14ac:dyDescent="0.25">
      <c r="A2576" s="13"/>
      <c r="B2576" s="13"/>
    </row>
    <row r="2577" spans="1:2" ht="15.75" customHeight="1" x14ac:dyDescent="0.25">
      <c r="A2577" s="13"/>
      <c r="B2577" s="13"/>
    </row>
    <row r="2578" spans="1:2" ht="15.75" customHeight="1" x14ac:dyDescent="0.25">
      <c r="A2578" s="13"/>
      <c r="B2578" s="13"/>
    </row>
    <row r="2579" spans="1:2" ht="15.75" customHeight="1" x14ac:dyDescent="0.25">
      <c r="A2579" s="13"/>
      <c r="B2579" s="13"/>
    </row>
    <row r="2580" spans="1:2" ht="15.75" customHeight="1" x14ac:dyDescent="0.25">
      <c r="A2580" s="13"/>
      <c r="B2580" s="13"/>
    </row>
    <row r="2581" spans="1:2" ht="15.75" customHeight="1" x14ac:dyDescent="0.25">
      <c r="A2581" s="13"/>
      <c r="B2581" s="13"/>
    </row>
    <row r="2582" spans="1:2" ht="15.75" customHeight="1" x14ac:dyDescent="0.25">
      <c r="A2582" s="13"/>
      <c r="B2582" s="13"/>
    </row>
    <row r="2583" spans="1:2" ht="15.75" customHeight="1" x14ac:dyDescent="0.25">
      <c r="A2583" s="13"/>
      <c r="B2583" s="13"/>
    </row>
    <row r="2584" spans="1:2" ht="15.75" customHeight="1" x14ac:dyDescent="0.25">
      <c r="A2584" s="13"/>
      <c r="B2584" s="13"/>
    </row>
    <row r="2585" spans="1:2" ht="15.75" customHeight="1" x14ac:dyDescent="0.25">
      <c r="A2585" s="13"/>
      <c r="B2585" s="13"/>
    </row>
    <row r="2586" spans="1:2" ht="15.75" customHeight="1" x14ac:dyDescent="0.25">
      <c r="A2586" s="13"/>
      <c r="B2586" s="13"/>
    </row>
    <row r="2587" spans="1:2" ht="15.75" customHeight="1" x14ac:dyDescent="0.25">
      <c r="A2587" s="13"/>
      <c r="B2587" s="13"/>
    </row>
    <row r="2588" spans="1:2" ht="15.75" customHeight="1" x14ac:dyDescent="0.25">
      <c r="A2588" s="13"/>
      <c r="B2588" s="13"/>
    </row>
    <row r="2589" spans="1:2" ht="15.75" customHeight="1" x14ac:dyDescent="0.25">
      <c r="A2589" s="13"/>
      <c r="B2589" s="13"/>
    </row>
    <row r="2590" spans="1:2" ht="15.75" customHeight="1" x14ac:dyDescent="0.25">
      <c r="A2590" s="13"/>
      <c r="B2590" s="13"/>
    </row>
    <row r="2591" spans="1:2" ht="15.75" customHeight="1" x14ac:dyDescent="0.25">
      <c r="A2591" s="13"/>
      <c r="B2591" s="13"/>
    </row>
    <row r="2592" spans="1:2" ht="15.75" customHeight="1" x14ac:dyDescent="0.25">
      <c r="A2592" s="13"/>
      <c r="B2592" s="13"/>
    </row>
    <row r="2593" spans="1:2" ht="15.75" customHeight="1" x14ac:dyDescent="0.25">
      <c r="A2593" s="13"/>
      <c r="B2593" s="13"/>
    </row>
    <row r="2594" spans="1:2" ht="15.75" customHeight="1" x14ac:dyDescent="0.25">
      <c r="A2594" s="13"/>
      <c r="B2594" s="13"/>
    </row>
    <row r="2595" spans="1:2" ht="15.75" customHeight="1" x14ac:dyDescent="0.25">
      <c r="A2595" s="13"/>
      <c r="B2595" s="13"/>
    </row>
    <row r="2596" spans="1:2" ht="15.75" customHeight="1" x14ac:dyDescent="0.25">
      <c r="A2596" s="13"/>
      <c r="B2596" s="13"/>
    </row>
    <row r="2597" spans="1:2" ht="15.75" customHeight="1" x14ac:dyDescent="0.25">
      <c r="A2597" s="13"/>
      <c r="B2597" s="13"/>
    </row>
    <row r="2598" spans="1:2" ht="15.75" customHeight="1" x14ac:dyDescent="0.25">
      <c r="A2598" s="13"/>
      <c r="B2598" s="13"/>
    </row>
    <row r="2599" spans="1:2" ht="15.75" customHeight="1" x14ac:dyDescent="0.25">
      <c r="A2599" s="13"/>
      <c r="B2599" s="13"/>
    </row>
    <row r="2600" spans="1:2" ht="15.75" customHeight="1" x14ac:dyDescent="0.25">
      <c r="A2600" s="13"/>
      <c r="B2600" s="13"/>
    </row>
    <row r="2601" spans="1:2" ht="15.75" customHeight="1" x14ac:dyDescent="0.25">
      <c r="A2601" s="13"/>
      <c r="B2601" s="13"/>
    </row>
    <row r="2602" spans="1:2" ht="15.75" customHeight="1" x14ac:dyDescent="0.25">
      <c r="A2602" s="13"/>
      <c r="B2602" s="13"/>
    </row>
    <row r="2603" spans="1:2" ht="15.75" customHeight="1" x14ac:dyDescent="0.25">
      <c r="A2603" s="13"/>
      <c r="B2603" s="13"/>
    </row>
    <row r="2604" spans="1:2" ht="15.75" customHeight="1" x14ac:dyDescent="0.25">
      <c r="A2604" s="13"/>
      <c r="B2604" s="13"/>
    </row>
    <row r="2605" spans="1:2" ht="15.75" customHeight="1" x14ac:dyDescent="0.25">
      <c r="A2605" s="13"/>
      <c r="B2605" s="13"/>
    </row>
    <row r="2606" spans="1:2" ht="15.75" customHeight="1" x14ac:dyDescent="0.25">
      <c r="A2606" s="13"/>
      <c r="B2606" s="13"/>
    </row>
    <row r="2607" spans="1:2" ht="15.75" customHeight="1" x14ac:dyDescent="0.25">
      <c r="A2607" s="13"/>
      <c r="B2607" s="13"/>
    </row>
    <row r="2608" spans="1:2" ht="15.75" customHeight="1" x14ac:dyDescent="0.25">
      <c r="A2608" s="13"/>
      <c r="B2608" s="13"/>
    </row>
    <row r="2609" spans="1:2" ht="15.75" customHeight="1" x14ac:dyDescent="0.25">
      <c r="A2609" s="13"/>
      <c r="B2609" s="13"/>
    </row>
    <row r="2610" spans="1:2" ht="15.75" customHeight="1" x14ac:dyDescent="0.25">
      <c r="A2610" s="13"/>
      <c r="B2610" s="13"/>
    </row>
    <row r="2611" spans="1:2" ht="15.75" customHeight="1" x14ac:dyDescent="0.25">
      <c r="A2611" s="13"/>
      <c r="B2611" s="13"/>
    </row>
    <row r="2612" spans="1:2" ht="15.75" customHeight="1" x14ac:dyDescent="0.25">
      <c r="A2612" s="13"/>
      <c r="B2612" s="13"/>
    </row>
    <row r="2613" spans="1:2" ht="15.75" customHeight="1" x14ac:dyDescent="0.25">
      <c r="A2613" s="13"/>
      <c r="B2613" s="13"/>
    </row>
    <row r="2614" spans="1:2" ht="15.75" customHeight="1" x14ac:dyDescent="0.25">
      <c r="A2614" s="13"/>
      <c r="B2614" s="13"/>
    </row>
    <row r="2615" spans="1:2" ht="15.75" customHeight="1" x14ac:dyDescent="0.25">
      <c r="A2615" s="13"/>
      <c r="B2615" s="13"/>
    </row>
    <row r="2616" spans="1:2" ht="15.75" customHeight="1" x14ac:dyDescent="0.25">
      <c r="A2616" s="13"/>
      <c r="B2616" s="13"/>
    </row>
    <row r="2617" spans="1:2" ht="15.75" customHeight="1" x14ac:dyDescent="0.25">
      <c r="A2617" s="13"/>
      <c r="B2617" s="13"/>
    </row>
    <row r="2618" spans="1:2" ht="15.75" customHeight="1" x14ac:dyDescent="0.25">
      <c r="A2618" s="13"/>
      <c r="B2618" s="13"/>
    </row>
    <row r="2619" spans="1:2" ht="15.75" customHeight="1" x14ac:dyDescent="0.25">
      <c r="A2619" s="13"/>
      <c r="B2619" s="13"/>
    </row>
    <row r="2620" spans="1:2" ht="15.75" customHeight="1" x14ac:dyDescent="0.25">
      <c r="A2620" s="13"/>
      <c r="B2620" s="13"/>
    </row>
    <row r="2621" spans="1:2" ht="15.75" customHeight="1" x14ac:dyDescent="0.25">
      <c r="A2621" s="13"/>
      <c r="B2621" s="13"/>
    </row>
    <row r="2622" spans="1:2" ht="15.75" customHeight="1" x14ac:dyDescent="0.25">
      <c r="A2622" s="13"/>
      <c r="B2622" s="13"/>
    </row>
    <row r="2623" spans="1:2" ht="15.75" customHeight="1" x14ac:dyDescent="0.25">
      <c r="A2623" s="13"/>
      <c r="B2623" s="13"/>
    </row>
    <row r="2624" spans="1:2" ht="15.75" customHeight="1" x14ac:dyDescent="0.25">
      <c r="A2624" s="13"/>
      <c r="B2624" s="13"/>
    </row>
    <row r="2625" spans="1:2" ht="15.75" customHeight="1" x14ac:dyDescent="0.25">
      <c r="A2625" s="13"/>
      <c r="B2625" s="13"/>
    </row>
    <row r="2626" spans="1:2" ht="15.75" customHeight="1" x14ac:dyDescent="0.25">
      <c r="A2626" s="13"/>
      <c r="B2626" s="13"/>
    </row>
    <row r="2627" spans="1:2" ht="15.75" customHeight="1" x14ac:dyDescent="0.25">
      <c r="A2627" s="13"/>
      <c r="B2627" s="13"/>
    </row>
    <row r="2628" spans="1:2" ht="15.75" customHeight="1" x14ac:dyDescent="0.25">
      <c r="A2628" s="13"/>
      <c r="B2628" s="13"/>
    </row>
    <row r="2629" spans="1:2" ht="15.75" customHeight="1" x14ac:dyDescent="0.25">
      <c r="A2629" s="13"/>
      <c r="B2629" s="13"/>
    </row>
    <row r="2630" spans="1:2" ht="15.75" customHeight="1" x14ac:dyDescent="0.25">
      <c r="A2630" s="13"/>
      <c r="B2630" s="13"/>
    </row>
    <row r="2631" spans="1:2" ht="15.75" customHeight="1" x14ac:dyDescent="0.25">
      <c r="A2631" s="13"/>
      <c r="B2631" s="13"/>
    </row>
    <row r="2632" spans="1:2" ht="15.75" customHeight="1" x14ac:dyDescent="0.25">
      <c r="A2632" s="13"/>
      <c r="B2632" s="13"/>
    </row>
    <row r="2633" spans="1:2" ht="15.75" customHeight="1" x14ac:dyDescent="0.25">
      <c r="A2633" s="13"/>
      <c r="B2633" s="13"/>
    </row>
    <row r="2634" spans="1:2" ht="15.75" customHeight="1" x14ac:dyDescent="0.25">
      <c r="A2634" s="13"/>
      <c r="B2634" s="13"/>
    </row>
    <row r="2635" spans="1:2" ht="15.75" customHeight="1" x14ac:dyDescent="0.25">
      <c r="A2635" s="13"/>
      <c r="B2635" s="13"/>
    </row>
    <row r="2636" spans="1:2" ht="15.75" customHeight="1" x14ac:dyDescent="0.25">
      <c r="A2636" s="13"/>
      <c r="B2636" s="13"/>
    </row>
    <row r="2637" spans="1:2" ht="15.75" customHeight="1" x14ac:dyDescent="0.25">
      <c r="A2637" s="13"/>
      <c r="B2637" s="13"/>
    </row>
    <row r="2638" spans="1:2" ht="15.75" customHeight="1" x14ac:dyDescent="0.25">
      <c r="A2638" s="13"/>
      <c r="B2638" s="13"/>
    </row>
    <row r="2639" spans="1:2" ht="15.75" customHeight="1" x14ac:dyDescent="0.25">
      <c r="A2639" s="13"/>
      <c r="B2639" s="13"/>
    </row>
    <row r="2640" spans="1:2" ht="15.75" customHeight="1" x14ac:dyDescent="0.25">
      <c r="A2640" s="13"/>
      <c r="B2640" s="13"/>
    </row>
    <row r="2641" spans="1:2" ht="15.75" customHeight="1" x14ac:dyDescent="0.25">
      <c r="A2641" s="13"/>
      <c r="B2641" s="13"/>
    </row>
    <row r="2642" spans="1:2" ht="15.75" customHeight="1" x14ac:dyDescent="0.25">
      <c r="A2642" s="13"/>
      <c r="B2642" s="13"/>
    </row>
    <row r="2643" spans="1:2" ht="15.75" customHeight="1" x14ac:dyDescent="0.25">
      <c r="A2643" s="13"/>
      <c r="B2643" s="13"/>
    </row>
    <row r="2644" spans="1:2" ht="15.75" customHeight="1" x14ac:dyDescent="0.25">
      <c r="A2644" s="13"/>
      <c r="B2644" s="13"/>
    </row>
    <row r="2645" spans="1:2" ht="15.75" customHeight="1" x14ac:dyDescent="0.25">
      <c r="A2645" s="13"/>
      <c r="B2645" s="13"/>
    </row>
    <row r="2646" spans="1:2" ht="15.75" customHeight="1" x14ac:dyDescent="0.25">
      <c r="A2646" s="13"/>
      <c r="B2646" s="13"/>
    </row>
    <row r="2647" spans="1:2" ht="15.75" customHeight="1" x14ac:dyDescent="0.25">
      <c r="A2647" s="13"/>
      <c r="B2647" s="13"/>
    </row>
    <row r="2648" spans="1:2" ht="15.75" customHeight="1" x14ac:dyDescent="0.25">
      <c r="A2648" s="13"/>
      <c r="B2648" s="13"/>
    </row>
    <row r="2649" spans="1:2" ht="15.75" customHeight="1" x14ac:dyDescent="0.25">
      <c r="A2649" s="13"/>
      <c r="B2649" s="13"/>
    </row>
    <row r="2650" spans="1:2" ht="15.75" customHeight="1" x14ac:dyDescent="0.25">
      <c r="A2650" s="13"/>
      <c r="B2650" s="13"/>
    </row>
    <row r="2651" spans="1:2" ht="15.75" customHeight="1" x14ac:dyDescent="0.25">
      <c r="A2651" s="13"/>
      <c r="B2651" s="13"/>
    </row>
    <row r="2652" spans="1:2" ht="15.75" customHeight="1" x14ac:dyDescent="0.25">
      <c r="A2652" s="13"/>
      <c r="B2652" s="13"/>
    </row>
    <row r="2653" spans="1:2" ht="15.75" customHeight="1" x14ac:dyDescent="0.25">
      <c r="A2653" s="13"/>
      <c r="B2653" s="13"/>
    </row>
    <row r="2654" spans="1:2" ht="15.75" customHeight="1" x14ac:dyDescent="0.25">
      <c r="A2654" s="13"/>
      <c r="B2654" s="13"/>
    </row>
    <row r="2655" spans="1:2" ht="15.75" customHeight="1" x14ac:dyDescent="0.25">
      <c r="A2655" s="13"/>
      <c r="B2655" s="13"/>
    </row>
    <row r="2656" spans="1:2" ht="15.75" customHeight="1" x14ac:dyDescent="0.25">
      <c r="A2656" s="13"/>
      <c r="B2656" s="13"/>
    </row>
    <row r="2657" spans="1:2" ht="15.75" customHeight="1" x14ac:dyDescent="0.25">
      <c r="A2657" s="13"/>
      <c r="B2657" s="13"/>
    </row>
    <row r="2658" spans="1:2" ht="15.75" customHeight="1" x14ac:dyDescent="0.25">
      <c r="A2658" s="13"/>
      <c r="B2658" s="13"/>
    </row>
    <row r="2659" spans="1:2" ht="15.75" customHeight="1" x14ac:dyDescent="0.25">
      <c r="A2659" s="13"/>
      <c r="B2659" s="13"/>
    </row>
    <row r="2660" spans="1:2" ht="15.75" customHeight="1" x14ac:dyDescent="0.25">
      <c r="A2660" s="13"/>
      <c r="B2660" s="13"/>
    </row>
    <row r="2661" spans="1:2" ht="15.75" customHeight="1" x14ac:dyDescent="0.25">
      <c r="A2661" s="13"/>
      <c r="B2661" s="13"/>
    </row>
    <row r="2662" spans="1:2" ht="15.75" customHeight="1" x14ac:dyDescent="0.25">
      <c r="A2662" s="13"/>
      <c r="B2662" s="13"/>
    </row>
    <row r="2663" spans="1:2" ht="15.75" customHeight="1" x14ac:dyDescent="0.25">
      <c r="A2663" s="13"/>
      <c r="B266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E107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6.28515625" customWidth="1"/>
    <col min="2" max="2" width="14.28515625" customWidth="1"/>
    <col min="3" max="3" width="37.140625" customWidth="1"/>
    <col min="4" max="4" width="146.140625" customWidth="1"/>
    <col min="5" max="5" width="70.7109375" customWidth="1"/>
  </cols>
  <sheetData>
    <row r="1" spans="1:5" x14ac:dyDescent="0.25">
      <c r="A1" s="4" t="s">
        <v>0</v>
      </c>
      <c r="B1" s="5" t="s">
        <v>6</v>
      </c>
      <c r="C1" s="5" t="s">
        <v>7</v>
      </c>
      <c r="D1" s="5" t="s">
        <v>3</v>
      </c>
      <c r="E1" s="5" t="s">
        <v>5</v>
      </c>
    </row>
    <row r="2" spans="1:5" x14ac:dyDescent="0.25">
      <c r="A2" s="6">
        <v>1</v>
      </c>
      <c r="B2" s="7">
        <v>1</v>
      </c>
      <c r="C2" s="8" t="s">
        <v>8</v>
      </c>
      <c r="D2" s="6" t="s">
        <v>9</v>
      </c>
      <c r="E2" s="6" t="s">
        <v>10</v>
      </c>
    </row>
    <row r="3" spans="1:5" x14ac:dyDescent="0.25">
      <c r="A3" s="6">
        <f t="shared" ref="A3:A110" si="0">A2+1</f>
        <v>2</v>
      </c>
      <c r="B3" s="7">
        <v>2</v>
      </c>
      <c r="C3" s="9" t="s">
        <v>11</v>
      </c>
      <c r="D3" s="6" t="s">
        <v>12</v>
      </c>
      <c r="E3" s="6" t="s">
        <v>13</v>
      </c>
    </row>
    <row r="4" spans="1:5" x14ac:dyDescent="0.25">
      <c r="A4" s="6">
        <f t="shared" si="0"/>
        <v>3</v>
      </c>
      <c r="B4" s="7">
        <v>3</v>
      </c>
      <c r="C4" s="9" t="s">
        <v>14</v>
      </c>
      <c r="D4" s="6" t="s">
        <v>15</v>
      </c>
      <c r="E4" s="6" t="s">
        <v>16</v>
      </c>
    </row>
    <row r="5" spans="1:5" x14ac:dyDescent="0.25">
      <c r="A5" s="6">
        <f t="shared" si="0"/>
        <v>4</v>
      </c>
      <c r="B5" s="7">
        <v>4</v>
      </c>
      <c r="C5" s="9" t="s">
        <v>17</v>
      </c>
      <c r="D5" s="6" t="s">
        <v>18</v>
      </c>
      <c r="E5" s="6" t="s">
        <v>19</v>
      </c>
    </row>
    <row r="6" spans="1:5" x14ac:dyDescent="0.25">
      <c r="A6" s="6">
        <f t="shared" si="0"/>
        <v>5</v>
      </c>
      <c r="B6" s="7">
        <v>5</v>
      </c>
      <c r="C6" s="9" t="s">
        <v>20</v>
      </c>
      <c r="D6" s="6" t="s">
        <v>21</v>
      </c>
      <c r="E6" s="6" t="s">
        <v>22</v>
      </c>
    </row>
    <row r="7" spans="1:5" x14ac:dyDescent="0.25">
      <c r="A7" s="6">
        <f t="shared" si="0"/>
        <v>6</v>
      </c>
      <c r="B7" s="7">
        <v>6</v>
      </c>
      <c r="C7" s="9" t="s">
        <v>23</v>
      </c>
      <c r="D7" s="6" t="s">
        <v>24</v>
      </c>
      <c r="E7" s="6" t="s">
        <v>25</v>
      </c>
    </row>
    <row r="8" spans="1:5" x14ac:dyDescent="0.25">
      <c r="A8" s="6">
        <f t="shared" si="0"/>
        <v>7</v>
      </c>
      <c r="B8" s="7">
        <v>7</v>
      </c>
      <c r="C8" s="9" t="s">
        <v>26</v>
      </c>
      <c r="D8" s="6" t="s">
        <v>27</v>
      </c>
      <c r="E8" s="6" t="s">
        <v>28</v>
      </c>
    </row>
    <row r="9" spans="1:5" x14ac:dyDescent="0.25">
      <c r="A9" s="6">
        <f t="shared" si="0"/>
        <v>8</v>
      </c>
      <c r="B9" s="7">
        <v>9</v>
      </c>
      <c r="C9" s="9" t="s">
        <v>29</v>
      </c>
      <c r="D9" s="6" t="s">
        <v>30</v>
      </c>
      <c r="E9" s="6" t="s">
        <v>31</v>
      </c>
    </row>
    <row r="10" spans="1:5" x14ac:dyDescent="0.25">
      <c r="A10" s="6">
        <f t="shared" si="0"/>
        <v>9</v>
      </c>
      <c r="B10" s="7">
        <v>10</v>
      </c>
      <c r="C10" s="9" t="s">
        <v>32</v>
      </c>
      <c r="D10" s="6" t="s">
        <v>33</v>
      </c>
      <c r="E10" s="6" t="s">
        <v>34</v>
      </c>
    </row>
    <row r="11" spans="1:5" x14ac:dyDescent="0.25">
      <c r="A11" s="6">
        <f t="shared" si="0"/>
        <v>10</v>
      </c>
      <c r="B11" s="7">
        <v>11</v>
      </c>
      <c r="C11" s="9" t="s">
        <v>35</v>
      </c>
      <c r="D11" s="6" t="s">
        <v>36</v>
      </c>
      <c r="E11" s="6" t="s">
        <v>37</v>
      </c>
    </row>
    <row r="12" spans="1:5" ht="30" x14ac:dyDescent="0.25">
      <c r="A12" s="6">
        <f t="shared" si="0"/>
        <v>11</v>
      </c>
      <c r="B12" s="7">
        <v>12</v>
      </c>
      <c r="C12" s="9" t="s">
        <v>38</v>
      </c>
      <c r="D12" s="6" t="s">
        <v>39</v>
      </c>
      <c r="E12" s="6" t="s">
        <v>40</v>
      </c>
    </row>
    <row r="13" spans="1:5" x14ac:dyDescent="0.25">
      <c r="A13" s="6">
        <f t="shared" si="0"/>
        <v>12</v>
      </c>
      <c r="B13" s="7">
        <v>13</v>
      </c>
      <c r="C13" s="9" t="s">
        <v>41</v>
      </c>
      <c r="D13" s="6" t="s">
        <v>42</v>
      </c>
      <c r="E13" s="6" t="s">
        <v>43</v>
      </c>
    </row>
    <row r="14" spans="1:5" x14ac:dyDescent="0.25">
      <c r="A14" s="6">
        <f t="shared" si="0"/>
        <v>13</v>
      </c>
      <c r="B14" s="7">
        <v>14</v>
      </c>
      <c r="C14" s="9" t="s">
        <v>44</v>
      </c>
      <c r="D14" s="6" t="s">
        <v>45</v>
      </c>
      <c r="E14" s="6" t="s">
        <v>46</v>
      </c>
    </row>
    <row r="15" spans="1:5" x14ac:dyDescent="0.25">
      <c r="A15" s="6">
        <f t="shared" si="0"/>
        <v>14</v>
      </c>
      <c r="B15" s="7">
        <v>15</v>
      </c>
      <c r="C15" s="9" t="s">
        <v>47</v>
      </c>
      <c r="D15" s="6" t="s">
        <v>48</v>
      </c>
      <c r="E15" s="6" t="s">
        <v>49</v>
      </c>
    </row>
    <row r="16" spans="1:5" x14ac:dyDescent="0.25">
      <c r="A16" s="6">
        <f t="shared" si="0"/>
        <v>15</v>
      </c>
      <c r="B16" s="7">
        <v>30</v>
      </c>
      <c r="C16" s="9" t="s">
        <v>50</v>
      </c>
      <c r="D16" s="6" t="s">
        <v>51</v>
      </c>
      <c r="E16" s="6" t="s">
        <v>52</v>
      </c>
    </row>
    <row r="17" spans="1:5" x14ac:dyDescent="0.25">
      <c r="A17" s="6">
        <f t="shared" si="0"/>
        <v>16</v>
      </c>
      <c r="B17" s="7">
        <v>31</v>
      </c>
      <c r="C17" s="9" t="s">
        <v>53</v>
      </c>
      <c r="D17" s="6" t="s">
        <v>54</v>
      </c>
      <c r="E17" s="6" t="s">
        <v>55</v>
      </c>
    </row>
    <row r="18" spans="1:5" x14ac:dyDescent="0.25">
      <c r="A18" s="6">
        <f t="shared" si="0"/>
        <v>17</v>
      </c>
      <c r="B18" s="7">
        <v>32</v>
      </c>
      <c r="C18" s="9" t="s">
        <v>56</v>
      </c>
      <c r="D18" s="6" t="s">
        <v>57</v>
      </c>
      <c r="E18" s="6" t="s">
        <v>58</v>
      </c>
    </row>
    <row r="19" spans="1:5" x14ac:dyDescent="0.25">
      <c r="A19" s="6">
        <f t="shared" si="0"/>
        <v>18</v>
      </c>
      <c r="B19" s="7">
        <v>33</v>
      </c>
      <c r="C19" s="9" t="s">
        <v>59</v>
      </c>
      <c r="D19" s="6" t="s">
        <v>60</v>
      </c>
      <c r="E19" s="6" t="s">
        <v>61</v>
      </c>
    </row>
    <row r="20" spans="1:5" x14ac:dyDescent="0.25">
      <c r="A20" s="6">
        <f t="shared" si="0"/>
        <v>19</v>
      </c>
      <c r="B20" s="7">
        <v>34</v>
      </c>
      <c r="C20" s="9" t="s">
        <v>62</v>
      </c>
      <c r="D20" s="6" t="s">
        <v>63</v>
      </c>
      <c r="E20" s="6" t="s">
        <v>64</v>
      </c>
    </row>
    <row r="21" spans="1:5" ht="15.75" customHeight="1" x14ac:dyDescent="0.25">
      <c r="A21" s="6">
        <f t="shared" si="0"/>
        <v>20</v>
      </c>
      <c r="B21" s="7">
        <v>35</v>
      </c>
      <c r="C21" s="9" t="s">
        <v>65</v>
      </c>
      <c r="D21" s="6" t="s">
        <v>66</v>
      </c>
      <c r="E21" s="6" t="s">
        <v>67</v>
      </c>
    </row>
    <row r="22" spans="1:5" ht="15.75" customHeight="1" x14ac:dyDescent="0.25">
      <c r="A22" s="6">
        <f t="shared" si="0"/>
        <v>21</v>
      </c>
      <c r="B22" s="7">
        <v>36</v>
      </c>
      <c r="C22" s="9" t="s">
        <v>68</v>
      </c>
      <c r="D22" s="6" t="s">
        <v>69</v>
      </c>
      <c r="E22" s="6" t="s">
        <v>70</v>
      </c>
    </row>
    <row r="23" spans="1:5" ht="15.75" customHeight="1" x14ac:dyDescent="0.25">
      <c r="A23" s="6">
        <f t="shared" si="0"/>
        <v>22</v>
      </c>
      <c r="B23" s="7">
        <v>37</v>
      </c>
      <c r="C23" s="9" t="s">
        <v>71</v>
      </c>
      <c r="D23" s="6" t="s">
        <v>72</v>
      </c>
      <c r="E23" s="6" t="s">
        <v>73</v>
      </c>
    </row>
    <row r="24" spans="1:5" ht="15.75" customHeight="1" x14ac:dyDescent="0.25">
      <c r="A24" s="6">
        <f t="shared" si="0"/>
        <v>23</v>
      </c>
      <c r="B24" s="7">
        <v>38</v>
      </c>
      <c r="C24" s="9" t="s">
        <v>74</v>
      </c>
      <c r="D24" s="6" t="s">
        <v>75</v>
      </c>
      <c r="E24" s="6" t="s">
        <v>76</v>
      </c>
    </row>
    <row r="25" spans="1:5" ht="15.75" customHeight="1" x14ac:dyDescent="0.25">
      <c r="A25" s="6">
        <f t="shared" si="0"/>
        <v>24</v>
      </c>
      <c r="B25" s="7">
        <v>100</v>
      </c>
      <c r="C25" s="9" t="s">
        <v>77</v>
      </c>
      <c r="D25" s="6" t="s">
        <v>78</v>
      </c>
      <c r="E25" s="6" t="s">
        <v>79</v>
      </c>
    </row>
    <row r="26" spans="1:5" ht="15.75" customHeight="1" x14ac:dyDescent="0.25">
      <c r="A26" s="6">
        <f t="shared" si="0"/>
        <v>25</v>
      </c>
      <c r="B26" s="7">
        <v>101</v>
      </c>
      <c r="C26" s="9" t="s">
        <v>80</v>
      </c>
      <c r="D26" s="6" t="s">
        <v>81</v>
      </c>
      <c r="E26" s="6" t="s">
        <v>82</v>
      </c>
    </row>
    <row r="27" spans="1:5" ht="15.75" customHeight="1" x14ac:dyDescent="0.25">
      <c r="A27" s="6">
        <f t="shared" si="0"/>
        <v>26</v>
      </c>
      <c r="B27" s="7">
        <v>102</v>
      </c>
      <c r="C27" s="9" t="s">
        <v>83</v>
      </c>
      <c r="D27" s="6" t="s">
        <v>84</v>
      </c>
      <c r="E27" s="6" t="s">
        <v>85</v>
      </c>
    </row>
    <row r="28" spans="1:5" ht="15.75" customHeight="1" x14ac:dyDescent="0.25">
      <c r="A28" s="6">
        <f t="shared" si="0"/>
        <v>27</v>
      </c>
      <c r="B28" s="7">
        <v>103</v>
      </c>
      <c r="C28" s="9" t="s">
        <v>86</v>
      </c>
      <c r="D28" s="6" t="s">
        <v>87</v>
      </c>
      <c r="E28" s="6" t="s">
        <v>88</v>
      </c>
    </row>
    <row r="29" spans="1:5" ht="15.75" customHeight="1" x14ac:dyDescent="0.25">
      <c r="A29" s="6">
        <f t="shared" si="0"/>
        <v>28</v>
      </c>
      <c r="B29" s="7">
        <v>104</v>
      </c>
      <c r="C29" s="9" t="s">
        <v>89</v>
      </c>
      <c r="D29" s="6" t="s">
        <v>90</v>
      </c>
      <c r="E29" s="6" t="s">
        <v>91</v>
      </c>
    </row>
    <row r="30" spans="1:5" ht="15.75" customHeight="1" x14ac:dyDescent="0.25">
      <c r="A30" s="6">
        <f t="shared" si="0"/>
        <v>29</v>
      </c>
      <c r="B30" s="7">
        <v>105</v>
      </c>
      <c r="C30" s="9" t="s">
        <v>92</v>
      </c>
      <c r="D30" s="6" t="s">
        <v>93</v>
      </c>
      <c r="E30" s="6" t="s">
        <v>94</v>
      </c>
    </row>
    <row r="31" spans="1:5" ht="15.75" customHeight="1" x14ac:dyDescent="0.25">
      <c r="A31" s="6">
        <f t="shared" si="0"/>
        <v>30</v>
      </c>
      <c r="B31" s="7">
        <v>106</v>
      </c>
      <c r="C31" s="9" t="s">
        <v>95</v>
      </c>
      <c r="D31" s="6" t="s">
        <v>96</v>
      </c>
      <c r="E31" s="6" t="s">
        <v>97</v>
      </c>
    </row>
    <row r="32" spans="1:5" ht="15.75" customHeight="1" x14ac:dyDescent="0.25">
      <c r="A32" s="6">
        <f t="shared" si="0"/>
        <v>31</v>
      </c>
      <c r="B32" s="7">
        <v>107</v>
      </c>
      <c r="C32" s="9" t="s">
        <v>98</v>
      </c>
      <c r="D32" s="6" t="s">
        <v>99</v>
      </c>
      <c r="E32" s="6" t="s">
        <v>100</v>
      </c>
    </row>
    <row r="33" spans="1:5" ht="15.75" customHeight="1" x14ac:dyDescent="0.25">
      <c r="A33" s="6">
        <f t="shared" si="0"/>
        <v>32</v>
      </c>
      <c r="B33" s="7">
        <v>108</v>
      </c>
      <c r="C33" s="9" t="s">
        <v>101</v>
      </c>
      <c r="D33" s="6" t="s">
        <v>102</v>
      </c>
      <c r="E33" s="6" t="s">
        <v>103</v>
      </c>
    </row>
    <row r="34" spans="1:5" ht="15.75" customHeight="1" x14ac:dyDescent="0.25">
      <c r="A34" s="6">
        <f t="shared" si="0"/>
        <v>33</v>
      </c>
      <c r="B34" s="7">
        <v>200</v>
      </c>
      <c r="C34" s="9" t="s">
        <v>104</v>
      </c>
      <c r="D34" s="6" t="s">
        <v>105</v>
      </c>
      <c r="E34" s="6" t="s">
        <v>106</v>
      </c>
    </row>
    <row r="35" spans="1:5" ht="15.75" customHeight="1" x14ac:dyDescent="0.25">
      <c r="A35" s="6">
        <f t="shared" si="0"/>
        <v>34</v>
      </c>
      <c r="B35" s="7">
        <v>201</v>
      </c>
      <c r="C35" s="9" t="s">
        <v>107</v>
      </c>
      <c r="D35" s="6" t="s">
        <v>108</v>
      </c>
      <c r="E35" s="6" t="s">
        <v>109</v>
      </c>
    </row>
    <row r="36" spans="1:5" ht="15.75" customHeight="1" x14ac:dyDescent="0.25">
      <c r="A36" s="6">
        <f t="shared" si="0"/>
        <v>35</v>
      </c>
      <c r="B36" s="7">
        <v>202</v>
      </c>
      <c r="C36" s="9" t="s">
        <v>110</v>
      </c>
      <c r="D36" s="6" t="s">
        <v>111</v>
      </c>
      <c r="E36" s="6" t="s">
        <v>112</v>
      </c>
    </row>
    <row r="37" spans="1:5" ht="15.75" customHeight="1" x14ac:dyDescent="0.25">
      <c r="A37" s="6">
        <f t="shared" si="0"/>
        <v>36</v>
      </c>
      <c r="B37" s="7">
        <v>203</v>
      </c>
      <c r="C37" s="9" t="s">
        <v>113</v>
      </c>
      <c r="D37" s="6" t="s">
        <v>114</v>
      </c>
      <c r="E37" s="6" t="s">
        <v>115</v>
      </c>
    </row>
    <row r="38" spans="1:5" ht="15.75" customHeight="1" x14ac:dyDescent="0.25">
      <c r="A38" s="6">
        <f t="shared" si="0"/>
        <v>37</v>
      </c>
      <c r="B38" s="7">
        <v>204</v>
      </c>
      <c r="C38" s="9" t="s">
        <v>116</v>
      </c>
      <c r="D38" s="6" t="s">
        <v>117</v>
      </c>
      <c r="E38" s="6" t="s">
        <v>118</v>
      </c>
    </row>
    <row r="39" spans="1:5" ht="15.75" customHeight="1" x14ac:dyDescent="0.25">
      <c r="A39" s="6">
        <f t="shared" si="0"/>
        <v>38</v>
      </c>
      <c r="B39" s="7">
        <v>205</v>
      </c>
      <c r="C39" s="9" t="s">
        <v>119</v>
      </c>
      <c r="D39" s="6" t="s">
        <v>120</v>
      </c>
      <c r="E39" s="6" t="s">
        <v>121</v>
      </c>
    </row>
    <row r="40" spans="1:5" ht="15.75" customHeight="1" x14ac:dyDescent="0.25">
      <c r="A40" s="6">
        <f t="shared" si="0"/>
        <v>39</v>
      </c>
      <c r="B40" s="7">
        <v>206</v>
      </c>
      <c r="C40" s="9" t="s">
        <v>122</v>
      </c>
      <c r="D40" s="6" t="s">
        <v>123</v>
      </c>
      <c r="E40" s="6" t="s">
        <v>124</v>
      </c>
    </row>
    <row r="41" spans="1:5" ht="15.75" customHeight="1" x14ac:dyDescent="0.25">
      <c r="A41" s="6">
        <f t="shared" si="0"/>
        <v>40</v>
      </c>
      <c r="B41" s="7">
        <v>207</v>
      </c>
      <c r="C41" s="9" t="s">
        <v>125</v>
      </c>
      <c r="D41" s="6" t="s">
        <v>126</v>
      </c>
      <c r="E41" s="6" t="s">
        <v>127</v>
      </c>
    </row>
    <row r="42" spans="1:5" ht="15.75" customHeight="1" x14ac:dyDescent="0.25">
      <c r="A42" s="6">
        <f t="shared" si="0"/>
        <v>41</v>
      </c>
      <c r="B42" s="7">
        <v>208</v>
      </c>
      <c r="C42" s="9" t="s">
        <v>128</v>
      </c>
      <c r="D42" s="6" t="s">
        <v>129</v>
      </c>
      <c r="E42" s="6" t="s">
        <v>130</v>
      </c>
    </row>
    <row r="43" spans="1:5" ht="15.75" customHeight="1" x14ac:dyDescent="0.25">
      <c r="A43" s="6">
        <f t="shared" si="0"/>
        <v>42</v>
      </c>
      <c r="B43" s="7">
        <v>209</v>
      </c>
      <c r="C43" s="9" t="s">
        <v>131</v>
      </c>
      <c r="D43" s="6" t="s">
        <v>132</v>
      </c>
      <c r="E43" s="6" t="s">
        <v>133</v>
      </c>
    </row>
    <row r="44" spans="1:5" ht="15.75" customHeight="1" x14ac:dyDescent="0.25">
      <c r="A44" s="6">
        <f t="shared" si="0"/>
        <v>43</v>
      </c>
      <c r="B44" s="7">
        <v>210</v>
      </c>
      <c r="C44" s="9" t="s">
        <v>134</v>
      </c>
      <c r="D44" s="6" t="s">
        <v>135</v>
      </c>
      <c r="E44" s="6" t="s">
        <v>136</v>
      </c>
    </row>
    <row r="45" spans="1:5" ht="15.75" customHeight="1" x14ac:dyDescent="0.25">
      <c r="A45" s="6">
        <f t="shared" si="0"/>
        <v>44</v>
      </c>
      <c r="B45" s="7">
        <v>211</v>
      </c>
      <c r="C45" s="9" t="s">
        <v>137</v>
      </c>
      <c r="D45" s="6" t="s">
        <v>138</v>
      </c>
      <c r="E45" s="6" t="s">
        <v>139</v>
      </c>
    </row>
    <row r="46" spans="1:5" ht="15.75" customHeight="1" x14ac:dyDescent="0.25">
      <c r="A46" s="6">
        <f t="shared" si="0"/>
        <v>45</v>
      </c>
      <c r="B46" s="7">
        <v>212</v>
      </c>
      <c r="C46" s="9" t="s">
        <v>140</v>
      </c>
      <c r="D46" s="6" t="s">
        <v>141</v>
      </c>
      <c r="E46" s="6" t="s">
        <v>142</v>
      </c>
    </row>
    <row r="47" spans="1:5" ht="15.75" customHeight="1" x14ac:dyDescent="0.25">
      <c r="A47" s="6">
        <f t="shared" si="0"/>
        <v>46</v>
      </c>
      <c r="B47" s="7">
        <v>213</v>
      </c>
      <c r="C47" s="9" t="s">
        <v>143</v>
      </c>
      <c r="D47" s="6" t="s">
        <v>144</v>
      </c>
      <c r="E47" s="6" t="s">
        <v>145</v>
      </c>
    </row>
    <row r="48" spans="1:5" ht="15.75" customHeight="1" x14ac:dyDescent="0.25">
      <c r="A48" s="6">
        <f t="shared" si="0"/>
        <v>47</v>
      </c>
      <c r="B48" s="7">
        <v>214</v>
      </c>
      <c r="C48" s="9" t="s">
        <v>146</v>
      </c>
      <c r="D48" s="6" t="s">
        <v>147</v>
      </c>
      <c r="E48" s="6" t="s">
        <v>148</v>
      </c>
    </row>
    <row r="49" spans="1:5" ht="15.75" customHeight="1" x14ac:dyDescent="0.25">
      <c r="A49" s="6">
        <f t="shared" si="0"/>
        <v>48</v>
      </c>
      <c r="B49" s="7">
        <v>215</v>
      </c>
      <c r="C49" s="9" t="s">
        <v>149</v>
      </c>
      <c r="D49" s="6" t="s">
        <v>150</v>
      </c>
      <c r="E49" s="6" t="s">
        <v>151</v>
      </c>
    </row>
    <row r="50" spans="1:5" ht="15.75" customHeight="1" x14ac:dyDescent="0.25">
      <c r="A50" s="6">
        <f t="shared" si="0"/>
        <v>49</v>
      </c>
      <c r="B50" s="7">
        <v>216</v>
      </c>
      <c r="C50" s="9" t="s">
        <v>152</v>
      </c>
      <c r="D50" s="6" t="s">
        <v>153</v>
      </c>
      <c r="E50" s="6" t="s">
        <v>154</v>
      </c>
    </row>
    <row r="51" spans="1:5" ht="15.75" customHeight="1" x14ac:dyDescent="0.25">
      <c r="A51" s="6">
        <f t="shared" si="0"/>
        <v>50</v>
      </c>
      <c r="B51" s="7">
        <v>217</v>
      </c>
      <c r="C51" s="9" t="s">
        <v>155</v>
      </c>
      <c r="D51" s="6" t="s">
        <v>156</v>
      </c>
      <c r="E51" s="6" t="s">
        <v>157</v>
      </c>
    </row>
    <row r="52" spans="1:5" ht="15.75" customHeight="1" x14ac:dyDescent="0.25">
      <c r="A52" s="6">
        <f t="shared" si="0"/>
        <v>51</v>
      </c>
      <c r="B52" s="7">
        <v>218</v>
      </c>
      <c r="C52" s="9" t="s">
        <v>158</v>
      </c>
      <c r="D52" s="6" t="s">
        <v>159</v>
      </c>
      <c r="E52" s="6" t="s">
        <v>160</v>
      </c>
    </row>
    <row r="53" spans="1:5" ht="15.75" customHeight="1" x14ac:dyDescent="0.25">
      <c r="A53" s="6">
        <f t="shared" si="0"/>
        <v>52</v>
      </c>
      <c r="B53" s="7">
        <v>219</v>
      </c>
      <c r="C53" s="9" t="s">
        <v>161</v>
      </c>
      <c r="D53" s="6" t="s">
        <v>162</v>
      </c>
      <c r="E53" s="6" t="s">
        <v>163</v>
      </c>
    </row>
    <row r="54" spans="1:5" ht="15.75" customHeight="1" x14ac:dyDescent="0.25">
      <c r="A54" s="6">
        <f t="shared" si="0"/>
        <v>53</v>
      </c>
      <c r="B54" s="7">
        <v>220</v>
      </c>
      <c r="C54" s="9" t="s">
        <v>164</v>
      </c>
      <c r="D54" s="6" t="s">
        <v>165</v>
      </c>
      <c r="E54" s="6" t="s">
        <v>166</v>
      </c>
    </row>
    <row r="55" spans="1:5" ht="15.75" customHeight="1" x14ac:dyDescent="0.25">
      <c r="A55" s="6">
        <f t="shared" si="0"/>
        <v>54</v>
      </c>
      <c r="B55" s="7">
        <v>222</v>
      </c>
      <c r="C55" s="9" t="s">
        <v>167</v>
      </c>
      <c r="D55" s="6" t="s">
        <v>168</v>
      </c>
      <c r="E55" s="6" t="s">
        <v>169</v>
      </c>
    </row>
    <row r="56" spans="1:5" ht="15.75" customHeight="1" x14ac:dyDescent="0.25">
      <c r="A56" s="6">
        <f t="shared" si="0"/>
        <v>55</v>
      </c>
      <c r="B56" s="7">
        <v>223</v>
      </c>
      <c r="C56" s="9" t="s">
        <v>170</v>
      </c>
      <c r="D56" s="6" t="s">
        <v>171</v>
      </c>
      <c r="E56" s="6" t="s">
        <v>172</v>
      </c>
    </row>
    <row r="57" spans="1:5" ht="15.75" customHeight="1" x14ac:dyDescent="0.25">
      <c r="A57" s="6">
        <f t="shared" si="0"/>
        <v>56</v>
      </c>
      <c r="B57" s="7">
        <v>224</v>
      </c>
      <c r="C57" s="9" t="s">
        <v>173</v>
      </c>
      <c r="D57" s="6" t="s">
        <v>174</v>
      </c>
      <c r="E57" s="6" t="s">
        <v>175</v>
      </c>
    </row>
    <row r="58" spans="1:5" ht="15.75" customHeight="1" x14ac:dyDescent="0.25">
      <c r="A58" s="6">
        <f t="shared" si="0"/>
        <v>57</v>
      </c>
      <c r="B58" s="7">
        <v>225</v>
      </c>
      <c r="C58" s="9" t="s">
        <v>176</v>
      </c>
      <c r="D58" s="6" t="s">
        <v>177</v>
      </c>
      <c r="E58" s="6" t="s">
        <v>178</v>
      </c>
    </row>
    <row r="59" spans="1:5" ht="15.75" customHeight="1" x14ac:dyDescent="0.25">
      <c r="A59" s="6">
        <f t="shared" si="0"/>
        <v>58</v>
      </c>
      <c r="B59" s="7">
        <v>226</v>
      </c>
      <c r="C59" s="9" t="s">
        <v>179</v>
      </c>
      <c r="D59" s="6" t="s">
        <v>180</v>
      </c>
      <c r="E59" s="6" t="s">
        <v>181</v>
      </c>
    </row>
    <row r="60" spans="1:5" ht="15.75" customHeight="1" x14ac:dyDescent="0.25">
      <c r="A60" s="6">
        <f t="shared" si="0"/>
        <v>59</v>
      </c>
      <c r="B60" s="7">
        <v>227</v>
      </c>
      <c r="C60" s="9" t="s">
        <v>182</v>
      </c>
      <c r="D60" s="6" t="s">
        <v>183</v>
      </c>
      <c r="E60" s="6" t="s">
        <v>184</v>
      </c>
    </row>
    <row r="61" spans="1:5" ht="15.75" customHeight="1" x14ac:dyDescent="0.25">
      <c r="A61" s="6">
        <f t="shared" si="0"/>
        <v>60</v>
      </c>
      <c r="B61" s="7">
        <v>228</v>
      </c>
      <c r="C61" s="9" t="s">
        <v>185</v>
      </c>
      <c r="D61" s="6" t="s">
        <v>186</v>
      </c>
      <c r="E61" s="6" t="s">
        <v>187</v>
      </c>
    </row>
    <row r="62" spans="1:5" ht="15.75" customHeight="1" x14ac:dyDescent="0.25">
      <c r="A62" s="6">
        <f t="shared" si="0"/>
        <v>61</v>
      </c>
      <c r="B62" s="7">
        <v>229</v>
      </c>
      <c r="C62" s="9" t="s">
        <v>188</v>
      </c>
      <c r="D62" s="6" t="s">
        <v>189</v>
      </c>
      <c r="E62" s="6" t="s">
        <v>190</v>
      </c>
    </row>
    <row r="63" spans="1:5" ht="15.75" customHeight="1" x14ac:dyDescent="0.25">
      <c r="A63" s="6">
        <f t="shared" si="0"/>
        <v>62</v>
      </c>
      <c r="B63" s="7">
        <v>300</v>
      </c>
      <c r="C63" s="9" t="s">
        <v>191</v>
      </c>
      <c r="D63" s="6" t="s">
        <v>192</v>
      </c>
      <c r="E63" s="6" t="s">
        <v>193</v>
      </c>
    </row>
    <row r="64" spans="1:5" ht="15.75" customHeight="1" x14ac:dyDescent="0.25">
      <c r="A64" s="6">
        <f t="shared" si="0"/>
        <v>63</v>
      </c>
      <c r="B64" s="7">
        <v>301</v>
      </c>
      <c r="C64" s="9" t="s">
        <v>194</v>
      </c>
      <c r="D64" s="6" t="s">
        <v>195</v>
      </c>
      <c r="E64" s="6" t="s">
        <v>196</v>
      </c>
    </row>
    <row r="65" spans="1:5" ht="15.75" customHeight="1" x14ac:dyDescent="0.25">
      <c r="A65" s="6">
        <f t="shared" si="0"/>
        <v>64</v>
      </c>
      <c r="B65" s="7">
        <v>302</v>
      </c>
      <c r="C65" s="9" t="s">
        <v>197</v>
      </c>
      <c r="D65" s="6" t="s">
        <v>198</v>
      </c>
      <c r="E65" s="6" t="s">
        <v>199</v>
      </c>
    </row>
    <row r="66" spans="1:5" ht="15.75" customHeight="1" x14ac:dyDescent="0.25">
      <c r="A66" s="6">
        <f t="shared" si="0"/>
        <v>65</v>
      </c>
      <c r="B66" s="7">
        <v>303</v>
      </c>
      <c r="C66" s="9" t="s">
        <v>200</v>
      </c>
      <c r="D66" s="6" t="s">
        <v>201</v>
      </c>
      <c r="E66" s="6" t="s">
        <v>202</v>
      </c>
    </row>
    <row r="67" spans="1:5" ht="15.75" customHeight="1" x14ac:dyDescent="0.25">
      <c r="A67" s="6">
        <f t="shared" si="0"/>
        <v>66</v>
      </c>
      <c r="B67" s="7">
        <v>304</v>
      </c>
      <c r="C67" s="9" t="s">
        <v>203</v>
      </c>
      <c r="D67" s="6" t="s">
        <v>204</v>
      </c>
      <c r="E67" s="6" t="s">
        <v>205</v>
      </c>
    </row>
    <row r="68" spans="1:5" ht="15.75" customHeight="1" x14ac:dyDescent="0.25">
      <c r="A68" s="6">
        <f t="shared" si="0"/>
        <v>67</v>
      </c>
      <c r="B68" s="7">
        <v>305</v>
      </c>
      <c r="C68" s="9" t="s">
        <v>206</v>
      </c>
      <c r="D68" s="6" t="s">
        <v>207</v>
      </c>
      <c r="E68" s="6" t="s">
        <v>208</v>
      </c>
    </row>
    <row r="69" spans="1:5" ht="15.75" customHeight="1" x14ac:dyDescent="0.25">
      <c r="A69" s="6">
        <f t="shared" si="0"/>
        <v>68</v>
      </c>
      <c r="B69" s="7">
        <v>306</v>
      </c>
      <c r="C69" s="9" t="s">
        <v>209</v>
      </c>
      <c r="D69" s="6" t="s">
        <v>210</v>
      </c>
      <c r="E69" s="6" t="s">
        <v>211</v>
      </c>
    </row>
    <row r="70" spans="1:5" ht="15.75" customHeight="1" x14ac:dyDescent="0.25">
      <c r="A70" s="6">
        <f t="shared" si="0"/>
        <v>69</v>
      </c>
      <c r="B70" s="7">
        <v>307</v>
      </c>
      <c r="C70" s="9" t="s">
        <v>212</v>
      </c>
      <c r="D70" s="6" t="s">
        <v>213</v>
      </c>
      <c r="E70" s="6" t="s">
        <v>214</v>
      </c>
    </row>
    <row r="71" spans="1:5" ht="15.75" customHeight="1" x14ac:dyDescent="0.25">
      <c r="A71" s="6">
        <f t="shared" si="0"/>
        <v>70</v>
      </c>
      <c r="B71" s="7">
        <v>308</v>
      </c>
      <c r="C71" s="9" t="s">
        <v>215</v>
      </c>
      <c r="D71" s="6" t="s">
        <v>216</v>
      </c>
      <c r="E71" s="6" t="s">
        <v>217</v>
      </c>
    </row>
    <row r="72" spans="1:5" ht="15.75" customHeight="1" x14ac:dyDescent="0.25">
      <c r="A72" s="6">
        <f t="shared" si="0"/>
        <v>71</v>
      </c>
      <c r="B72" s="7">
        <v>309</v>
      </c>
      <c r="C72" s="9" t="s">
        <v>218</v>
      </c>
      <c r="D72" s="6" t="s">
        <v>219</v>
      </c>
      <c r="E72" s="6" t="s">
        <v>220</v>
      </c>
    </row>
    <row r="73" spans="1:5" ht="15.75" customHeight="1" x14ac:dyDescent="0.25">
      <c r="A73" s="6">
        <f t="shared" si="0"/>
        <v>72</v>
      </c>
      <c r="B73" s="7">
        <v>310</v>
      </c>
      <c r="C73" s="9" t="s">
        <v>221</v>
      </c>
      <c r="D73" s="6" t="s">
        <v>222</v>
      </c>
      <c r="E73" s="6" t="s">
        <v>223</v>
      </c>
    </row>
    <row r="74" spans="1:5" ht="15.75" customHeight="1" x14ac:dyDescent="0.25">
      <c r="A74" s="6">
        <f t="shared" si="0"/>
        <v>73</v>
      </c>
      <c r="B74" s="7">
        <v>311</v>
      </c>
      <c r="C74" s="9" t="s">
        <v>224</v>
      </c>
      <c r="D74" s="6" t="s">
        <v>225</v>
      </c>
      <c r="E74" s="6" t="s">
        <v>226</v>
      </c>
    </row>
    <row r="75" spans="1:5" ht="15.75" customHeight="1" x14ac:dyDescent="0.25">
      <c r="A75" s="6">
        <f t="shared" si="0"/>
        <v>74</v>
      </c>
      <c r="B75" s="7">
        <v>312</v>
      </c>
      <c r="C75" s="9" t="s">
        <v>227</v>
      </c>
      <c r="D75" s="6" t="s">
        <v>228</v>
      </c>
      <c r="E75" s="6" t="s">
        <v>229</v>
      </c>
    </row>
    <row r="76" spans="1:5" ht="15.75" customHeight="1" x14ac:dyDescent="0.25">
      <c r="A76" s="6">
        <f t="shared" si="0"/>
        <v>75</v>
      </c>
      <c r="B76" s="7">
        <v>313</v>
      </c>
      <c r="C76" s="9" t="s">
        <v>230</v>
      </c>
      <c r="D76" s="6" t="s">
        <v>231</v>
      </c>
      <c r="E76" s="6" t="s">
        <v>232</v>
      </c>
    </row>
    <row r="77" spans="1:5" ht="15.75" customHeight="1" x14ac:dyDescent="0.25">
      <c r="A77" s="6">
        <f t="shared" si="0"/>
        <v>76</v>
      </c>
      <c r="B77" s="7">
        <v>314</v>
      </c>
      <c r="C77" s="9" t="s">
        <v>233</v>
      </c>
      <c r="D77" s="6" t="s">
        <v>234</v>
      </c>
      <c r="E77" s="6" t="s">
        <v>235</v>
      </c>
    </row>
    <row r="78" spans="1:5" ht="15.75" customHeight="1" x14ac:dyDescent="0.25">
      <c r="A78" s="6">
        <f t="shared" si="0"/>
        <v>77</v>
      </c>
      <c r="B78" s="7">
        <v>315</v>
      </c>
      <c r="C78" s="9" t="s">
        <v>236</v>
      </c>
      <c r="D78" s="6" t="s">
        <v>237</v>
      </c>
      <c r="E78" s="6" t="s">
        <v>238</v>
      </c>
    </row>
    <row r="79" spans="1:5" ht="15.75" customHeight="1" x14ac:dyDescent="0.25">
      <c r="A79" s="6">
        <f t="shared" si="0"/>
        <v>78</v>
      </c>
      <c r="B79" s="7">
        <v>316</v>
      </c>
      <c r="C79" s="9" t="s">
        <v>239</v>
      </c>
      <c r="D79" s="6" t="s">
        <v>240</v>
      </c>
      <c r="E79" s="6" t="s">
        <v>241</v>
      </c>
    </row>
    <row r="80" spans="1:5" ht="15.75" customHeight="1" x14ac:dyDescent="0.25">
      <c r="A80" s="6">
        <f t="shared" si="0"/>
        <v>79</v>
      </c>
      <c r="B80" s="7">
        <v>317</v>
      </c>
      <c r="C80" s="9" t="s">
        <v>242</v>
      </c>
      <c r="D80" s="6" t="s">
        <v>243</v>
      </c>
      <c r="E80" s="6" t="s">
        <v>244</v>
      </c>
    </row>
    <row r="81" spans="1:5" ht="15.75" customHeight="1" x14ac:dyDescent="0.25">
      <c r="A81" s="6">
        <f t="shared" si="0"/>
        <v>80</v>
      </c>
      <c r="B81" s="7">
        <v>318</v>
      </c>
      <c r="C81" s="10" t="s">
        <v>245</v>
      </c>
      <c r="D81" s="6" t="s">
        <v>246</v>
      </c>
      <c r="E81" s="6" t="s">
        <v>247</v>
      </c>
    </row>
    <row r="82" spans="1:5" ht="15.75" customHeight="1" x14ac:dyDescent="0.25">
      <c r="A82" s="6">
        <f t="shared" si="0"/>
        <v>81</v>
      </c>
      <c r="B82" s="7">
        <v>319</v>
      </c>
      <c r="C82" s="10" t="s">
        <v>248</v>
      </c>
      <c r="D82" s="6" t="s">
        <v>249</v>
      </c>
      <c r="E82" s="6" t="s">
        <v>250</v>
      </c>
    </row>
    <row r="83" spans="1:5" ht="15.75" customHeight="1" x14ac:dyDescent="0.25">
      <c r="A83" s="6">
        <f t="shared" si="0"/>
        <v>82</v>
      </c>
      <c r="B83" s="7">
        <v>320</v>
      </c>
      <c r="C83" s="10" t="s">
        <v>251</v>
      </c>
      <c r="D83" s="6" t="s">
        <v>252</v>
      </c>
      <c r="E83" s="6" t="s">
        <v>253</v>
      </c>
    </row>
    <row r="84" spans="1:5" ht="15.75" customHeight="1" x14ac:dyDescent="0.25">
      <c r="A84" s="6">
        <f t="shared" si="0"/>
        <v>83</v>
      </c>
      <c r="B84" s="7">
        <v>321</v>
      </c>
      <c r="C84" s="10" t="s">
        <v>254</v>
      </c>
      <c r="D84" s="6" t="s">
        <v>255</v>
      </c>
      <c r="E84" s="6" t="s">
        <v>256</v>
      </c>
    </row>
    <row r="85" spans="1:5" ht="15.75" customHeight="1" x14ac:dyDescent="0.25">
      <c r="A85" s="6">
        <f t="shared" si="0"/>
        <v>84</v>
      </c>
      <c r="B85" s="7">
        <v>322</v>
      </c>
      <c r="C85" s="10" t="s">
        <v>257</v>
      </c>
      <c r="D85" s="6" t="s">
        <v>258</v>
      </c>
      <c r="E85" s="6" t="s">
        <v>259</v>
      </c>
    </row>
    <row r="86" spans="1:5" ht="15.75" customHeight="1" x14ac:dyDescent="0.25">
      <c r="A86" s="6">
        <f t="shared" si="0"/>
        <v>85</v>
      </c>
      <c r="B86" s="7">
        <v>401</v>
      </c>
      <c r="C86" s="9" t="s">
        <v>260</v>
      </c>
      <c r="D86" s="6" t="s">
        <v>261</v>
      </c>
      <c r="E86" s="6" t="s">
        <v>262</v>
      </c>
    </row>
    <row r="87" spans="1:5" ht="15.75" customHeight="1" x14ac:dyDescent="0.25">
      <c r="A87" s="6">
        <f t="shared" si="0"/>
        <v>86</v>
      </c>
      <c r="B87" s="7">
        <v>402</v>
      </c>
      <c r="C87" s="9" t="s">
        <v>263</v>
      </c>
      <c r="D87" s="6" t="s">
        <v>264</v>
      </c>
      <c r="E87" s="6" t="s">
        <v>265</v>
      </c>
    </row>
    <row r="88" spans="1:5" ht="15.75" customHeight="1" x14ac:dyDescent="0.25">
      <c r="A88" s="6">
        <f t="shared" si="0"/>
        <v>87</v>
      </c>
      <c r="B88" s="7">
        <v>403</v>
      </c>
      <c r="C88" s="9" t="s">
        <v>266</v>
      </c>
      <c r="D88" s="6" t="s">
        <v>267</v>
      </c>
      <c r="E88" s="6" t="s">
        <v>268</v>
      </c>
    </row>
    <row r="89" spans="1:5" ht="15.75" customHeight="1" x14ac:dyDescent="0.25">
      <c r="A89" s="6">
        <f t="shared" si="0"/>
        <v>88</v>
      </c>
      <c r="B89" s="7">
        <v>404</v>
      </c>
      <c r="C89" s="9" t="s">
        <v>269</v>
      </c>
      <c r="D89" s="6" t="s">
        <v>270</v>
      </c>
      <c r="E89" s="6" t="s">
        <v>271</v>
      </c>
    </row>
    <row r="90" spans="1:5" ht="15.75" customHeight="1" x14ac:dyDescent="0.25">
      <c r="A90" s="6">
        <f t="shared" si="0"/>
        <v>89</v>
      </c>
      <c r="B90" s="7">
        <v>405</v>
      </c>
      <c r="C90" s="9" t="s">
        <v>272</v>
      </c>
      <c r="D90" s="6" t="s">
        <v>273</v>
      </c>
      <c r="E90" s="6" t="s">
        <v>274</v>
      </c>
    </row>
    <row r="91" spans="1:5" ht="15.75" customHeight="1" x14ac:dyDescent="0.25">
      <c r="A91" s="6">
        <f t="shared" si="0"/>
        <v>90</v>
      </c>
      <c r="B91" s="7">
        <v>500</v>
      </c>
      <c r="C91" s="9" t="s">
        <v>275</v>
      </c>
      <c r="D91" s="6" t="s">
        <v>276</v>
      </c>
      <c r="E91" s="6" t="s">
        <v>277</v>
      </c>
    </row>
    <row r="92" spans="1:5" ht="15.75" customHeight="1" x14ac:dyDescent="0.25">
      <c r="A92" s="6">
        <f t="shared" si="0"/>
        <v>91</v>
      </c>
      <c r="B92" s="7">
        <v>501</v>
      </c>
      <c r="C92" s="9" t="s">
        <v>278</v>
      </c>
      <c r="D92" s="6" t="s">
        <v>279</v>
      </c>
      <c r="E92" s="6" t="s">
        <v>280</v>
      </c>
    </row>
    <row r="93" spans="1:5" ht="15.75" customHeight="1" x14ac:dyDescent="0.25">
      <c r="A93" s="6">
        <f t="shared" si="0"/>
        <v>92</v>
      </c>
      <c r="B93" s="7">
        <v>502</v>
      </c>
      <c r="C93" s="9" t="s">
        <v>281</v>
      </c>
      <c r="D93" s="6" t="s">
        <v>282</v>
      </c>
      <c r="E93" s="6" t="s">
        <v>283</v>
      </c>
    </row>
    <row r="94" spans="1:5" ht="15.75" customHeight="1" x14ac:dyDescent="0.25">
      <c r="A94" s="6">
        <f t="shared" si="0"/>
        <v>93</v>
      </c>
      <c r="B94" s="7">
        <v>601</v>
      </c>
      <c r="C94" s="9" t="s">
        <v>284</v>
      </c>
      <c r="D94" s="6" t="s">
        <v>285</v>
      </c>
      <c r="E94" s="6" t="s">
        <v>286</v>
      </c>
    </row>
    <row r="95" spans="1:5" ht="15.75" customHeight="1" x14ac:dyDescent="0.25">
      <c r="A95" s="6">
        <f t="shared" si="0"/>
        <v>94</v>
      </c>
      <c r="B95" s="7">
        <v>602</v>
      </c>
      <c r="C95" s="9" t="s">
        <v>287</v>
      </c>
      <c r="D95" s="6" t="s">
        <v>288</v>
      </c>
      <c r="E95" s="6" t="s">
        <v>289</v>
      </c>
    </row>
    <row r="96" spans="1:5" ht="15.75" customHeight="1" x14ac:dyDescent="0.25">
      <c r="A96" s="6">
        <f t="shared" si="0"/>
        <v>95</v>
      </c>
      <c r="B96" s="7">
        <v>603</v>
      </c>
      <c r="C96" s="9" t="s">
        <v>290</v>
      </c>
      <c r="D96" s="6" t="s">
        <v>291</v>
      </c>
      <c r="E96" s="6" t="s">
        <v>292</v>
      </c>
    </row>
    <row r="97" spans="1:5" ht="15.75" customHeight="1" x14ac:dyDescent="0.25">
      <c r="A97" s="6">
        <f t="shared" si="0"/>
        <v>96</v>
      </c>
      <c r="B97" s="7">
        <v>604</v>
      </c>
      <c r="C97" s="9" t="s">
        <v>293</v>
      </c>
      <c r="D97" s="6" t="s">
        <v>294</v>
      </c>
      <c r="E97" s="6" t="s">
        <v>295</v>
      </c>
    </row>
    <row r="98" spans="1:5" ht="15.75" customHeight="1" x14ac:dyDescent="0.25">
      <c r="A98" s="6">
        <f t="shared" si="0"/>
        <v>97</v>
      </c>
      <c r="B98" s="7">
        <v>605</v>
      </c>
      <c r="C98" s="9" t="s">
        <v>296</v>
      </c>
      <c r="D98" s="6" t="s">
        <v>297</v>
      </c>
      <c r="E98" s="6" t="s">
        <v>298</v>
      </c>
    </row>
    <row r="99" spans="1:5" ht="15.75" customHeight="1" x14ac:dyDescent="0.25">
      <c r="A99" s="6">
        <f t="shared" si="0"/>
        <v>98</v>
      </c>
      <c r="B99" s="7">
        <v>606</v>
      </c>
      <c r="C99" s="9" t="s">
        <v>299</v>
      </c>
      <c r="D99" s="6" t="s">
        <v>300</v>
      </c>
      <c r="E99" s="6" t="s">
        <v>301</v>
      </c>
    </row>
    <row r="100" spans="1:5" ht="15.75" customHeight="1" x14ac:dyDescent="0.25">
      <c r="A100" s="6">
        <f t="shared" si="0"/>
        <v>99</v>
      </c>
      <c r="B100" s="7">
        <v>607</v>
      </c>
      <c r="C100" s="9" t="s">
        <v>302</v>
      </c>
      <c r="D100" s="6" t="s">
        <v>303</v>
      </c>
      <c r="E100" s="6" t="s">
        <v>304</v>
      </c>
    </row>
    <row r="101" spans="1:5" ht="15.75" customHeight="1" x14ac:dyDescent="0.25">
      <c r="A101" s="6">
        <f t="shared" si="0"/>
        <v>100</v>
      </c>
      <c r="B101" s="7">
        <v>608</v>
      </c>
      <c r="C101" s="9" t="s">
        <v>305</v>
      </c>
      <c r="D101" s="6" t="s">
        <v>306</v>
      </c>
      <c r="E101" s="6" t="s">
        <v>307</v>
      </c>
    </row>
    <row r="102" spans="1:5" ht="15.75" customHeight="1" x14ac:dyDescent="0.25">
      <c r="A102" s="6">
        <f t="shared" si="0"/>
        <v>101</v>
      </c>
      <c r="B102" s="7">
        <v>701</v>
      </c>
      <c r="C102" s="9" t="s">
        <v>308</v>
      </c>
      <c r="D102" s="6" t="s">
        <v>309</v>
      </c>
      <c r="E102" s="6" t="s">
        <v>310</v>
      </c>
    </row>
    <row r="103" spans="1:5" ht="15.75" customHeight="1" x14ac:dyDescent="0.25">
      <c r="A103" s="6">
        <f t="shared" si="0"/>
        <v>102</v>
      </c>
      <c r="B103" s="7">
        <v>702</v>
      </c>
      <c r="C103" s="9" t="s">
        <v>311</v>
      </c>
      <c r="D103" s="6" t="s">
        <v>312</v>
      </c>
      <c r="E103" s="6" t="s">
        <v>313</v>
      </c>
    </row>
    <row r="104" spans="1:5" ht="15.75" customHeight="1" x14ac:dyDescent="0.25">
      <c r="A104" s="6">
        <f t="shared" si="0"/>
        <v>103</v>
      </c>
      <c r="B104" s="7">
        <v>703</v>
      </c>
      <c r="C104" s="9" t="s">
        <v>314</v>
      </c>
      <c r="D104" s="6" t="s">
        <v>315</v>
      </c>
      <c r="E104" s="6" t="s">
        <v>316</v>
      </c>
    </row>
    <row r="105" spans="1:5" ht="15.75" customHeight="1" x14ac:dyDescent="0.25">
      <c r="A105" s="6">
        <f t="shared" si="0"/>
        <v>104</v>
      </c>
      <c r="B105" s="7">
        <v>704</v>
      </c>
      <c r="C105" s="9" t="s">
        <v>317</v>
      </c>
      <c r="D105" s="6" t="s">
        <v>318</v>
      </c>
      <c r="E105" s="6" t="s">
        <v>319</v>
      </c>
    </row>
    <row r="106" spans="1:5" ht="15.75" customHeight="1" x14ac:dyDescent="0.25">
      <c r="A106" s="6">
        <f t="shared" si="0"/>
        <v>105</v>
      </c>
      <c r="B106" s="7">
        <v>705</v>
      </c>
      <c r="C106" s="9" t="s">
        <v>320</v>
      </c>
      <c r="D106" s="6" t="s">
        <v>321</v>
      </c>
      <c r="E106" s="6" t="s">
        <v>322</v>
      </c>
    </row>
    <row r="107" spans="1:5" ht="15.75" customHeight="1" x14ac:dyDescent="0.25">
      <c r="A107" s="6">
        <f t="shared" si="0"/>
        <v>106</v>
      </c>
      <c r="B107" s="7">
        <v>706</v>
      </c>
      <c r="C107" s="9" t="s">
        <v>323</v>
      </c>
      <c r="D107" s="6" t="s">
        <v>324</v>
      </c>
      <c r="E107" s="6" t="s">
        <v>325</v>
      </c>
    </row>
    <row r="108" spans="1:5" ht="15.75" customHeight="1" x14ac:dyDescent="0.25">
      <c r="A108" s="6">
        <f t="shared" si="0"/>
        <v>107</v>
      </c>
      <c r="B108" s="7">
        <v>707</v>
      </c>
      <c r="C108" s="9" t="s">
        <v>326</v>
      </c>
      <c r="D108" s="6" t="s">
        <v>327</v>
      </c>
      <c r="E108" s="6" t="s">
        <v>328</v>
      </c>
    </row>
    <row r="109" spans="1:5" ht="15.75" customHeight="1" x14ac:dyDescent="0.25">
      <c r="A109" s="6">
        <f t="shared" si="0"/>
        <v>108</v>
      </c>
      <c r="B109" s="7">
        <v>708</v>
      </c>
      <c r="C109" s="9" t="s">
        <v>329</v>
      </c>
      <c r="D109" s="6" t="s">
        <v>330</v>
      </c>
      <c r="E109" s="6" t="s">
        <v>331</v>
      </c>
    </row>
    <row r="110" spans="1:5" ht="15.75" customHeight="1" x14ac:dyDescent="0.25">
      <c r="A110" s="6">
        <f t="shared" si="0"/>
        <v>109</v>
      </c>
      <c r="B110" s="11">
        <v>710</v>
      </c>
      <c r="C110" s="8" t="s">
        <v>332</v>
      </c>
      <c r="D110" s="12" t="s">
        <v>333</v>
      </c>
      <c r="E110" s="12" t="s">
        <v>334</v>
      </c>
    </row>
    <row r="111" spans="1:5" ht="15.75" customHeight="1" x14ac:dyDescent="0.25">
      <c r="A111" s="6">
        <f>A109+1</f>
        <v>109</v>
      </c>
      <c r="B111" s="7">
        <v>709</v>
      </c>
      <c r="C111" s="9" t="s">
        <v>335</v>
      </c>
      <c r="D111" s="6" t="s">
        <v>336</v>
      </c>
      <c r="E111" s="6" t="s">
        <v>337</v>
      </c>
    </row>
    <row r="112" spans="1:5" ht="15.75" customHeight="1" x14ac:dyDescent="0.25">
      <c r="A112" s="6">
        <f t="shared" ref="A112:A113" si="1">A111+1</f>
        <v>110</v>
      </c>
      <c r="B112" s="7">
        <v>753</v>
      </c>
      <c r="C112" s="9" t="s">
        <v>338</v>
      </c>
      <c r="D112" s="6" t="s">
        <v>339</v>
      </c>
      <c r="E112" s="6" t="s">
        <v>340</v>
      </c>
    </row>
    <row r="113" spans="1:5" ht="15.75" customHeight="1" x14ac:dyDescent="0.25">
      <c r="A113" s="6">
        <f t="shared" si="1"/>
        <v>111</v>
      </c>
      <c r="B113" s="7">
        <v>754</v>
      </c>
      <c r="C113" s="9" t="s">
        <v>341</v>
      </c>
      <c r="D113" s="6" t="s">
        <v>342</v>
      </c>
      <c r="E113" s="6" t="s">
        <v>343</v>
      </c>
    </row>
    <row r="114" spans="1:5" ht="15.75" customHeight="1" x14ac:dyDescent="0.25">
      <c r="A114" s="6">
        <f>A112+1</f>
        <v>111</v>
      </c>
      <c r="B114" s="7">
        <v>755</v>
      </c>
      <c r="C114" s="9" t="s">
        <v>344</v>
      </c>
      <c r="D114" s="6" t="s">
        <v>345</v>
      </c>
      <c r="E114" s="13" t="s">
        <v>346</v>
      </c>
    </row>
    <row r="115" spans="1:5" ht="15.75" customHeight="1" x14ac:dyDescent="0.25">
      <c r="A115" s="6">
        <f t="shared" ref="A115:A169" si="2">A114+1</f>
        <v>112</v>
      </c>
      <c r="B115" s="7">
        <v>756</v>
      </c>
      <c r="C115" s="9" t="s">
        <v>347</v>
      </c>
      <c r="D115" s="6" t="s">
        <v>348</v>
      </c>
      <c r="E115" s="13" t="s">
        <v>349</v>
      </c>
    </row>
    <row r="116" spans="1:5" ht="15.75" customHeight="1" x14ac:dyDescent="0.25">
      <c r="A116" s="6">
        <f t="shared" si="2"/>
        <v>113</v>
      </c>
      <c r="B116" s="7">
        <v>757</v>
      </c>
      <c r="C116" s="9" t="s">
        <v>350</v>
      </c>
      <c r="D116" s="6" t="s">
        <v>351</v>
      </c>
      <c r="E116" s="6" t="s">
        <v>352</v>
      </c>
    </row>
    <row r="117" spans="1:5" ht="15.75" customHeight="1" x14ac:dyDescent="0.25">
      <c r="A117" s="6">
        <f t="shared" si="2"/>
        <v>114</v>
      </c>
      <c r="B117" s="7">
        <v>758</v>
      </c>
      <c r="C117" s="9" t="s">
        <v>353</v>
      </c>
      <c r="D117" s="6" t="s">
        <v>354</v>
      </c>
      <c r="E117" s="6" t="s">
        <v>355</v>
      </c>
    </row>
    <row r="118" spans="1:5" ht="15.75" customHeight="1" x14ac:dyDescent="0.25">
      <c r="A118" s="6">
        <f t="shared" si="2"/>
        <v>115</v>
      </c>
      <c r="B118" s="7">
        <v>759</v>
      </c>
      <c r="C118" s="9" t="s">
        <v>356</v>
      </c>
      <c r="D118" s="6" t="s">
        <v>357</v>
      </c>
      <c r="E118" s="6" t="s">
        <v>358</v>
      </c>
    </row>
    <row r="119" spans="1:5" ht="45" x14ac:dyDescent="0.25">
      <c r="A119" s="6">
        <f t="shared" si="2"/>
        <v>116</v>
      </c>
      <c r="B119" s="11">
        <v>5000</v>
      </c>
      <c r="C119" s="14" t="s">
        <v>359</v>
      </c>
      <c r="D119" s="12" t="s">
        <v>360</v>
      </c>
      <c r="E119" s="6" t="s">
        <v>361</v>
      </c>
    </row>
    <row r="120" spans="1:5" ht="45" x14ac:dyDescent="0.25">
      <c r="A120" s="6">
        <f t="shared" si="2"/>
        <v>117</v>
      </c>
      <c r="B120" s="11">
        <v>5001</v>
      </c>
      <c r="C120" s="14" t="s">
        <v>362</v>
      </c>
      <c r="D120" s="6" t="s">
        <v>363</v>
      </c>
      <c r="E120" s="12" t="s">
        <v>361</v>
      </c>
    </row>
    <row r="121" spans="1:5" ht="45" x14ac:dyDescent="0.25">
      <c r="A121" s="6">
        <f t="shared" si="2"/>
        <v>118</v>
      </c>
      <c r="B121" s="11">
        <v>5002</v>
      </c>
      <c r="C121" s="14" t="s">
        <v>364</v>
      </c>
      <c r="D121" s="6" t="s">
        <v>365</v>
      </c>
      <c r="E121" s="6" t="s">
        <v>366</v>
      </c>
    </row>
    <row r="122" spans="1:5" ht="30" x14ac:dyDescent="0.25">
      <c r="A122" s="6">
        <f t="shared" si="2"/>
        <v>119</v>
      </c>
      <c r="B122" s="11">
        <v>5003</v>
      </c>
      <c r="C122" s="14" t="s">
        <v>367</v>
      </c>
      <c r="D122" s="6" t="s">
        <v>368</v>
      </c>
      <c r="E122" s="6" t="s">
        <v>369</v>
      </c>
    </row>
    <row r="123" spans="1:5" ht="60" x14ac:dyDescent="0.25">
      <c r="A123" s="6">
        <f t="shared" si="2"/>
        <v>120</v>
      </c>
      <c r="B123" s="11">
        <v>5004</v>
      </c>
      <c r="C123" s="14" t="s">
        <v>370</v>
      </c>
      <c r="D123" s="6" t="s">
        <v>371</v>
      </c>
      <c r="E123" s="6" t="s">
        <v>372</v>
      </c>
    </row>
    <row r="124" spans="1:5" ht="90" x14ac:dyDescent="0.25">
      <c r="A124" s="6">
        <f t="shared" si="2"/>
        <v>121</v>
      </c>
      <c r="B124" s="11">
        <v>5005</v>
      </c>
      <c r="C124" s="14" t="s">
        <v>373</v>
      </c>
      <c r="D124" s="6" t="s">
        <v>374</v>
      </c>
      <c r="E124" s="6" t="s">
        <v>375</v>
      </c>
    </row>
    <row r="125" spans="1:5" ht="90" x14ac:dyDescent="0.25">
      <c r="A125" s="6">
        <f t="shared" si="2"/>
        <v>122</v>
      </c>
      <c r="B125" s="11">
        <v>5006</v>
      </c>
      <c r="C125" s="14" t="s">
        <v>376</v>
      </c>
      <c r="D125" s="6" t="s">
        <v>377</v>
      </c>
      <c r="E125" s="6" t="s">
        <v>378</v>
      </c>
    </row>
    <row r="126" spans="1:5" ht="60" x14ac:dyDescent="0.25">
      <c r="A126" s="6">
        <f t="shared" si="2"/>
        <v>123</v>
      </c>
      <c r="B126" s="11">
        <v>5007</v>
      </c>
      <c r="C126" s="14" t="s">
        <v>379</v>
      </c>
      <c r="D126" s="6" t="s">
        <v>380</v>
      </c>
      <c r="E126" s="6" t="s">
        <v>381</v>
      </c>
    </row>
    <row r="127" spans="1:5" ht="30" x14ac:dyDescent="0.25">
      <c r="A127" s="6">
        <f t="shared" si="2"/>
        <v>124</v>
      </c>
      <c r="B127" s="11">
        <v>5008</v>
      </c>
      <c r="C127" s="14" t="s">
        <v>382</v>
      </c>
      <c r="D127" s="6" t="s">
        <v>383</v>
      </c>
      <c r="E127" s="6" t="s">
        <v>384</v>
      </c>
    </row>
    <row r="128" spans="1:5" ht="30" x14ac:dyDescent="0.25">
      <c r="A128" s="6">
        <f t="shared" si="2"/>
        <v>125</v>
      </c>
      <c r="B128" s="11">
        <v>5009</v>
      </c>
      <c r="C128" s="14" t="s">
        <v>385</v>
      </c>
      <c r="D128" s="6" t="s">
        <v>386</v>
      </c>
      <c r="E128" s="6" t="s">
        <v>369</v>
      </c>
    </row>
    <row r="129" spans="1:5" ht="240" x14ac:dyDescent="0.25">
      <c r="A129" s="6">
        <f t="shared" si="2"/>
        <v>126</v>
      </c>
      <c r="B129" s="11">
        <v>5010</v>
      </c>
      <c r="C129" s="14" t="s">
        <v>387</v>
      </c>
      <c r="D129" s="6" t="s">
        <v>388</v>
      </c>
      <c r="E129" s="12" t="s">
        <v>389</v>
      </c>
    </row>
    <row r="130" spans="1:5" ht="45" x14ac:dyDescent="0.25">
      <c r="A130" s="6">
        <f t="shared" si="2"/>
        <v>127</v>
      </c>
      <c r="B130" s="11">
        <v>5011</v>
      </c>
      <c r="C130" s="14" t="s">
        <v>390</v>
      </c>
      <c r="D130" s="6" t="s">
        <v>391</v>
      </c>
      <c r="E130" s="6" t="s">
        <v>392</v>
      </c>
    </row>
    <row r="131" spans="1:5" ht="15.75" customHeight="1" x14ac:dyDescent="0.25">
      <c r="A131" s="6">
        <f t="shared" si="2"/>
        <v>128</v>
      </c>
      <c r="B131" s="7">
        <v>10000</v>
      </c>
      <c r="C131" s="9" t="s">
        <v>393</v>
      </c>
      <c r="D131" s="6" t="s">
        <v>394</v>
      </c>
      <c r="E131" s="6" t="s">
        <v>395</v>
      </c>
    </row>
    <row r="132" spans="1:5" ht="15.75" customHeight="1" x14ac:dyDescent="0.25">
      <c r="A132" s="6">
        <f t="shared" si="2"/>
        <v>129</v>
      </c>
      <c r="B132" s="7">
        <v>10001</v>
      </c>
      <c r="C132" s="9" t="s">
        <v>396</v>
      </c>
      <c r="D132" s="6" t="s">
        <v>397</v>
      </c>
      <c r="E132" s="6" t="s">
        <v>398</v>
      </c>
    </row>
    <row r="133" spans="1:5" ht="15.75" customHeight="1" x14ac:dyDescent="0.25">
      <c r="A133" s="6">
        <f t="shared" si="2"/>
        <v>130</v>
      </c>
      <c r="B133" s="7">
        <v>10002</v>
      </c>
      <c r="C133" s="9" t="s">
        <v>399</v>
      </c>
      <c r="D133" s="6" t="s">
        <v>400</v>
      </c>
      <c r="E133" s="6" t="s">
        <v>401</v>
      </c>
    </row>
    <row r="134" spans="1:5" ht="15.75" customHeight="1" x14ac:dyDescent="0.25">
      <c r="A134" s="6">
        <f t="shared" si="2"/>
        <v>131</v>
      </c>
      <c r="B134" s="7">
        <v>10003</v>
      </c>
      <c r="C134" s="9" t="s">
        <v>402</v>
      </c>
      <c r="D134" s="6" t="s">
        <v>403</v>
      </c>
      <c r="E134" s="6" t="s">
        <v>404</v>
      </c>
    </row>
    <row r="135" spans="1:5" ht="15.75" customHeight="1" x14ac:dyDescent="0.25">
      <c r="A135" s="6">
        <f t="shared" si="2"/>
        <v>132</v>
      </c>
      <c r="B135" s="7">
        <v>10004</v>
      </c>
      <c r="C135" s="9" t="s">
        <v>405</v>
      </c>
      <c r="D135" s="6" t="s">
        <v>406</v>
      </c>
      <c r="E135" s="6" t="s">
        <v>407</v>
      </c>
    </row>
    <row r="136" spans="1:5" ht="15.75" customHeight="1" x14ac:dyDescent="0.25">
      <c r="A136" s="6">
        <f t="shared" si="2"/>
        <v>133</v>
      </c>
      <c r="B136" s="7">
        <v>10005</v>
      </c>
      <c r="C136" s="9" t="s">
        <v>408</v>
      </c>
      <c r="D136" s="6" t="s">
        <v>409</v>
      </c>
      <c r="E136" s="6" t="s">
        <v>410</v>
      </c>
    </row>
    <row r="137" spans="1:5" ht="15.75" customHeight="1" x14ac:dyDescent="0.25">
      <c r="A137" s="6">
        <f t="shared" si="2"/>
        <v>134</v>
      </c>
      <c r="B137" s="7">
        <v>10006</v>
      </c>
      <c r="C137" s="9" t="s">
        <v>411</v>
      </c>
      <c r="D137" s="6" t="s">
        <v>412</v>
      </c>
      <c r="E137" s="6" t="s">
        <v>413</v>
      </c>
    </row>
    <row r="138" spans="1:5" ht="15.75" customHeight="1" x14ac:dyDescent="0.25">
      <c r="A138" s="6">
        <f t="shared" si="2"/>
        <v>135</v>
      </c>
      <c r="B138" s="7">
        <v>20001</v>
      </c>
      <c r="C138" s="9" t="s">
        <v>414</v>
      </c>
      <c r="D138" s="6" t="s">
        <v>415</v>
      </c>
      <c r="E138" s="6" t="s">
        <v>415</v>
      </c>
    </row>
    <row r="139" spans="1:5" ht="15.75" customHeight="1" x14ac:dyDescent="0.25">
      <c r="A139" s="6">
        <f t="shared" si="2"/>
        <v>136</v>
      </c>
      <c r="B139" s="7">
        <v>20002</v>
      </c>
      <c r="C139" s="15" t="s">
        <v>416</v>
      </c>
      <c r="D139" s="12" t="s">
        <v>417</v>
      </c>
      <c r="E139" s="12" t="s">
        <v>417</v>
      </c>
    </row>
    <row r="140" spans="1:5" ht="15.75" customHeight="1" x14ac:dyDescent="0.25">
      <c r="A140" s="6">
        <f t="shared" si="2"/>
        <v>137</v>
      </c>
      <c r="B140" s="7">
        <v>50000</v>
      </c>
      <c r="C140" s="15" t="s">
        <v>418</v>
      </c>
      <c r="D140" s="12" t="s">
        <v>419</v>
      </c>
      <c r="E140" s="16" t="s">
        <v>420</v>
      </c>
    </row>
    <row r="141" spans="1:5" ht="15.75" customHeight="1" x14ac:dyDescent="0.25">
      <c r="A141" s="6">
        <f t="shared" si="2"/>
        <v>138</v>
      </c>
      <c r="B141" s="7">
        <v>50001</v>
      </c>
      <c r="C141" s="15" t="s">
        <v>421</v>
      </c>
      <c r="D141" s="12" t="s">
        <v>422</v>
      </c>
      <c r="E141" s="16" t="s">
        <v>423</v>
      </c>
    </row>
    <row r="142" spans="1:5" ht="15.75" customHeight="1" x14ac:dyDescent="0.25">
      <c r="A142" s="6">
        <f t="shared" si="2"/>
        <v>139</v>
      </c>
      <c r="B142" s="7">
        <v>50003</v>
      </c>
      <c r="C142" s="15" t="s">
        <v>424</v>
      </c>
      <c r="D142" s="12" t="s">
        <v>425</v>
      </c>
      <c r="E142" s="16" t="s">
        <v>426</v>
      </c>
    </row>
    <row r="143" spans="1:5" ht="15.75" customHeight="1" x14ac:dyDescent="0.25">
      <c r="A143" s="6">
        <f t="shared" si="2"/>
        <v>140</v>
      </c>
      <c r="B143" s="7">
        <v>50004</v>
      </c>
      <c r="C143" s="15" t="s">
        <v>427</v>
      </c>
      <c r="D143" s="12" t="s">
        <v>428</v>
      </c>
      <c r="E143" s="16" t="s">
        <v>429</v>
      </c>
    </row>
    <row r="144" spans="1:5" ht="15.75" customHeight="1" x14ac:dyDescent="0.25">
      <c r="A144" s="6">
        <f t="shared" si="2"/>
        <v>141</v>
      </c>
      <c r="B144" s="7">
        <v>50005</v>
      </c>
      <c r="C144" s="15" t="s">
        <v>430</v>
      </c>
      <c r="D144" s="12" t="s">
        <v>431</v>
      </c>
      <c r="E144" s="16" t="s">
        <v>432</v>
      </c>
    </row>
    <row r="145" spans="1:5" ht="15.75" customHeight="1" x14ac:dyDescent="0.25">
      <c r="A145" s="6">
        <f t="shared" si="2"/>
        <v>142</v>
      </c>
      <c r="B145" s="7">
        <v>50006</v>
      </c>
      <c r="C145" s="15" t="s">
        <v>433</v>
      </c>
      <c r="D145" s="12" t="s">
        <v>434</v>
      </c>
      <c r="E145" s="16" t="s">
        <v>435</v>
      </c>
    </row>
    <row r="146" spans="1:5" ht="15.75" customHeight="1" x14ac:dyDescent="0.25">
      <c r="A146" s="6">
        <f t="shared" si="2"/>
        <v>143</v>
      </c>
      <c r="B146" s="7">
        <v>50007</v>
      </c>
      <c r="C146" s="15" t="s">
        <v>436</v>
      </c>
      <c r="D146" s="12" t="s">
        <v>437</v>
      </c>
      <c r="E146" s="16" t="s">
        <v>438</v>
      </c>
    </row>
    <row r="147" spans="1:5" ht="15.75" customHeight="1" x14ac:dyDescent="0.25">
      <c r="A147" s="6">
        <f t="shared" si="2"/>
        <v>144</v>
      </c>
      <c r="B147" s="7">
        <v>50008</v>
      </c>
      <c r="C147" s="15" t="s">
        <v>439</v>
      </c>
      <c r="D147" s="12" t="s">
        <v>440</v>
      </c>
      <c r="E147" s="16" t="s">
        <v>441</v>
      </c>
    </row>
    <row r="148" spans="1:5" ht="15.75" customHeight="1" x14ac:dyDescent="0.25">
      <c r="A148" s="6">
        <f t="shared" si="2"/>
        <v>145</v>
      </c>
      <c r="B148" s="7">
        <v>50009</v>
      </c>
      <c r="C148" s="15" t="s">
        <v>442</v>
      </c>
      <c r="D148" s="12" t="s">
        <v>443</v>
      </c>
      <c r="E148" s="16" t="s">
        <v>444</v>
      </c>
    </row>
    <row r="149" spans="1:5" ht="15.75" customHeight="1" x14ac:dyDescent="0.25">
      <c r="A149" s="6">
        <f t="shared" si="2"/>
        <v>146</v>
      </c>
      <c r="B149" s="7">
        <v>50020</v>
      </c>
      <c r="C149" s="15" t="s">
        <v>445</v>
      </c>
      <c r="D149" s="12" t="s">
        <v>446</v>
      </c>
      <c r="E149" s="16" t="s">
        <v>447</v>
      </c>
    </row>
    <row r="150" spans="1:5" ht="15.75" customHeight="1" x14ac:dyDescent="0.25">
      <c r="A150" s="6">
        <f t="shared" si="2"/>
        <v>147</v>
      </c>
      <c r="B150" s="7">
        <v>50021</v>
      </c>
      <c r="C150" s="15" t="s">
        <v>448</v>
      </c>
      <c r="D150" s="12" t="s">
        <v>449</v>
      </c>
      <c r="E150" s="16" t="s">
        <v>450</v>
      </c>
    </row>
    <row r="151" spans="1:5" ht="15.75" customHeight="1" x14ac:dyDescent="0.25">
      <c r="A151" s="6">
        <f t="shared" si="2"/>
        <v>148</v>
      </c>
      <c r="B151" s="7">
        <v>50050</v>
      </c>
      <c r="C151" s="15" t="s">
        <v>451</v>
      </c>
      <c r="D151" s="6" t="s">
        <v>452</v>
      </c>
      <c r="E151" s="13" t="s">
        <v>453</v>
      </c>
    </row>
    <row r="152" spans="1:5" ht="15.75" customHeight="1" x14ac:dyDescent="0.25">
      <c r="A152" s="6">
        <f t="shared" si="2"/>
        <v>149</v>
      </c>
      <c r="B152" s="11">
        <v>51000</v>
      </c>
      <c r="C152" s="17" t="s">
        <v>454</v>
      </c>
      <c r="D152" s="12" t="s">
        <v>455</v>
      </c>
      <c r="E152" s="16" t="s">
        <v>456</v>
      </c>
    </row>
    <row r="153" spans="1:5" ht="15.75" customHeight="1" x14ac:dyDescent="0.25">
      <c r="A153" s="6">
        <f t="shared" si="2"/>
        <v>150</v>
      </c>
      <c r="B153" s="11">
        <v>51001</v>
      </c>
      <c r="C153" s="17" t="s">
        <v>457</v>
      </c>
      <c r="D153" s="12" t="s">
        <v>458</v>
      </c>
      <c r="E153" s="16" t="s">
        <v>459</v>
      </c>
    </row>
    <row r="154" spans="1:5" ht="15.75" customHeight="1" x14ac:dyDescent="0.25">
      <c r="A154" s="6">
        <f t="shared" si="2"/>
        <v>151</v>
      </c>
      <c r="B154" s="11">
        <v>51002</v>
      </c>
      <c r="C154" s="17" t="s">
        <v>460</v>
      </c>
      <c r="D154" s="12" t="s">
        <v>461</v>
      </c>
      <c r="E154" s="16" t="s">
        <v>462</v>
      </c>
    </row>
    <row r="155" spans="1:5" ht="15.75" customHeight="1" x14ac:dyDescent="0.25">
      <c r="A155" s="6">
        <f t="shared" si="2"/>
        <v>152</v>
      </c>
      <c r="B155" s="11">
        <v>51003</v>
      </c>
      <c r="C155" s="17" t="s">
        <v>463</v>
      </c>
      <c r="D155" s="12" t="s">
        <v>464</v>
      </c>
      <c r="E155" s="16" t="s">
        <v>465</v>
      </c>
    </row>
    <row r="156" spans="1:5" ht="15.75" customHeight="1" x14ac:dyDescent="0.25">
      <c r="A156" s="6">
        <f t="shared" si="2"/>
        <v>153</v>
      </c>
      <c r="B156" s="11">
        <v>51004</v>
      </c>
      <c r="C156" s="17" t="s">
        <v>466</v>
      </c>
      <c r="D156" s="12" t="s">
        <v>467</v>
      </c>
      <c r="E156" s="16" t="s">
        <v>468</v>
      </c>
    </row>
    <row r="157" spans="1:5" ht="15.75" customHeight="1" x14ac:dyDescent="0.25">
      <c r="A157" s="6">
        <f t="shared" si="2"/>
        <v>154</v>
      </c>
      <c r="B157" s="11">
        <v>51005</v>
      </c>
      <c r="C157" s="17" t="s">
        <v>469</v>
      </c>
      <c r="D157" s="12" t="s">
        <v>470</v>
      </c>
      <c r="E157" s="16" t="s">
        <v>471</v>
      </c>
    </row>
    <row r="158" spans="1:5" ht="15.75" customHeight="1" x14ac:dyDescent="0.25">
      <c r="A158" s="6">
        <f t="shared" si="2"/>
        <v>155</v>
      </c>
      <c r="B158" s="7">
        <v>90000</v>
      </c>
      <c r="C158" s="9" t="s">
        <v>472</v>
      </c>
      <c r="D158" s="12" t="s">
        <v>473</v>
      </c>
      <c r="E158" s="12" t="s">
        <v>474</v>
      </c>
    </row>
    <row r="159" spans="1:5" ht="15.75" customHeight="1" x14ac:dyDescent="0.25">
      <c r="A159" s="6">
        <f t="shared" si="2"/>
        <v>156</v>
      </c>
      <c r="B159" s="7">
        <v>90001</v>
      </c>
      <c r="C159" s="9" t="s">
        <v>475</v>
      </c>
      <c r="D159" s="12" t="s">
        <v>476</v>
      </c>
      <c r="E159" s="12" t="s">
        <v>477</v>
      </c>
    </row>
    <row r="160" spans="1:5" ht="15.75" customHeight="1" x14ac:dyDescent="0.25">
      <c r="A160" s="6">
        <f t="shared" si="2"/>
        <v>157</v>
      </c>
      <c r="B160" s="7">
        <v>90002</v>
      </c>
      <c r="C160" s="9" t="s">
        <v>478</v>
      </c>
      <c r="D160" s="12" t="s">
        <v>479</v>
      </c>
      <c r="E160" s="12" t="s">
        <v>480</v>
      </c>
    </row>
    <row r="161" spans="1:5" ht="15.75" customHeight="1" x14ac:dyDescent="0.25">
      <c r="A161" s="6">
        <f t="shared" si="2"/>
        <v>158</v>
      </c>
      <c r="B161" s="7">
        <v>90003</v>
      </c>
      <c r="C161" s="9" t="s">
        <v>481</v>
      </c>
      <c r="D161" s="6" t="s">
        <v>482</v>
      </c>
      <c r="E161" s="6" t="s">
        <v>483</v>
      </c>
    </row>
    <row r="162" spans="1:5" ht="15.75" customHeight="1" x14ac:dyDescent="0.25">
      <c r="A162" s="6">
        <f t="shared" si="2"/>
        <v>159</v>
      </c>
      <c r="B162" s="7">
        <v>90004</v>
      </c>
      <c r="C162" s="9" t="s">
        <v>484</v>
      </c>
      <c r="D162" s="12" t="s">
        <v>485</v>
      </c>
      <c r="E162" s="12" t="s">
        <v>486</v>
      </c>
    </row>
    <row r="163" spans="1:5" ht="15.75" customHeight="1" x14ac:dyDescent="0.25">
      <c r="A163" s="6">
        <f t="shared" si="2"/>
        <v>160</v>
      </c>
      <c r="B163" s="7">
        <v>90005</v>
      </c>
      <c r="C163" s="9" t="s">
        <v>487</v>
      </c>
      <c r="D163" s="12" t="s">
        <v>488</v>
      </c>
      <c r="E163" s="12" t="s">
        <v>489</v>
      </c>
    </row>
    <row r="164" spans="1:5" ht="15.75" customHeight="1" x14ac:dyDescent="0.25">
      <c r="A164" s="6">
        <f t="shared" si="2"/>
        <v>161</v>
      </c>
      <c r="B164" s="11">
        <v>90100</v>
      </c>
      <c r="C164" s="8" t="s">
        <v>490</v>
      </c>
      <c r="D164" s="12" t="s">
        <v>491</v>
      </c>
      <c r="E164" s="12" t="s">
        <v>492</v>
      </c>
    </row>
    <row r="165" spans="1:5" ht="15.75" customHeight="1" x14ac:dyDescent="0.25">
      <c r="A165" s="6">
        <f t="shared" si="2"/>
        <v>162</v>
      </c>
      <c r="B165" s="11">
        <v>90101</v>
      </c>
      <c r="C165" s="8" t="s">
        <v>493</v>
      </c>
      <c r="D165" s="12" t="s">
        <v>494</v>
      </c>
      <c r="E165" s="12" t="s">
        <v>495</v>
      </c>
    </row>
    <row r="166" spans="1:5" ht="15.75" customHeight="1" x14ac:dyDescent="0.25">
      <c r="A166" s="6">
        <f t="shared" si="2"/>
        <v>163</v>
      </c>
      <c r="B166" s="11">
        <v>90102</v>
      </c>
      <c r="C166" s="8" t="s">
        <v>496</v>
      </c>
      <c r="D166" s="12" t="s">
        <v>497</v>
      </c>
      <c r="E166" s="12" t="s">
        <v>498</v>
      </c>
    </row>
    <row r="167" spans="1:5" ht="15.75" customHeight="1" x14ac:dyDescent="0.25">
      <c r="A167" s="6">
        <f t="shared" si="2"/>
        <v>164</v>
      </c>
      <c r="B167" s="11">
        <v>90104</v>
      </c>
      <c r="C167" s="8" t="s">
        <v>499</v>
      </c>
      <c r="D167" s="12" t="s">
        <v>500</v>
      </c>
      <c r="E167" s="12" t="s">
        <v>501</v>
      </c>
    </row>
    <row r="168" spans="1:5" ht="15.75" customHeight="1" x14ac:dyDescent="0.25">
      <c r="A168" s="6">
        <f t="shared" si="2"/>
        <v>165</v>
      </c>
      <c r="B168" s="11">
        <v>90105</v>
      </c>
      <c r="C168" s="8" t="s">
        <v>502</v>
      </c>
      <c r="D168" s="12" t="s">
        <v>503</v>
      </c>
      <c r="E168" s="12" t="s">
        <v>504</v>
      </c>
    </row>
    <row r="169" spans="1:5" ht="15.75" customHeight="1" x14ac:dyDescent="0.25">
      <c r="A169" s="6">
        <f t="shared" si="2"/>
        <v>166</v>
      </c>
      <c r="B169" s="7">
        <v>99999</v>
      </c>
      <c r="C169" s="9" t="s">
        <v>505</v>
      </c>
      <c r="D169" s="6" t="s">
        <v>506</v>
      </c>
      <c r="E169" s="6" t="s">
        <v>507</v>
      </c>
    </row>
    <row r="170" spans="1:5" ht="15.75" customHeight="1" x14ac:dyDescent="0.25">
      <c r="A170" s="6"/>
      <c r="B170" s="7"/>
      <c r="C170" s="6"/>
      <c r="E170" s="6"/>
    </row>
    <row r="171" spans="1:5" ht="15.75" customHeight="1" x14ac:dyDescent="0.25">
      <c r="A171" s="6"/>
      <c r="B171" s="7"/>
      <c r="C171" s="6"/>
      <c r="D171" s="6"/>
      <c r="E171" s="6"/>
    </row>
    <row r="172" spans="1:5" ht="15.75" customHeight="1" x14ac:dyDescent="0.25">
      <c r="A172" s="6"/>
      <c r="B172" s="7"/>
      <c r="C172" s="6"/>
      <c r="D172" s="6"/>
      <c r="E172" s="6"/>
    </row>
    <row r="173" spans="1:5" ht="15.75" customHeight="1" x14ac:dyDescent="0.25">
      <c r="A173" s="6"/>
      <c r="B173" s="7"/>
      <c r="C173" s="6"/>
      <c r="D173" s="6"/>
      <c r="E173" s="6"/>
    </row>
    <row r="174" spans="1:5" ht="15.75" customHeight="1" x14ac:dyDescent="0.25">
      <c r="A174" s="6"/>
      <c r="B174" s="7"/>
      <c r="C174" s="6"/>
      <c r="D174" s="6"/>
      <c r="E174" s="6"/>
    </row>
    <row r="175" spans="1:5" ht="15.75" customHeight="1" x14ac:dyDescent="0.25">
      <c r="A175" s="6"/>
      <c r="B175" s="7"/>
      <c r="C175" s="6"/>
      <c r="D175" s="6"/>
      <c r="E175" s="6"/>
    </row>
    <row r="176" spans="1:5" ht="15.75" customHeight="1" x14ac:dyDescent="0.25">
      <c r="A176" s="6"/>
      <c r="B176" s="7"/>
      <c r="C176" s="6"/>
      <c r="D176" s="6"/>
      <c r="E176" s="6"/>
    </row>
    <row r="177" spans="1:5" ht="15.75" customHeight="1" x14ac:dyDescent="0.25">
      <c r="A177" s="6"/>
      <c r="B177" s="7"/>
      <c r="C177" s="6"/>
      <c r="D177" s="6"/>
      <c r="E177" s="6"/>
    </row>
    <row r="178" spans="1:5" ht="15.75" customHeight="1" x14ac:dyDescent="0.25">
      <c r="A178" s="6"/>
      <c r="B178" s="7"/>
      <c r="C178" s="6"/>
      <c r="D178" s="6"/>
      <c r="E178" s="6"/>
    </row>
    <row r="179" spans="1:5" ht="15.75" customHeight="1" x14ac:dyDescent="0.25">
      <c r="A179" s="6"/>
      <c r="B179" s="7"/>
      <c r="C179" s="6"/>
      <c r="D179" s="6"/>
      <c r="E179" s="6"/>
    </row>
    <row r="180" spans="1:5" ht="15.75" customHeight="1" x14ac:dyDescent="0.25">
      <c r="A180" s="6"/>
      <c r="B180" s="7"/>
      <c r="C180" s="6"/>
      <c r="D180" s="6"/>
      <c r="E180" s="6"/>
    </row>
    <row r="181" spans="1:5" ht="15.75" customHeight="1" x14ac:dyDescent="0.25">
      <c r="A181" s="6"/>
      <c r="B181" s="7"/>
      <c r="C181" s="6"/>
      <c r="D181" s="6"/>
      <c r="E181" s="6"/>
    </row>
    <row r="182" spans="1:5" ht="15.75" customHeight="1" x14ac:dyDescent="0.25">
      <c r="A182" s="6"/>
      <c r="B182" s="7"/>
      <c r="C182" s="6"/>
      <c r="D182" s="6"/>
      <c r="E182" s="6"/>
    </row>
    <row r="183" spans="1:5" ht="15.75" customHeight="1" x14ac:dyDescent="0.25">
      <c r="A183" s="6"/>
      <c r="B183" s="7"/>
      <c r="C183" s="6"/>
      <c r="D183" s="6"/>
      <c r="E183" s="6"/>
    </row>
    <row r="184" spans="1:5" ht="15.75" customHeight="1" x14ac:dyDescent="0.25">
      <c r="A184" s="6"/>
      <c r="B184" s="7"/>
      <c r="C184" s="6"/>
      <c r="D184" s="6"/>
      <c r="E184" s="6"/>
    </row>
    <row r="185" spans="1:5" ht="15.75" customHeight="1" x14ac:dyDescent="0.25">
      <c r="A185" s="6"/>
      <c r="B185" s="7"/>
      <c r="C185" s="6"/>
      <c r="D185" s="6"/>
      <c r="E185" s="6"/>
    </row>
    <row r="186" spans="1:5" ht="15.75" customHeight="1" x14ac:dyDescent="0.25">
      <c r="A186" s="6"/>
      <c r="B186" s="7"/>
      <c r="C186" s="6"/>
      <c r="D186" s="6"/>
      <c r="E186" s="6"/>
    </row>
    <row r="187" spans="1:5" ht="15.75" customHeight="1" x14ac:dyDescent="0.25">
      <c r="A187" s="6"/>
      <c r="B187" s="7"/>
      <c r="C187" s="6"/>
      <c r="D187" s="6"/>
      <c r="E187" s="6"/>
    </row>
    <row r="188" spans="1:5" ht="15.75" customHeight="1" x14ac:dyDescent="0.25">
      <c r="A188" s="6"/>
      <c r="B188" s="7"/>
      <c r="C188" s="6"/>
      <c r="D188" s="6"/>
      <c r="E188" s="6"/>
    </row>
    <row r="189" spans="1:5" ht="15.75" customHeight="1" x14ac:dyDescent="0.25">
      <c r="A189" s="6"/>
      <c r="B189" s="7"/>
      <c r="C189" s="6"/>
      <c r="D189" s="6"/>
      <c r="E189" s="6"/>
    </row>
    <row r="190" spans="1:5" ht="15.75" customHeight="1" x14ac:dyDescent="0.25">
      <c r="A190" s="6"/>
      <c r="B190" s="7"/>
      <c r="C190" s="6"/>
      <c r="D190" s="6"/>
      <c r="E190" s="6"/>
    </row>
    <row r="191" spans="1:5" ht="15.75" customHeight="1" x14ac:dyDescent="0.25">
      <c r="A191" s="6"/>
      <c r="B191" s="7"/>
      <c r="C191" s="6"/>
      <c r="D191" s="6"/>
      <c r="E191" s="6"/>
    </row>
    <row r="192" spans="1:5" ht="15.75" customHeight="1" x14ac:dyDescent="0.25">
      <c r="A192" s="6"/>
      <c r="B192" s="7"/>
      <c r="C192" s="6"/>
      <c r="D192" s="6"/>
      <c r="E192" s="6"/>
    </row>
    <row r="193" spans="1:5" ht="15.75" customHeight="1" x14ac:dyDescent="0.25">
      <c r="A193" s="6"/>
      <c r="B193" s="7"/>
      <c r="C193" s="6"/>
      <c r="D193" s="6"/>
      <c r="E193" s="6"/>
    </row>
    <row r="194" spans="1:5" ht="15.75" customHeight="1" x14ac:dyDescent="0.25">
      <c r="A194" s="6"/>
      <c r="B194" s="7"/>
      <c r="C194" s="6"/>
      <c r="D194" s="6"/>
      <c r="E194" s="6"/>
    </row>
    <row r="195" spans="1:5" ht="15.75" customHeight="1" x14ac:dyDescent="0.25">
      <c r="A195" s="6"/>
      <c r="B195" s="7"/>
      <c r="C195" s="6"/>
      <c r="D195" s="6"/>
      <c r="E195" s="6"/>
    </row>
    <row r="196" spans="1:5" ht="15.75" customHeight="1" x14ac:dyDescent="0.25">
      <c r="A196" s="6"/>
      <c r="B196" s="7"/>
      <c r="C196" s="6"/>
      <c r="D196" s="6"/>
      <c r="E196" s="6"/>
    </row>
    <row r="197" spans="1:5" ht="15.75" customHeight="1" x14ac:dyDescent="0.25">
      <c r="A197" s="6"/>
      <c r="B197" s="7"/>
      <c r="C197" s="6"/>
      <c r="D197" s="6"/>
      <c r="E197" s="6"/>
    </row>
    <row r="198" spans="1:5" ht="15.75" customHeight="1" x14ac:dyDescent="0.25">
      <c r="A198" s="6"/>
      <c r="B198" s="7"/>
      <c r="C198" s="6"/>
      <c r="D198" s="6"/>
      <c r="E198" s="6"/>
    </row>
    <row r="199" spans="1:5" ht="15.75" customHeight="1" x14ac:dyDescent="0.25">
      <c r="A199" s="6"/>
      <c r="B199" s="7"/>
      <c r="C199" s="6"/>
      <c r="D199" s="6"/>
      <c r="E199" s="6"/>
    </row>
    <row r="200" spans="1:5" ht="15.75" customHeight="1" x14ac:dyDescent="0.25">
      <c r="A200" s="6"/>
      <c r="B200" s="7"/>
      <c r="C200" s="6"/>
      <c r="D200" s="6"/>
      <c r="E200" s="6"/>
    </row>
    <row r="201" spans="1:5" ht="15.75" customHeight="1" x14ac:dyDescent="0.25">
      <c r="A201" s="6"/>
      <c r="B201" s="7"/>
      <c r="C201" s="6"/>
      <c r="D201" s="6"/>
      <c r="E201" s="6"/>
    </row>
    <row r="202" spans="1:5" ht="15.75" customHeight="1" x14ac:dyDescent="0.25">
      <c r="A202" s="6"/>
      <c r="B202" s="7"/>
      <c r="C202" s="6"/>
      <c r="D202" s="6"/>
      <c r="E202" s="6"/>
    </row>
    <row r="203" spans="1:5" ht="15.75" customHeight="1" x14ac:dyDescent="0.25">
      <c r="A203" s="6"/>
      <c r="B203" s="7"/>
      <c r="C203" s="6"/>
      <c r="D203" s="6"/>
      <c r="E203" s="6"/>
    </row>
    <row r="204" spans="1:5" ht="15.75" customHeight="1" x14ac:dyDescent="0.25">
      <c r="A204" s="6"/>
      <c r="B204" s="7"/>
      <c r="C204" s="6"/>
      <c r="D204" s="6"/>
      <c r="E204" s="6"/>
    </row>
    <row r="205" spans="1:5" ht="15.75" customHeight="1" x14ac:dyDescent="0.25">
      <c r="A205" s="6"/>
      <c r="B205" s="7"/>
      <c r="C205" s="6"/>
      <c r="D205" s="6"/>
      <c r="E205" s="6"/>
    </row>
    <row r="206" spans="1:5" ht="15.75" customHeight="1" x14ac:dyDescent="0.25">
      <c r="A206" s="6"/>
      <c r="B206" s="7"/>
      <c r="C206" s="6"/>
      <c r="D206" s="6"/>
      <c r="E206" s="6"/>
    </row>
    <row r="207" spans="1:5" ht="15.75" customHeight="1" x14ac:dyDescent="0.25">
      <c r="A207" s="6"/>
      <c r="B207" s="7"/>
      <c r="C207" s="6"/>
      <c r="D207" s="6"/>
      <c r="E207" s="6"/>
    </row>
    <row r="208" spans="1:5" ht="15.75" customHeight="1" x14ac:dyDescent="0.25">
      <c r="A208" s="6"/>
      <c r="B208" s="7"/>
      <c r="C208" s="6"/>
      <c r="D208" s="6"/>
      <c r="E208" s="6"/>
    </row>
    <row r="209" spans="1:5" ht="15.75" customHeight="1" x14ac:dyDescent="0.25">
      <c r="A209" s="6"/>
      <c r="B209" s="7"/>
      <c r="C209" s="6"/>
      <c r="D209" s="6"/>
      <c r="E209" s="6"/>
    </row>
    <row r="210" spans="1:5" ht="15.75" customHeight="1" x14ac:dyDescent="0.25">
      <c r="A210" s="6"/>
      <c r="B210" s="7"/>
      <c r="C210" s="6"/>
      <c r="D210" s="6"/>
      <c r="E210" s="6"/>
    </row>
    <row r="211" spans="1:5" ht="15.75" customHeight="1" x14ac:dyDescent="0.25">
      <c r="A211" s="6"/>
      <c r="B211" s="7"/>
      <c r="C211" s="6"/>
      <c r="D211" s="6"/>
      <c r="E211" s="6"/>
    </row>
    <row r="212" spans="1:5" ht="15.75" customHeight="1" x14ac:dyDescent="0.25">
      <c r="A212" s="6"/>
      <c r="B212" s="7"/>
      <c r="C212" s="6"/>
      <c r="D212" s="6"/>
      <c r="E212" s="6"/>
    </row>
    <row r="213" spans="1:5" ht="15.75" customHeight="1" x14ac:dyDescent="0.25">
      <c r="A213" s="6"/>
      <c r="B213" s="7"/>
      <c r="C213" s="6"/>
      <c r="D213" s="6"/>
      <c r="E213" s="6"/>
    </row>
    <row r="214" spans="1:5" ht="15.75" customHeight="1" x14ac:dyDescent="0.25">
      <c r="A214" s="6"/>
      <c r="B214" s="7"/>
      <c r="C214" s="6"/>
      <c r="D214" s="6"/>
      <c r="E214" s="6"/>
    </row>
    <row r="215" spans="1:5" ht="15.75" customHeight="1" x14ac:dyDescent="0.25">
      <c r="A215" s="6"/>
      <c r="B215" s="7"/>
      <c r="C215" s="6"/>
      <c r="D215" s="6"/>
      <c r="E215" s="6"/>
    </row>
    <row r="216" spans="1:5" ht="15.75" customHeight="1" x14ac:dyDescent="0.25">
      <c r="A216" s="6"/>
      <c r="B216" s="7"/>
      <c r="C216" s="6"/>
      <c r="D216" s="6"/>
      <c r="E216" s="6"/>
    </row>
    <row r="217" spans="1:5" ht="15.75" customHeight="1" x14ac:dyDescent="0.25">
      <c r="A217" s="6"/>
      <c r="B217" s="7"/>
      <c r="C217" s="6"/>
      <c r="D217" s="6"/>
      <c r="E217" s="6"/>
    </row>
    <row r="218" spans="1:5" ht="15.75" customHeight="1" x14ac:dyDescent="0.25">
      <c r="A218" s="6"/>
      <c r="B218" s="7"/>
      <c r="C218" s="6"/>
      <c r="D218" s="6"/>
      <c r="E218" s="6"/>
    </row>
    <row r="219" spans="1:5" ht="15.75" customHeight="1" x14ac:dyDescent="0.25">
      <c r="A219" s="6"/>
      <c r="B219" s="7"/>
      <c r="C219" s="6"/>
      <c r="D219" s="6"/>
      <c r="E219" s="6"/>
    </row>
    <row r="220" spans="1:5" ht="15.75" customHeight="1" x14ac:dyDescent="0.25">
      <c r="A220" s="6"/>
      <c r="B220" s="7"/>
      <c r="C220" s="6"/>
      <c r="D220" s="6"/>
      <c r="E220" s="6"/>
    </row>
    <row r="221" spans="1:5" ht="15.75" customHeight="1" x14ac:dyDescent="0.25">
      <c r="A221" s="6"/>
      <c r="B221" s="7"/>
      <c r="C221" s="6"/>
      <c r="D221" s="6"/>
      <c r="E221" s="6"/>
    </row>
    <row r="222" spans="1:5" ht="15.75" customHeight="1" x14ac:dyDescent="0.25">
      <c r="A222" s="6"/>
      <c r="B222" s="7"/>
      <c r="C222" s="6"/>
      <c r="D222" s="6"/>
      <c r="E222" s="6"/>
    </row>
    <row r="223" spans="1:5" ht="15.75" customHeight="1" x14ac:dyDescent="0.25">
      <c r="A223" s="6"/>
      <c r="B223" s="7"/>
      <c r="C223" s="6"/>
      <c r="D223" s="6"/>
      <c r="E223" s="6"/>
    </row>
    <row r="224" spans="1:5" ht="15.75" customHeight="1" x14ac:dyDescent="0.25">
      <c r="A224" s="6"/>
      <c r="B224" s="7"/>
      <c r="C224" s="6"/>
      <c r="D224" s="6"/>
      <c r="E224" s="6"/>
    </row>
    <row r="225" spans="1:5" ht="15.75" customHeight="1" x14ac:dyDescent="0.25">
      <c r="A225" s="6"/>
      <c r="B225" s="7"/>
      <c r="C225" s="6"/>
      <c r="D225" s="6"/>
      <c r="E225" s="6"/>
    </row>
    <row r="226" spans="1:5" ht="15.75" customHeight="1" x14ac:dyDescent="0.25">
      <c r="A226" s="6"/>
      <c r="B226" s="7"/>
      <c r="C226" s="6"/>
      <c r="D226" s="6"/>
      <c r="E226" s="6"/>
    </row>
    <row r="227" spans="1:5" ht="15.75" customHeight="1" x14ac:dyDescent="0.25">
      <c r="A227" s="6"/>
      <c r="B227" s="7"/>
      <c r="C227" s="6"/>
      <c r="D227" s="6"/>
      <c r="E227" s="6"/>
    </row>
    <row r="228" spans="1:5" ht="15.75" customHeight="1" x14ac:dyDescent="0.25">
      <c r="A228" s="6"/>
      <c r="B228" s="7"/>
      <c r="C228" s="6"/>
      <c r="D228" s="6"/>
      <c r="E228" s="6"/>
    </row>
    <row r="229" spans="1:5" ht="15.75" customHeight="1" x14ac:dyDescent="0.25">
      <c r="A229" s="6"/>
      <c r="B229" s="7"/>
      <c r="C229" s="6"/>
      <c r="D229" s="6"/>
      <c r="E229" s="6"/>
    </row>
    <row r="230" spans="1:5" ht="15.75" customHeight="1" x14ac:dyDescent="0.25">
      <c r="A230" s="6"/>
      <c r="B230" s="7"/>
      <c r="C230" s="6"/>
      <c r="D230" s="6"/>
      <c r="E230" s="6"/>
    </row>
    <row r="231" spans="1:5" ht="15.75" customHeight="1" x14ac:dyDescent="0.25">
      <c r="A231" s="6"/>
      <c r="B231" s="7"/>
      <c r="C231" s="6"/>
      <c r="D231" s="6"/>
      <c r="E231" s="6"/>
    </row>
    <row r="232" spans="1:5" ht="15.75" customHeight="1" x14ac:dyDescent="0.25">
      <c r="A232" s="6"/>
      <c r="B232" s="7"/>
      <c r="C232" s="6"/>
      <c r="D232" s="6"/>
      <c r="E232" s="6"/>
    </row>
    <row r="233" spans="1:5" ht="15.75" customHeight="1" x14ac:dyDescent="0.25">
      <c r="A233" s="6"/>
      <c r="B233" s="7"/>
      <c r="C233" s="6"/>
      <c r="D233" s="6"/>
      <c r="E233" s="6"/>
    </row>
    <row r="234" spans="1:5" ht="15.75" customHeight="1" x14ac:dyDescent="0.25">
      <c r="A234" s="6"/>
      <c r="B234" s="7"/>
      <c r="C234" s="6"/>
      <c r="D234" s="6"/>
      <c r="E234" s="6"/>
    </row>
    <row r="235" spans="1:5" ht="15.75" customHeight="1" x14ac:dyDescent="0.25">
      <c r="A235" s="6"/>
      <c r="B235" s="7"/>
      <c r="C235" s="6"/>
      <c r="D235" s="6"/>
      <c r="E235" s="6"/>
    </row>
    <row r="236" spans="1:5" ht="15.75" customHeight="1" x14ac:dyDescent="0.25">
      <c r="A236" s="6"/>
      <c r="B236" s="7"/>
      <c r="C236" s="6"/>
      <c r="D236" s="6"/>
      <c r="E236" s="6"/>
    </row>
    <row r="237" spans="1:5" ht="15.75" customHeight="1" x14ac:dyDescent="0.25">
      <c r="A237" s="6"/>
      <c r="B237" s="7"/>
      <c r="C237" s="6"/>
      <c r="D237" s="6"/>
      <c r="E237" s="6"/>
    </row>
    <row r="238" spans="1:5" ht="15.75" customHeight="1" x14ac:dyDescent="0.25">
      <c r="A238" s="6"/>
      <c r="B238" s="7"/>
      <c r="C238" s="6"/>
      <c r="D238" s="6"/>
      <c r="E238" s="6"/>
    </row>
    <row r="239" spans="1:5" ht="15.75" customHeight="1" x14ac:dyDescent="0.25">
      <c r="A239" s="6"/>
      <c r="B239" s="7"/>
      <c r="C239" s="6"/>
      <c r="D239" s="6"/>
      <c r="E239" s="6"/>
    </row>
    <row r="240" spans="1:5" ht="15.75" customHeight="1" x14ac:dyDescent="0.25">
      <c r="A240" s="6"/>
      <c r="B240" s="7"/>
      <c r="C240" s="6"/>
      <c r="D240" s="6"/>
      <c r="E240" s="6"/>
    </row>
    <row r="241" spans="1:5" ht="15.75" customHeight="1" x14ac:dyDescent="0.25">
      <c r="A241" s="6"/>
      <c r="B241" s="7"/>
      <c r="C241" s="6"/>
      <c r="D241" s="6"/>
      <c r="E241" s="6"/>
    </row>
    <row r="242" spans="1:5" ht="15.75" customHeight="1" x14ac:dyDescent="0.25">
      <c r="A242" s="6"/>
      <c r="B242" s="7"/>
      <c r="C242" s="6"/>
      <c r="D242" s="6"/>
      <c r="E242" s="6"/>
    </row>
    <row r="243" spans="1:5" ht="15.75" customHeight="1" x14ac:dyDescent="0.25">
      <c r="A243" s="6"/>
      <c r="B243" s="7"/>
      <c r="C243" s="6"/>
      <c r="D243" s="6"/>
      <c r="E243" s="6"/>
    </row>
    <row r="244" spans="1:5" ht="15.75" customHeight="1" x14ac:dyDescent="0.25">
      <c r="A244" s="6"/>
      <c r="B244" s="7"/>
      <c r="C244" s="6"/>
      <c r="D244" s="6"/>
      <c r="E244" s="6"/>
    </row>
    <row r="245" spans="1:5" ht="15.75" customHeight="1" x14ac:dyDescent="0.25">
      <c r="A245" s="6"/>
      <c r="B245" s="7"/>
      <c r="C245" s="6"/>
      <c r="D245" s="6"/>
      <c r="E245" s="6"/>
    </row>
    <row r="246" spans="1:5" ht="15.75" customHeight="1" x14ac:dyDescent="0.25">
      <c r="A246" s="6"/>
      <c r="B246" s="7"/>
      <c r="C246" s="6"/>
      <c r="D246" s="6"/>
      <c r="E246" s="6"/>
    </row>
    <row r="247" spans="1:5" ht="15.75" customHeight="1" x14ac:dyDescent="0.25">
      <c r="A247" s="6"/>
      <c r="B247" s="7"/>
      <c r="C247" s="6"/>
      <c r="D247" s="6"/>
      <c r="E247" s="6"/>
    </row>
    <row r="248" spans="1:5" ht="15.75" customHeight="1" x14ac:dyDescent="0.25">
      <c r="A248" s="6"/>
      <c r="B248" s="7"/>
      <c r="C248" s="6"/>
      <c r="D248" s="6"/>
      <c r="E248" s="6"/>
    </row>
    <row r="249" spans="1:5" ht="15.75" customHeight="1" x14ac:dyDescent="0.25">
      <c r="A249" s="6"/>
      <c r="B249" s="7"/>
      <c r="C249" s="6"/>
      <c r="D249" s="6"/>
      <c r="E249" s="6"/>
    </row>
    <row r="250" spans="1:5" ht="15.75" customHeight="1" x14ac:dyDescent="0.25">
      <c r="A250" s="6"/>
      <c r="B250" s="7"/>
      <c r="C250" s="6"/>
      <c r="D250" s="6"/>
      <c r="E250" s="6"/>
    </row>
    <row r="251" spans="1:5" ht="15.75" customHeight="1" x14ac:dyDescent="0.25">
      <c r="A251" s="6"/>
      <c r="B251" s="7"/>
      <c r="C251" s="6"/>
      <c r="D251" s="6"/>
      <c r="E251" s="6"/>
    </row>
    <row r="252" spans="1:5" ht="15.75" customHeight="1" x14ac:dyDescent="0.25">
      <c r="A252" s="6"/>
      <c r="B252" s="7"/>
      <c r="C252" s="6"/>
      <c r="D252" s="6"/>
      <c r="E252" s="6"/>
    </row>
    <row r="253" spans="1:5" ht="15.75" customHeight="1" x14ac:dyDescent="0.25">
      <c r="A253" s="6"/>
      <c r="B253" s="7"/>
      <c r="C253" s="6"/>
      <c r="D253" s="6"/>
      <c r="E253" s="6"/>
    </row>
    <row r="254" spans="1:5" ht="15.75" customHeight="1" x14ac:dyDescent="0.25">
      <c r="A254" s="6"/>
      <c r="B254" s="7"/>
      <c r="C254" s="6"/>
      <c r="D254" s="6"/>
      <c r="E254" s="6"/>
    </row>
    <row r="255" spans="1:5" ht="15.75" customHeight="1" x14ac:dyDescent="0.25">
      <c r="A255" s="6"/>
      <c r="B255" s="7"/>
      <c r="C255" s="6"/>
      <c r="D255" s="6"/>
      <c r="E255" s="6"/>
    </row>
    <row r="256" spans="1:5" ht="15.75" customHeight="1" x14ac:dyDescent="0.25">
      <c r="A256" s="6"/>
      <c r="B256" s="7"/>
      <c r="C256" s="6"/>
      <c r="D256" s="6"/>
      <c r="E256" s="6"/>
    </row>
    <row r="257" spans="1:5" ht="15.75" customHeight="1" x14ac:dyDescent="0.25">
      <c r="A257" s="6"/>
      <c r="B257" s="7"/>
      <c r="C257" s="6"/>
      <c r="D257" s="6"/>
      <c r="E257" s="6"/>
    </row>
    <row r="258" spans="1:5" ht="15.75" customHeight="1" x14ac:dyDescent="0.25">
      <c r="A258" s="6"/>
      <c r="B258" s="7"/>
      <c r="C258" s="6"/>
      <c r="D258" s="6"/>
      <c r="E258" s="6"/>
    </row>
    <row r="259" spans="1:5" ht="15.75" customHeight="1" x14ac:dyDescent="0.25">
      <c r="A259" s="6"/>
      <c r="B259" s="7"/>
      <c r="C259" s="6"/>
      <c r="D259" s="6"/>
      <c r="E259" s="6"/>
    </row>
    <row r="260" spans="1:5" ht="15.75" customHeight="1" x14ac:dyDescent="0.25">
      <c r="A260" s="6"/>
      <c r="B260" s="7"/>
      <c r="C260" s="6"/>
      <c r="D260" s="6"/>
      <c r="E260" s="6"/>
    </row>
    <row r="261" spans="1:5" ht="15.75" customHeight="1" x14ac:dyDescent="0.25">
      <c r="A261" s="6"/>
      <c r="B261" s="7"/>
      <c r="C261" s="6"/>
      <c r="D261" s="6"/>
      <c r="E261" s="6"/>
    </row>
    <row r="262" spans="1:5" ht="15.75" customHeight="1" x14ac:dyDescent="0.25">
      <c r="A262" s="6"/>
      <c r="B262" s="7"/>
      <c r="C262" s="6"/>
      <c r="D262" s="6"/>
      <c r="E262" s="6"/>
    </row>
    <row r="263" spans="1:5" ht="15.75" customHeight="1" x14ac:dyDescent="0.25">
      <c r="A263" s="6"/>
      <c r="B263" s="7"/>
      <c r="C263" s="6"/>
      <c r="D263" s="6"/>
      <c r="E263" s="6"/>
    </row>
    <row r="264" spans="1:5" ht="15.75" customHeight="1" x14ac:dyDescent="0.25">
      <c r="A264" s="6"/>
      <c r="B264" s="7"/>
      <c r="C264" s="6"/>
      <c r="D264" s="6"/>
      <c r="E264" s="6"/>
    </row>
    <row r="265" spans="1:5" ht="15.75" customHeight="1" x14ac:dyDescent="0.25">
      <c r="A265" s="6"/>
      <c r="B265" s="7"/>
      <c r="C265" s="6"/>
      <c r="D265" s="6"/>
      <c r="E265" s="6"/>
    </row>
    <row r="266" spans="1:5" ht="15.75" customHeight="1" x14ac:dyDescent="0.25">
      <c r="A266" s="6"/>
      <c r="B266" s="7"/>
      <c r="C266" s="6"/>
      <c r="D266" s="6"/>
      <c r="E266" s="6"/>
    </row>
    <row r="267" spans="1:5" ht="15.75" customHeight="1" x14ac:dyDescent="0.25">
      <c r="A267" s="6"/>
      <c r="B267" s="7"/>
      <c r="C267" s="6"/>
      <c r="D267" s="6"/>
      <c r="E267" s="6"/>
    </row>
    <row r="268" spans="1:5" ht="15.75" customHeight="1" x14ac:dyDescent="0.25">
      <c r="A268" s="6"/>
      <c r="B268" s="7"/>
      <c r="C268" s="6"/>
      <c r="D268" s="6"/>
      <c r="E268" s="6"/>
    </row>
    <row r="269" spans="1:5" ht="15.75" customHeight="1" x14ac:dyDescent="0.25">
      <c r="A269" s="6"/>
      <c r="B269" s="7"/>
      <c r="C269" s="6"/>
      <c r="D269" s="6"/>
      <c r="E269" s="6"/>
    </row>
    <row r="270" spans="1:5" ht="15.75" customHeight="1" x14ac:dyDescent="0.25">
      <c r="A270" s="6"/>
      <c r="B270" s="7"/>
      <c r="C270" s="6"/>
      <c r="D270" s="6"/>
      <c r="E270" s="6"/>
    </row>
    <row r="271" spans="1:5" ht="15.75" customHeight="1" x14ac:dyDescent="0.25">
      <c r="A271" s="6"/>
      <c r="B271" s="7"/>
      <c r="C271" s="6"/>
      <c r="D271" s="6"/>
      <c r="E271" s="6"/>
    </row>
    <row r="272" spans="1:5" ht="15.75" customHeight="1" x14ac:dyDescent="0.25">
      <c r="A272" s="6"/>
      <c r="B272" s="7"/>
      <c r="C272" s="6"/>
      <c r="D272" s="6"/>
      <c r="E272" s="6"/>
    </row>
    <row r="273" spans="1:5" ht="15.75" customHeight="1" x14ac:dyDescent="0.25">
      <c r="A273" s="6"/>
      <c r="B273" s="7"/>
      <c r="C273" s="6"/>
      <c r="D273" s="6"/>
      <c r="E273" s="6"/>
    </row>
    <row r="274" spans="1:5" ht="15.75" customHeight="1" x14ac:dyDescent="0.25">
      <c r="A274" s="6"/>
      <c r="B274" s="7"/>
      <c r="C274" s="6"/>
      <c r="D274" s="6"/>
      <c r="E274" s="6"/>
    </row>
    <row r="275" spans="1:5" ht="15.75" customHeight="1" x14ac:dyDescent="0.25">
      <c r="A275" s="6"/>
      <c r="B275" s="7"/>
      <c r="C275" s="6"/>
      <c r="D275" s="6"/>
      <c r="E275" s="6"/>
    </row>
    <row r="276" spans="1:5" ht="15.75" customHeight="1" x14ac:dyDescent="0.25">
      <c r="A276" s="6"/>
      <c r="B276" s="7"/>
      <c r="C276" s="6"/>
      <c r="D276" s="6"/>
      <c r="E276" s="6"/>
    </row>
    <row r="277" spans="1:5" ht="15.75" customHeight="1" x14ac:dyDescent="0.25">
      <c r="A277" s="6"/>
      <c r="B277" s="7"/>
      <c r="C277" s="6"/>
      <c r="D277" s="6"/>
      <c r="E277" s="6"/>
    </row>
    <row r="278" spans="1:5" ht="15.75" customHeight="1" x14ac:dyDescent="0.25">
      <c r="A278" s="6"/>
      <c r="B278" s="7"/>
      <c r="C278" s="6"/>
      <c r="D278" s="6"/>
      <c r="E278" s="6"/>
    </row>
    <row r="279" spans="1:5" ht="15.75" customHeight="1" x14ac:dyDescent="0.25">
      <c r="A279" s="6"/>
      <c r="B279" s="7"/>
      <c r="C279" s="6"/>
      <c r="D279" s="6"/>
      <c r="E279" s="6"/>
    </row>
    <row r="280" spans="1:5" ht="15.75" customHeight="1" x14ac:dyDescent="0.25">
      <c r="A280" s="6"/>
      <c r="B280" s="7"/>
      <c r="C280" s="6"/>
      <c r="D280" s="6"/>
      <c r="E280" s="6"/>
    </row>
    <row r="281" spans="1:5" ht="15.75" customHeight="1" x14ac:dyDescent="0.25">
      <c r="A281" s="6"/>
      <c r="B281" s="7"/>
      <c r="C281" s="6"/>
      <c r="D281" s="6"/>
      <c r="E281" s="6"/>
    </row>
    <row r="282" spans="1:5" ht="15.75" customHeight="1" x14ac:dyDescent="0.25">
      <c r="A282" s="6"/>
      <c r="B282" s="7"/>
      <c r="C282" s="6"/>
      <c r="D282" s="6"/>
      <c r="E282" s="6"/>
    </row>
    <row r="283" spans="1:5" ht="15.75" customHeight="1" x14ac:dyDescent="0.25">
      <c r="A283" s="6"/>
      <c r="B283" s="7"/>
      <c r="C283" s="6"/>
      <c r="D283" s="6"/>
      <c r="E283" s="6"/>
    </row>
    <row r="284" spans="1:5" ht="15.75" customHeight="1" x14ac:dyDescent="0.25">
      <c r="A284" s="6"/>
      <c r="B284" s="7"/>
      <c r="C284" s="6"/>
      <c r="D284" s="6"/>
      <c r="E284" s="6"/>
    </row>
    <row r="285" spans="1:5" ht="15.75" customHeight="1" x14ac:dyDescent="0.25">
      <c r="A285" s="6"/>
      <c r="B285" s="7"/>
      <c r="C285" s="6"/>
      <c r="D285" s="6"/>
      <c r="E285" s="6"/>
    </row>
    <row r="286" spans="1:5" ht="15.75" customHeight="1" x14ac:dyDescent="0.25">
      <c r="A286" s="6"/>
      <c r="B286" s="7"/>
      <c r="C286" s="6"/>
      <c r="D286" s="6"/>
      <c r="E286" s="6"/>
    </row>
    <row r="287" spans="1:5" ht="15.75" customHeight="1" x14ac:dyDescent="0.25">
      <c r="A287" s="6"/>
      <c r="B287" s="7"/>
      <c r="C287" s="6"/>
      <c r="D287" s="6"/>
      <c r="E287" s="6"/>
    </row>
    <row r="288" spans="1:5" ht="15.75" customHeight="1" x14ac:dyDescent="0.25">
      <c r="A288" s="6"/>
      <c r="B288" s="7"/>
      <c r="C288" s="6"/>
      <c r="D288" s="6"/>
      <c r="E288" s="6"/>
    </row>
    <row r="289" spans="1:5" ht="15.75" customHeight="1" x14ac:dyDescent="0.25">
      <c r="A289" s="6"/>
      <c r="B289" s="7"/>
      <c r="C289" s="6"/>
      <c r="D289" s="6"/>
      <c r="E289" s="6"/>
    </row>
    <row r="290" spans="1:5" ht="15.75" customHeight="1" x14ac:dyDescent="0.25">
      <c r="A290" s="6"/>
      <c r="B290" s="7"/>
      <c r="C290" s="6"/>
      <c r="D290" s="6"/>
      <c r="E290" s="6"/>
    </row>
    <row r="291" spans="1:5" ht="15.75" customHeight="1" x14ac:dyDescent="0.25">
      <c r="A291" s="6"/>
      <c r="B291" s="7"/>
      <c r="C291" s="6"/>
      <c r="D291" s="6"/>
      <c r="E291" s="6"/>
    </row>
    <row r="292" spans="1:5" ht="15.75" customHeight="1" x14ac:dyDescent="0.25">
      <c r="A292" s="6"/>
      <c r="B292" s="7"/>
      <c r="C292" s="6"/>
      <c r="D292" s="6"/>
      <c r="E292" s="6"/>
    </row>
    <row r="293" spans="1:5" ht="15.75" customHeight="1" x14ac:dyDescent="0.25">
      <c r="A293" s="6"/>
      <c r="B293" s="7"/>
      <c r="C293" s="6"/>
      <c r="D293" s="6"/>
      <c r="E293" s="6"/>
    </row>
    <row r="294" spans="1:5" ht="15.75" customHeight="1" x14ac:dyDescent="0.25">
      <c r="A294" s="6"/>
      <c r="B294" s="7"/>
      <c r="C294" s="6"/>
      <c r="D294" s="6"/>
      <c r="E294" s="6"/>
    </row>
    <row r="295" spans="1:5" ht="15.75" customHeight="1" x14ac:dyDescent="0.25">
      <c r="A295" s="6"/>
      <c r="B295" s="7"/>
      <c r="C295" s="6"/>
      <c r="D295" s="6"/>
      <c r="E295" s="6"/>
    </row>
    <row r="296" spans="1:5" ht="15.75" customHeight="1" x14ac:dyDescent="0.25">
      <c r="A296" s="6"/>
      <c r="B296" s="7"/>
      <c r="C296" s="6"/>
      <c r="D296" s="6"/>
      <c r="E296" s="6"/>
    </row>
    <row r="297" spans="1:5" ht="15.75" customHeight="1" x14ac:dyDescent="0.25">
      <c r="A297" s="6"/>
      <c r="B297" s="7"/>
      <c r="C297" s="6"/>
      <c r="D297" s="6"/>
      <c r="E297" s="6"/>
    </row>
    <row r="298" spans="1:5" ht="15.75" customHeight="1" x14ac:dyDescent="0.25">
      <c r="A298" s="6"/>
      <c r="B298" s="7"/>
      <c r="C298" s="6"/>
      <c r="D298" s="6"/>
      <c r="E298" s="6"/>
    </row>
    <row r="299" spans="1:5" ht="15.75" customHeight="1" x14ac:dyDescent="0.25">
      <c r="A299" s="6"/>
      <c r="B299" s="7"/>
      <c r="C299" s="6"/>
      <c r="D299" s="6"/>
      <c r="E299" s="6"/>
    </row>
    <row r="300" spans="1:5" ht="15.75" customHeight="1" x14ac:dyDescent="0.25">
      <c r="A300" s="6"/>
      <c r="B300" s="7"/>
      <c r="C300" s="6"/>
      <c r="D300" s="6"/>
      <c r="E300" s="6"/>
    </row>
    <row r="301" spans="1:5" ht="15.75" customHeight="1" x14ac:dyDescent="0.25">
      <c r="A301" s="6"/>
      <c r="B301" s="7"/>
      <c r="C301" s="6"/>
      <c r="D301" s="6"/>
      <c r="E301" s="6"/>
    </row>
    <row r="302" spans="1:5" ht="15.75" customHeight="1" x14ac:dyDescent="0.25">
      <c r="A302" s="6"/>
      <c r="B302" s="7"/>
      <c r="C302" s="6"/>
      <c r="D302" s="6"/>
      <c r="E302" s="6"/>
    </row>
    <row r="303" spans="1:5" ht="15.75" customHeight="1" x14ac:dyDescent="0.25">
      <c r="A303" s="6"/>
      <c r="B303" s="7"/>
      <c r="C303" s="6"/>
      <c r="D303" s="6"/>
      <c r="E303" s="6"/>
    </row>
    <row r="304" spans="1:5" ht="15.75" customHeight="1" x14ac:dyDescent="0.25">
      <c r="A304" s="6"/>
      <c r="B304" s="7"/>
      <c r="C304" s="6"/>
      <c r="D304" s="6"/>
      <c r="E304" s="6"/>
    </row>
    <row r="305" spans="1:5" ht="15.75" customHeight="1" x14ac:dyDescent="0.25">
      <c r="A305" s="6"/>
      <c r="B305" s="7"/>
      <c r="C305" s="6"/>
      <c r="D305" s="6"/>
      <c r="E305" s="6"/>
    </row>
    <row r="306" spans="1:5" ht="15.75" customHeight="1" x14ac:dyDescent="0.25">
      <c r="A306" s="6"/>
      <c r="B306" s="7"/>
      <c r="C306" s="6"/>
      <c r="D306" s="6"/>
      <c r="E306" s="6"/>
    </row>
    <row r="307" spans="1:5" ht="15.75" customHeight="1" x14ac:dyDescent="0.25">
      <c r="A307" s="6"/>
      <c r="B307" s="7"/>
      <c r="C307" s="6"/>
      <c r="D307" s="6"/>
      <c r="E307" s="6"/>
    </row>
    <row r="308" spans="1:5" ht="15.75" customHeight="1" x14ac:dyDescent="0.25">
      <c r="A308" s="6"/>
      <c r="B308" s="7"/>
      <c r="C308" s="6"/>
      <c r="D308" s="6"/>
      <c r="E308" s="6"/>
    </row>
    <row r="309" spans="1:5" ht="15.75" customHeight="1" x14ac:dyDescent="0.25">
      <c r="A309" s="6"/>
      <c r="B309" s="7"/>
      <c r="C309" s="6"/>
      <c r="D309" s="6"/>
      <c r="E309" s="6"/>
    </row>
    <row r="310" spans="1:5" ht="15.75" customHeight="1" x14ac:dyDescent="0.25">
      <c r="A310" s="6"/>
      <c r="B310" s="7"/>
      <c r="C310" s="6"/>
      <c r="D310" s="6"/>
      <c r="E310" s="6"/>
    </row>
    <row r="311" spans="1:5" ht="15.75" customHeight="1" x14ac:dyDescent="0.25">
      <c r="A311" s="6"/>
      <c r="B311" s="7"/>
      <c r="C311" s="6"/>
      <c r="D311" s="6"/>
      <c r="E311" s="6"/>
    </row>
    <row r="312" spans="1:5" ht="15.75" customHeight="1" x14ac:dyDescent="0.25">
      <c r="A312" s="6"/>
      <c r="B312" s="7"/>
      <c r="C312" s="6"/>
      <c r="D312" s="6"/>
      <c r="E312" s="6"/>
    </row>
    <row r="313" spans="1:5" ht="15.75" customHeight="1" x14ac:dyDescent="0.25">
      <c r="A313" s="6"/>
      <c r="B313" s="7"/>
      <c r="C313" s="6"/>
      <c r="D313" s="6"/>
      <c r="E313" s="6"/>
    </row>
    <row r="314" spans="1:5" ht="15.75" customHeight="1" x14ac:dyDescent="0.25">
      <c r="A314" s="6"/>
      <c r="B314" s="7"/>
      <c r="C314" s="6"/>
      <c r="D314" s="6"/>
      <c r="E314" s="6"/>
    </row>
    <row r="315" spans="1:5" ht="15.75" customHeight="1" x14ac:dyDescent="0.25">
      <c r="A315" s="6"/>
      <c r="B315" s="7"/>
      <c r="C315" s="6"/>
      <c r="D315" s="6"/>
      <c r="E315" s="6"/>
    </row>
    <row r="316" spans="1:5" ht="15.75" customHeight="1" x14ac:dyDescent="0.25">
      <c r="A316" s="6"/>
      <c r="B316" s="7"/>
      <c r="C316" s="6"/>
      <c r="D316" s="6"/>
      <c r="E316" s="6"/>
    </row>
    <row r="317" spans="1:5" ht="15.75" customHeight="1" x14ac:dyDescent="0.25">
      <c r="A317" s="6"/>
      <c r="B317" s="7"/>
      <c r="C317" s="6"/>
      <c r="D317" s="6"/>
      <c r="E317" s="6"/>
    </row>
    <row r="318" spans="1:5" ht="15.75" customHeight="1" x14ac:dyDescent="0.25">
      <c r="A318" s="6"/>
      <c r="B318" s="7"/>
      <c r="C318" s="6"/>
      <c r="D318" s="6"/>
      <c r="E318" s="6"/>
    </row>
    <row r="319" spans="1:5" ht="15.75" customHeight="1" x14ac:dyDescent="0.25">
      <c r="A319" s="6"/>
      <c r="B319" s="7"/>
      <c r="C319" s="6"/>
      <c r="D319" s="6"/>
      <c r="E319" s="6"/>
    </row>
    <row r="320" spans="1:5" ht="15.75" customHeight="1" x14ac:dyDescent="0.25">
      <c r="A320" s="6"/>
      <c r="B320" s="7"/>
      <c r="C320" s="6"/>
      <c r="D320" s="6"/>
      <c r="E320" s="6"/>
    </row>
    <row r="321" spans="1:5" ht="15.75" customHeight="1" x14ac:dyDescent="0.25">
      <c r="A321" s="6"/>
      <c r="B321" s="7"/>
      <c r="C321" s="6"/>
      <c r="D321" s="6"/>
      <c r="E321" s="6"/>
    </row>
    <row r="322" spans="1:5" ht="15.75" customHeight="1" x14ac:dyDescent="0.25">
      <c r="A322" s="6"/>
      <c r="B322" s="7"/>
      <c r="C322" s="6"/>
      <c r="D322" s="6"/>
      <c r="E322" s="6"/>
    </row>
    <row r="323" spans="1:5" ht="15.75" customHeight="1" x14ac:dyDescent="0.25">
      <c r="A323" s="6"/>
      <c r="B323" s="7"/>
      <c r="C323" s="6"/>
      <c r="D323" s="6"/>
      <c r="E323" s="6"/>
    </row>
    <row r="324" spans="1:5" ht="15.75" customHeight="1" x14ac:dyDescent="0.25">
      <c r="A324" s="6"/>
      <c r="B324" s="7"/>
      <c r="C324" s="6"/>
      <c r="D324" s="6"/>
      <c r="E324" s="6"/>
    </row>
    <row r="325" spans="1:5" ht="15.75" customHeight="1" x14ac:dyDescent="0.25">
      <c r="A325" s="6"/>
      <c r="B325" s="7"/>
      <c r="C325" s="6"/>
      <c r="D325" s="6"/>
      <c r="E325" s="6"/>
    </row>
    <row r="326" spans="1:5" ht="15.75" customHeight="1" x14ac:dyDescent="0.25">
      <c r="A326" s="6"/>
      <c r="B326" s="7"/>
      <c r="C326" s="6"/>
      <c r="D326" s="6"/>
      <c r="E326" s="6"/>
    </row>
    <row r="327" spans="1:5" ht="15.75" customHeight="1" x14ac:dyDescent="0.25">
      <c r="A327" s="6"/>
      <c r="B327" s="7"/>
      <c r="C327" s="6"/>
      <c r="D327" s="6"/>
      <c r="E327" s="6"/>
    </row>
    <row r="328" spans="1:5" ht="15.75" customHeight="1" x14ac:dyDescent="0.25">
      <c r="A328" s="6"/>
      <c r="B328" s="7"/>
      <c r="C328" s="6"/>
      <c r="D328" s="6"/>
      <c r="E328" s="6"/>
    </row>
    <row r="329" spans="1:5" ht="15.75" customHeight="1" x14ac:dyDescent="0.25">
      <c r="A329" s="6"/>
      <c r="B329" s="7"/>
      <c r="C329" s="6"/>
      <c r="D329" s="6"/>
      <c r="E329" s="6"/>
    </row>
    <row r="330" spans="1:5" ht="15.75" customHeight="1" x14ac:dyDescent="0.25">
      <c r="A330" s="6"/>
      <c r="B330" s="7"/>
      <c r="C330" s="6"/>
      <c r="D330" s="6"/>
      <c r="E330" s="6"/>
    </row>
    <row r="331" spans="1:5" ht="15.75" customHeight="1" x14ac:dyDescent="0.25">
      <c r="A331" s="6"/>
      <c r="B331" s="7"/>
      <c r="C331" s="6"/>
      <c r="D331" s="6"/>
      <c r="E331" s="6"/>
    </row>
    <row r="332" spans="1:5" ht="15.75" customHeight="1" x14ac:dyDescent="0.25">
      <c r="A332" s="6"/>
      <c r="B332" s="7"/>
      <c r="C332" s="6"/>
      <c r="D332" s="6"/>
      <c r="E332" s="6"/>
    </row>
    <row r="333" spans="1:5" ht="15.75" customHeight="1" x14ac:dyDescent="0.25">
      <c r="A333" s="6"/>
      <c r="B333" s="7"/>
      <c r="C333" s="6"/>
      <c r="D333" s="6"/>
      <c r="E333" s="6"/>
    </row>
    <row r="334" spans="1:5" ht="15.75" customHeight="1" x14ac:dyDescent="0.25">
      <c r="A334" s="6"/>
      <c r="B334" s="7"/>
      <c r="C334" s="6"/>
      <c r="D334" s="6"/>
      <c r="E334" s="6"/>
    </row>
    <row r="335" spans="1:5" ht="15.75" customHeight="1" x14ac:dyDescent="0.25">
      <c r="A335" s="6"/>
      <c r="B335" s="7"/>
      <c r="C335" s="6"/>
      <c r="D335" s="6"/>
      <c r="E335" s="6"/>
    </row>
    <row r="336" spans="1:5" ht="15.75" customHeight="1" x14ac:dyDescent="0.25">
      <c r="A336" s="6"/>
      <c r="B336" s="7"/>
      <c r="C336" s="6"/>
      <c r="D336" s="6"/>
      <c r="E336" s="6"/>
    </row>
    <row r="337" spans="1:5" ht="15.75" customHeight="1" x14ac:dyDescent="0.25">
      <c r="A337" s="6"/>
      <c r="B337" s="7"/>
      <c r="C337" s="6"/>
      <c r="D337" s="6"/>
      <c r="E337" s="6"/>
    </row>
    <row r="338" spans="1:5" ht="15.75" customHeight="1" x14ac:dyDescent="0.25">
      <c r="A338" s="6"/>
      <c r="B338" s="7"/>
      <c r="C338" s="6"/>
      <c r="D338" s="6"/>
      <c r="E338" s="6"/>
    </row>
    <row r="339" spans="1:5" ht="15.75" customHeight="1" x14ac:dyDescent="0.25">
      <c r="A339" s="6"/>
      <c r="B339" s="7"/>
      <c r="C339" s="6"/>
      <c r="D339" s="6"/>
      <c r="E339" s="6"/>
    </row>
    <row r="340" spans="1:5" ht="15.75" customHeight="1" x14ac:dyDescent="0.25">
      <c r="A340" s="6"/>
      <c r="B340" s="7"/>
      <c r="C340" s="6"/>
      <c r="D340" s="6"/>
      <c r="E340" s="6"/>
    </row>
    <row r="341" spans="1:5" ht="15.75" customHeight="1" x14ac:dyDescent="0.25">
      <c r="A341" s="6"/>
      <c r="B341" s="7"/>
      <c r="C341" s="6"/>
      <c r="D341" s="6"/>
      <c r="E341" s="6"/>
    </row>
    <row r="342" spans="1:5" ht="15.75" customHeight="1" x14ac:dyDescent="0.25">
      <c r="A342" s="6"/>
      <c r="B342" s="7"/>
      <c r="C342" s="6"/>
      <c r="D342" s="6"/>
      <c r="E342" s="6"/>
    </row>
    <row r="343" spans="1:5" ht="15.75" customHeight="1" x14ac:dyDescent="0.25">
      <c r="A343" s="6"/>
      <c r="B343" s="7"/>
      <c r="C343" s="6"/>
      <c r="D343" s="6"/>
      <c r="E343" s="6"/>
    </row>
    <row r="344" spans="1:5" ht="15.75" customHeight="1" x14ac:dyDescent="0.25">
      <c r="A344" s="6"/>
      <c r="B344" s="7"/>
      <c r="C344" s="6"/>
      <c r="D344" s="6"/>
      <c r="E344" s="6"/>
    </row>
    <row r="345" spans="1:5" ht="15.75" customHeight="1" x14ac:dyDescent="0.25">
      <c r="A345" s="6"/>
      <c r="B345" s="7"/>
      <c r="C345" s="6"/>
      <c r="D345" s="6"/>
      <c r="E345" s="6"/>
    </row>
    <row r="346" spans="1:5" ht="15.75" customHeight="1" x14ac:dyDescent="0.25">
      <c r="A346" s="6"/>
      <c r="B346" s="7"/>
      <c r="C346" s="6"/>
      <c r="D346" s="6"/>
      <c r="E346" s="6"/>
    </row>
    <row r="347" spans="1:5" ht="15.75" customHeight="1" x14ac:dyDescent="0.25">
      <c r="A347" s="6"/>
      <c r="B347" s="7"/>
      <c r="C347" s="6"/>
      <c r="D347" s="6"/>
      <c r="E347" s="6"/>
    </row>
    <row r="348" spans="1:5" ht="15.75" customHeight="1" x14ac:dyDescent="0.25">
      <c r="A348" s="6"/>
      <c r="B348" s="7"/>
      <c r="C348" s="6"/>
      <c r="D348" s="6"/>
      <c r="E348" s="6"/>
    </row>
    <row r="349" spans="1:5" ht="15.75" customHeight="1" x14ac:dyDescent="0.25">
      <c r="A349" s="6"/>
      <c r="B349" s="7"/>
      <c r="C349" s="6"/>
      <c r="D349" s="6"/>
      <c r="E349" s="6"/>
    </row>
    <row r="350" spans="1:5" ht="15.75" customHeight="1" x14ac:dyDescent="0.25">
      <c r="A350" s="6"/>
      <c r="B350" s="7"/>
      <c r="C350" s="6"/>
      <c r="D350" s="6"/>
      <c r="E350" s="6"/>
    </row>
    <row r="351" spans="1:5" ht="15.75" customHeight="1" x14ac:dyDescent="0.25">
      <c r="A351" s="6"/>
      <c r="B351" s="7"/>
      <c r="C351" s="6"/>
      <c r="D351" s="6"/>
      <c r="E351" s="6"/>
    </row>
    <row r="352" spans="1:5" ht="15.75" customHeight="1" x14ac:dyDescent="0.25">
      <c r="A352" s="6"/>
      <c r="B352" s="7"/>
      <c r="C352" s="6"/>
      <c r="D352" s="6"/>
      <c r="E352" s="6"/>
    </row>
    <row r="353" spans="1:5" ht="15.75" customHeight="1" x14ac:dyDescent="0.25">
      <c r="A353" s="6"/>
      <c r="B353" s="7"/>
      <c r="C353" s="6"/>
      <c r="D353" s="6"/>
      <c r="E353" s="6"/>
    </row>
    <row r="354" spans="1:5" ht="15.75" customHeight="1" x14ac:dyDescent="0.25">
      <c r="A354" s="6"/>
      <c r="B354" s="7"/>
      <c r="C354" s="6"/>
      <c r="D354" s="6"/>
      <c r="E354" s="6"/>
    </row>
    <row r="355" spans="1:5" ht="15.75" customHeight="1" x14ac:dyDescent="0.25">
      <c r="A355" s="6"/>
      <c r="B355" s="7"/>
      <c r="C355" s="6"/>
      <c r="D355" s="6"/>
      <c r="E355" s="6"/>
    </row>
    <row r="356" spans="1:5" ht="15.75" customHeight="1" x14ac:dyDescent="0.25">
      <c r="A356" s="6"/>
      <c r="B356" s="7"/>
      <c r="C356" s="6"/>
      <c r="D356" s="6"/>
      <c r="E356" s="6"/>
    </row>
    <row r="357" spans="1:5" ht="15.75" customHeight="1" x14ac:dyDescent="0.25">
      <c r="A357" s="6"/>
      <c r="B357" s="7"/>
      <c r="C357" s="6"/>
      <c r="D357" s="6"/>
      <c r="E357" s="6"/>
    </row>
    <row r="358" spans="1:5" ht="15.75" customHeight="1" x14ac:dyDescent="0.25">
      <c r="A358" s="6"/>
      <c r="B358" s="7"/>
      <c r="C358" s="6"/>
      <c r="D358" s="6"/>
      <c r="E358" s="6"/>
    </row>
    <row r="359" spans="1:5" ht="15.75" customHeight="1" x14ac:dyDescent="0.25">
      <c r="A359" s="6"/>
      <c r="B359" s="7"/>
      <c r="C359" s="6"/>
      <c r="D359" s="6"/>
      <c r="E359" s="6"/>
    </row>
    <row r="360" spans="1:5" ht="15.75" customHeight="1" x14ac:dyDescent="0.25">
      <c r="A360" s="6"/>
      <c r="B360" s="7"/>
      <c r="C360" s="6"/>
      <c r="D360" s="6"/>
      <c r="E360" s="6"/>
    </row>
    <row r="361" spans="1:5" ht="15.75" customHeight="1" x14ac:dyDescent="0.25">
      <c r="A361" s="6"/>
      <c r="B361" s="7"/>
      <c r="C361" s="6"/>
      <c r="D361" s="6"/>
      <c r="E361" s="6"/>
    </row>
    <row r="362" spans="1:5" ht="15.75" customHeight="1" x14ac:dyDescent="0.25">
      <c r="A362" s="6"/>
      <c r="B362" s="7"/>
      <c r="C362" s="6"/>
      <c r="D362" s="6"/>
      <c r="E362" s="6"/>
    </row>
    <row r="363" spans="1:5" ht="15.75" customHeight="1" x14ac:dyDescent="0.25">
      <c r="A363" s="6"/>
      <c r="B363" s="7"/>
      <c r="C363" s="6"/>
      <c r="D363" s="6"/>
      <c r="E363" s="6"/>
    </row>
    <row r="364" spans="1:5" ht="15.75" customHeight="1" x14ac:dyDescent="0.25">
      <c r="A364" s="6"/>
      <c r="B364" s="7"/>
      <c r="C364" s="6"/>
      <c r="D364" s="6"/>
      <c r="E364" s="6"/>
    </row>
    <row r="365" spans="1:5" ht="15.75" customHeight="1" x14ac:dyDescent="0.25">
      <c r="A365" s="6"/>
      <c r="B365" s="7"/>
      <c r="C365" s="6"/>
      <c r="D365" s="6"/>
      <c r="E365" s="6"/>
    </row>
    <row r="366" spans="1:5" ht="15.75" customHeight="1" x14ac:dyDescent="0.25">
      <c r="A366" s="6"/>
      <c r="B366" s="7"/>
      <c r="C366" s="6"/>
      <c r="D366" s="6"/>
      <c r="E366" s="6"/>
    </row>
    <row r="367" spans="1:5" ht="15.75" customHeight="1" x14ac:dyDescent="0.25">
      <c r="A367" s="6"/>
      <c r="B367" s="7"/>
      <c r="C367" s="6"/>
      <c r="D367" s="6"/>
      <c r="E367" s="6"/>
    </row>
    <row r="368" spans="1:5" ht="15.75" customHeight="1" x14ac:dyDescent="0.25">
      <c r="A368" s="6"/>
      <c r="B368" s="7"/>
      <c r="C368" s="6"/>
      <c r="D368" s="6"/>
      <c r="E368" s="6"/>
    </row>
    <row r="369" spans="1:5" ht="15.75" customHeight="1" x14ac:dyDescent="0.25">
      <c r="A369" s="6"/>
      <c r="B369" s="7"/>
      <c r="C369" s="6"/>
      <c r="D369" s="6"/>
      <c r="E369" s="6"/>
    </row>
    <row r="370" spans="1:5" ht="15.75" customHeight="1" x14ac:dyDescent="0.25"/>
    <row r="371" spans="1:5" ht="15.75" customHeight="1" x14ac:dyDescent="0.25"/>
    <row r="372" spans="1:5" ht="15.75" customHeight="1" x14ac:dyDescent="0.25"/>
    <row r="373" spans="1:5" ht="15.75" customHeight="1" x14ac:dyDescent="0.25"/>
    <row r="374" spans="1:5" ht="15.75" customHeight="1" x14ac:dyDescent="0.25"/>
    <row r="375" spans="1:5" ht="15.75" customHeight="1" x14ac:dyDescent="0.25"/>
    <row r="376" spans="1:5" ht="15.75" customHeight="1" x14ac:dyDescent="0.25"/>
    <row r="377" spans="1:5" ht="15.75" customHeight="1" x14ac:dyDescent="0.25"/>
    <row r="378" spans="1:5" ht="15.75" customHeight="1" x14ac:dyDescent="0.25"/>
    <row r="379" spans="1:5" ht="15.75" customHeight="1" x14ac:dyDescent="0.25"/>
    <row r="380" spans="1:5" ht="15.75" customHeight="1" x14ac:dyDescent="0.25"/>
    <row r="381" spans="1:5" ht="15.75" customHeight="1" x14ac:dyDescent="0.25"/>
    <row r="382" spans="1:5" ht="15.75" customHeight="1" x14ac:dyDescent="0.25"/>
    <row r="383" spans="1:5" ht="15.75" customHeight="1" x14ac:dyDescent="0.25"/>
    <row r="384" spans="1:5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</sheetData>
  <autoFilter ref="A1:E1077"/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Z98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37.28515625" customWidth="1"/>
    <col min="3" max="3" width="108.42578125" customWidth="1"/>
    <col min="4" max="4" width="102" customWidth="1"/>
    <col min="5" max="8" width="8.7109375" customWidth="1"/>
    <col min="9" max="9" width="31.5703125" customWidth="1"/>
    <col min="10" max="23" width="8.7109375" customWidth="1"/>
  </cols>
  <sheetData>
    <row r="1" spans="1:26" x14ac:dyDescent="0.25">
      <c r="A1" s="4" t="s">
        <v>0</v>
      </c>
      <c r="B1" s="5" t="s">
        <v>508</v>
      </c>
      <c r="C1" s="5" t="s">
        <v>3</v>
      </c>
      <c r="D1" s="5" t="s">
        <v>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6">
        <v>1</v>
      </c>
      <c r="B2" s="6" t="s">
        <v>509</v>
      </c>
      <c r="C2" s="6" t="s">
        <v>510</v>
      </c>
      <c r="D2" s="6" t="s">
        <v>511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6">
        <v>2</v>
      </c>
      <c r="B3" s="6" t="s">
        <v>512</v>
      </c>
      <c r="C3" s="6" t="s">
        <v>513</v>
      </c>
      <c r="D3" s="6" t="s">
        <v>514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6">
        <v>3</v>
      </c>
      <c r="B4" s="6" t="s">
        <v>515</v>
      </c>
      <c r="C4" s="6" t="s">
        <v>516</v>
      </c>
      <c r="D4" s="6" t="s">
        <v>517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6">
        <v>4</v>
      </c>
      <c r="B5" s="6" t="s">
        <v>518</v>
      </c>
      <c r="C5" s="6" t="s">
        <v>519</v>
      </c>
      <c r="D5" s="6" t="s">
        <v>520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0" x14ac:dyDescent="0.25">
      <c r="A6" s="6">
        <v>5</v>
      </c>
      <c r="B6" s="6" t="s">
        <v>521</v>
      </c>
      <c r="C6" s="6" t="s">
        <v>522</v>
      </c>
      <c r="D6" s="6" t="s">
        <v>523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6">
        <v>6</v>
      </c>
      <c r="B7" s="6" t="s">
        <v>524</v>
      </c>
      <c r="C7" s="6" t="s">
        <v>525</v>
      </c>
      <c r="D7" s="6" t="s">
        <v>526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5">
      <c r="A8" s="6">
        <v>7</v>
      </c>
      <c r="B8" s="6" t="s">
        <v>527</v>
      </c>
      <c r="C8" s="6" t="s">
        <v>528</v>
      </c>
      <c r="D8" s="6" t="s">
        <v>529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5">
      <c r="A9" s="6">
        <v>8</v>
      </c>
      <c r="B9" s="6" t="s">
        <v>530</v>
      </c>
      <c r="C9" s="6" t="s">
        <v>531</v>
      </c>
      <c r="D9" s="6" t="s">
        <v>532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45" x14ac:dyDescent="0.25">
      <c r="A10" s="6">
        <v>9</v>
      </c>
      <c r="B10" s="6" t="s">
        <v>533</v>
      </c>
      <c r="C10" s="6" t="s">
        <v>534</v>
      </c>
      <c r="D10" s="6" t="s">
        <v>535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45" x14ac:dyDescent="0.25">
      <c r="A11" s="6">
        <v>10</v>
      </c>
      <c r="B11" s="6" t="s">
        <v>536</v>
      </c>
      <c r="C11" s="6" t="s">
        <v>537</v>
      </c>
      <c r="D11" s="6" t="s">
        <v>538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6">
        <v>11</v>
      </c>
      <c r="B12" s="6" t="s">
        <v>539</v>
      </c>
      <c r="C12" s="6" t="s">
        <v>540</v>
      </c>
      <c r="D12" s="6" t="s">
        <v>541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6">
        <v>12</v>
      </c>
      <c r="B13" s="6" t="s">
        <v>542</v>
      </c>
      <c r="C13" s="6" t="s">
        <v>543</v>
      </c>
      <c r="D13" s="6" t="s">
        <v>544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6">
        <v>13</v>
      </c>
      <c r="B14" s="6" t="s">
        <v>545</v>
      </c>
      <c r="C14" s="6" t="s">
        <v>546</v>
      </c>
      <c r="D14" s="6" t="s">
        <v>547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6">
        <v>14</v>
      </c>
      <c r="B15" s="6" t="s">
        <v>548</v>
      </c>
      <c r="C15" s="6" t="s">
        <v>549</v>
      </c>
      <c r="D15" s="6" t="s">
        <v>550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6">
        <v>15</v>
      </c>
      <c r="B16" s="6" t="s">
        <v>551</v>
      </c>
      <c r="C16" s="6" t="s">
        <v>552</v>
      </c>
      <c r="D16" s="6" t="s">
        <v>553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6">
        <v>16</v>
      </c>
      <c r="B17" s="6" t="s">
        <v>554</v>
      </c>
      <c r="C17" s="6" t="s">
        <v>555</v>
      </c>
      <c r="D17" s="6" t="s">
        <v>556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6">
        <v>17</v>
      </c>
      <c r="B18" s="6" t="s">
        <v>557</v>
      </c>
      <c r="C18" s="6" t="s">
        <v>558</v>
      </c>
      <c r="D18" s="6" t="s">
        <v>559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6">
        <v>18</v>
      </c>
      <c r="B19" s="6" t="s">
        <v>560</v>
      </c>
      <c r="C19" s="6" t="s">
        <v>561</v>
      </c>
      <c r="D19" s="6" t="s">
        <v>562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6">
        <v>19</v>
      </c>
      <c r="B20" s="6" t="s">
        <v>563</v>
      </c>
      <c r="C20" s="6" t="s">
        <v>564</v>
      </c>
      <c r="D20" s="6" t="s">
        <v>565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6">
        <v>20</v>
      </c>
      <c r="B21" s="6" t="s">
        <v>566</v>
      </c>
      <c r="C21" s="6" t="s">
        <v>567</v>
      </c>
      <c r="D21" s="6" t="s">
        <v>568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6">
        <v>21</v>
      </c>
      <c r="B22" s="6" t="s">
        <v>569</v>
      </c>
      <c r="C22" s="6" t="s">
        <v>570</v>
      </c>
      <c r="D22" s="6" t="s">
        <v>571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6">
        <v>22</v>
      </c>
      <c r="B23" s="6" t="s">
        <v>572</v>
      </c>
      <c r="C23" s="6" t="s">
        <v>573</v>
      </c>
      <c r="D23" s="6" t="s">
        <v>574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6">
        <v>23</v>
      </c>
      <c r="B24" s="6" t="s">
        <v>575</v>
      </c>
      <c r="C24" s="6" t="s">
        <v>576</v>
      </c>
      <c r="D24" s="6" t="s">
        <v>577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6">
        <v>24</v>
      </c>
      <c r="B25" s="6" t="s">
        <v>578</v>
      </c>
      <c r="C25" s="6" t="s">
        <v>579</v>
      </c>
      <c r="D25" s="6" t="s">
        <v>580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6">
        <v>25</v>
      </c>
      <c r="B26" s="6" t="s">
        <v>581</v>
      </c>
      <c r="C26" s="6" t="s">
        <v>582</v>
      </c>
      <c r="D26" s="6" t="s">
        <v>583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6">
        <v>26</v>
      </c>
      <c r="B27" s="6" t="s">
        <v>584</v>
      </c>
      <c r="C27" s="6" t="s">
        <v>585</v>
      </c>
      <c r="D27" s="6" t="s">
        <v>586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6">
        <v>27</v>
      </c>
      <c r="B28" s="6" t="s">
        <v>587</v>
      </c>
      <c r="C28" s="6" t="s">
        <v>588</v>
      </c>
      <c r="D28" s="6" t="s">
        <v>589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6">
        <v>28</v>
      </c>
      <c r="B29" s="6" t="s">
        <v>590</v>
      </c>
      <c r="C29" s="6" t="s">
        <v>591</v>
      </c>
      <c r="D29" s="6" t="s">
        <v>592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6">
        <v>29</v>
      </c>
      <c r="B30" s="6" t="s">
        <v>593</v>
      </c>
      <c r="C30" s="6" t="s">
        <v>594</v>
      </c>
      <c r="D30" s="6" t="s">
        <v>595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6">
        <v>30</v>
      </c>
      <c r="B31" s="6" t="s">
        <v>596</v>
      </c>
      <c r="C31" s="6" t="s">
        <v>597</v>
      </c>
      <c r="D31" s="6" t="s">
        <v>598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6">
        <v>31</v>
      </c>
      <c r="B32" s="6" t="s">
        <v>599</v>
      </c>
      <c r="C32" s="6" t="s">
        <v>600</v>
      </c>
      <c r="D32" s="6" t="s">
        <v>601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6">
        <v>32</v>
      </c>
      <c r="B33" s="6" t="s">
        <v>602</v>
      </c>
      <c r="C33" s="6" t="s">
        <v>603</v>
      </c>
      <c r="D33" s="6" t="s">
        <v>604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6">
        <v>33</v>
      </c>
      <c r="B34" s="6" t="s">
        <v>605</v>
      </c>
      <c r="C34" s="6" t="s">
        <v>606</v>
      </c>
      <c r="D34" s="6" t="s">
        <v>607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6">
        <v>34</v>
      </c>
      <c r="B35" s="6" t="s">
        <v>608</v>
      </c>
      <c r="C35" s="6" t="s">
        <v>609</v>
      </c>
      <c r="D35" s="6" t="s">
        <v>610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6">
        <v>35</v>
      </c>
      <c r="B36" s="6" t="s">
        <v>611</v>
      </c>
      <c r="C36" s="6" t="s">
        <v>612</v>
      </c>
      <c r="D36" s="6" t="s">
        <v>613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6">
        <v>36</v>
      </c>
      <c r="B37" s="6" t="s">
        <v>614</v>
      </c>
      <c r="C37" s="6" t="s">
        <v>615</v>
      </c>
      <c r="D37" s="6" t="s">
        <v>616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6">
        <v>37</v>
      </c>
      <c r="B38" s="6" t="s">
        <v>617</v>
      </c>
      <c r="C38" s="6" t="s">
        <v>618</v>
      </c>
      <c r="D38" s="6" t="s">
        <v>619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6">
        <v>38</v>
      </c>
      <c r="B39" s="6" t="s">
        <v>620</v>
      </c>
      <c r="C39" s="6" t="s">
        <v>621</v>
      </c>
      <c r="D39" s="6" t="s">
        <v>622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6">
        <v>39</v>
      </c>
      <c r="B40" s="6" t="s">
        <v>623</v>
      </c>
      <c r="C40" s="6" t="s">
        <v>624</v>
      </c>
      <c r="D40" s="6" t="s">
        <v>625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6">
        <v>40</v>
      </c>
      <c r="B41" s="6" t="s">
        <v>626</v>
      </c>
      <c r="C41" s="6" t="s">
        <v>627</v>
      </c>
      <c r="D41" s="20" t="s">
        <v>628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6">
        <v>41</v>
      </c>
      <c r="B42" s="6" t="s">
        <v>629</v>
      </c>
      <c r="C42" s="6" t="s">
        <v>630</v>
      </c>
      <c r="D42" s="6" t="s">
        <v>631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6">
        <v>42</v>
      </c>
      <c r="B43" s="6" t="s">
        <v>632</v>
      </c>
      <c r="C43" s="6" t="s">
        <v>630</v>
      </c>
      <c r="D43" s="6" t="s">
        <v>631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6">
        <v>43</v>
      </c>
      <c r="B44" s="6" t="s">
        <v>633</v>
      </c>
      <c r="C44" s="6" t="s">
        <v>634</v>
      </c>
      <c r="D44" s="6" t="s">
        <v>635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6">
        <v>44</v>
      </c>
      <c r="B45" s="6" t="s">
        <v>636</v>
      </c>
      <c r="C45" s="6" t="s">
        <v>637</v>
      </c>
      <c r="D45" s="6" t="s">
        <v>638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6">
        <v>45</v>
      </c>
      <c r="B46" s="6" t="s">
        <v>639</v>
      </c>
      <c r="C46" s="6" t="s">
        <v>640</v>
      </c>
      <c r="D46" s="6" t="s">
        <v>641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6">
        <v>46</v>
      </c>
      <c r="B47" s="6" t="s">
        <v>642</v>
      </c>
      <c r="C47" s="6" t="s">
        <v>643</v>
      </c>
      <c r="D47" s="6" t="s">
        <v>644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6">
        <v>47</v>
      </c>
      <c r="B48" s="6" t="s">
        <v>645</v>
      </c>
      <c r="C48" s="6" t="s">
        <v>643</v>
      </c>
      <c r="D48" s="6" t="s">
        <v>644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6">
        <v>48</v>
      </c>
      <c r="B49" s="6" t="s">
        <v>646</v>
      </c>
      <c r="C49" s="6" t="s">
        <v>647</v>
      </c>
      <c r="D49" s="6" t="s">
        <v>648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6">
        <v>49</v>
      </c>
      <c r="B50" s="12" t="s">
        <v>649</v>
      </c>
      <c r="C50" s="6" t="s">
        <v>650</v>
      </c>
      <c r="D50" s="6" t="s">
        <v>651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6">
        <v>50</v>
      </c>
      <c r="B51" s="6" t="s">
        <v>652</v>
      </c>
      <c r="C51" s="6" t="s">
        <v>653</v>
      </c>
      <c r="D51" s="6" t="s">
        <v>654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6">
        <v>51</v>
      </c>
      <c r="B52" s="6" t="s">
        <v>655</v>
      </c>
      <c r="C52" s="6" t="s">
        <v>656</v>
      </c>
      <c r="D52" s="6" t="s">
        <v>657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6">
        <v>52</v>
      </c>
      <c r="B53" s="6" t="s">
        <v>658</v>
      </c>
      <c r="C53" s="6" t="s">
        <v>659</v>
      </c>
      <c r="D53" s="6" t="s">
        <v>660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6">
        <v>53</v>
      </c>
      <c r="B54" s="6" t="s">
        <v>661</v>
      </c>
      <c r="C54" s="6" t="s">
        <v>662</v>
      </c>
      <c r="D54" s="6" t="s">
        <v>663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6">
        <v>54</v>
      </c>
      <c r="B55" s="6" t="s">
        <v>664</v>
      </c>
      <c r="C55" s="6" t="s">
        <v>665</v>
      </c>
      <c r="D55" s="6" t="s">
        <v>666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6">
        <v>55</v>
      </c>
      <c r="B56" s="6" t="s">
        <v>667</v>
      </c>
      <c r="C56" s="6" t="s">
        <v>668</v>
      </c>
      <c r="D56" s="6" t="s">
        <v>669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6">
        <v>56</v>
      </c>
      <c r="B57" s="6" t="s">
        <v>670</v>
      </c>
      <c r="C57" s="21"/>
      <c r="D57" s="6" t="s">
        <v>671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6">
        <v>57</v>
      </c>
      <c r="B58" s="6" t="s">
        <v>672</v>
      </c>
      <c r="C58" s="21"/>
      <c r="D58" s="6" t="s">
        <v>654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6">
        <v>58</v>
      </c>
      <c r="B59" s="6" t="s">
        <v>673</v>
      </c>
      <c r="C59" s="21"/>
      <c r="D59" s="6" t="s">
        <v>674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6">
        <v>59</v>
      </c>
      <c r="B60" s="6" t="s">
        <v>675</v>
      </c>
      <c r="C60" s="21" t="s">
        <v>656</v>
      </c>
      <c r="D60" s="6" t="s">
        <v>657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6">
        <v>60</v>
      </c>
      <c r="B61" s="6" t="s">
        <v>676</v>
      </c>
      <c r="C61" s="21"/>
      <c r="D61" s="6" t="s">
        <v>677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6">
        <v>61</v>
      </c>
      <c r="B62" s="6" t="s">
        <v>678</v>
      </c>
      <c r="C62" s="21"/>
      <c r="D62" s="6" t="s">
        <v>660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6">
        <v>62</v>
      </c>
      <c r="B63" s="6" t="s">
        <v>679</v>
      </c>
      <c r="C63" s="21"/>
      <c r="D63" s="6" t="s">
        <v>680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6">
        <v>63</v>
      </c>
      <c r="B64" s="6" t="s">
        <v>681</v>
      </c>
      <c r="C64" s="22" t="s">
        <v>682</v>
      </c>
      <c r="D64" s="6" t="s">
        <v>683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6">
        <v>64</v>
      </c>
      <c r="B65" s="12" t="s">
        <v>684</v>
      </c>
      <c r="C65" s="6" t="s">
        <v>685</v>
      </c>
      <c r="D65" s="6" t="s">
        <v>686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6">
        <v>65</v>
      </c>
      <c r="B66" s="6" t="s">
        <v>687</v>
      </c>
      <c r="C66" s="6" t="s">
        <v>688</v>
      </c>
      <c r="D66" s="6" t="s">
        <v>689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6">
        <v>66</v>
      </c>
      <c r="B67" s="6" t="s">
        <v>690</v>
      </c>
      <c r="C67" s="21"/>
      <c r="D67" s="6" t="s">
        <v>691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6">
        <v>67</v>
      </c>
      <c r="B68" s="6" t="s">
        <v>692</v>
      </c>
      <c r="C68" s="6" t="s">
        <v>693</v>
      </c>
      <c r="D68" s="6" t="s">
        <v>694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6">
        <v>68</v>
      </c>
      <c r="B69" s="6" t="s">
        <v>695</v>
      </c>
      <c r="C69" s="6" t="s">
        <v>696</v>
      </c>
      <c r="D69" s="6" t="s">
        <v>697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6">
        <v>69</v>
      </c>
      <c r="B70" s="6" t="s">
        <v>698</v>
      </c>
      <c r="C70" s="21" t="s">
        <v>665</v>
      </c>
      <c r="D70" s="6" t="s">
        <v>666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6">
        <v>70</v>
      </c>
      <c r="B71" s="6" t="s">
        <v>699</v>
      </c>
      <c r="C71" s="23" t="s">
        <v>700</v>
      </c>
      <c r="D71" s="6" t="s">
        <v>669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6">
        <v>71</v>
      </c>
      <c r="B72" s="6" t="s">
        <v>701</v>
      </c>
      <c r="C72" s="6" t="s">
        <v>702</v>
      </c>
      <c r="D72" s="6" t="s">
        <v>703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6">
        <v>72</v>
      </c>
      <c r="B73" s="6" t="s">
        <v>704</v>
      </c>
      <c r="C73" s="6" t="s">
        <v>705</v>
      </c>
      <c r="D73" s="6" t="s">
        <v>706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6">
        <v>73</v>
      </c>
      <c r="B74" s="6" t="s">
        <v>707</v>
      </c>
      <c r="C74" s="6" t="s">
        <v>708</v>
      </c>
      <c r="D74" s="6" t="s">
        <v>709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6">
        <v>74</v>
      </c>
      <c r="B75" s="6" t="s">
        <v>710</v>
      </c>
      <c r="C75" s="6" t="s">
        <v>711</v>
      </c>
      <c r="D75" s="6" t="s">
        <v>712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6">
        <v>75</v>
      </c>
      <c r="B76" s="6" t="s">
        <v>713</v>
      </c>
      <c r="C76" s="6" t="s">
        <v>714</v>
      </c>
      <c r="D76" s="6" t="s">
        <v>715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6">
        <v>76</v>
      </c>
      <c r="B77" s="6" t="s">
        <v>716</v>
      </c>
      <c r="C77" s="6" t="s">
        <v>717</v>
      </c>
      <c r="D77" s="6" t="s">
        <v>718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6">
        <v>77</v>
      </c>
      <c r="B78" s="6" t="s">
        <v>719</v>
      </c>
      <c r="C78" s="6" t="s">
        <v>720</v>
      </c>
      <c r="D78" s="6" t="s">
        <v>721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6">
        <v>78</v>
      </c>
      <c r="B79" s="6" t="s">
        <v>722</v>
      </c>
      <c r="C79" s="6" t="s">
        <v>723</v>
      </c>
      <c r="D79" s="6" t="s">
        <v>724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6">
        <v>79</v>
      </c>
      <c r="B80" s="6" t="s">
        <v>725</v>
      </c>
      <c r="C80" s="6" t="s">
        <v>726</v>
      </c>
      <c r="D80" s="6" t="s">
        <v>727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6">
        <v>80</v>
      </c>
      <c r="B81" s="6" t="s">
        <v>728</v>
      </c>
      <c r="C81" s="6" t="s">
        <v>729</v>
      </c>
      <c r="D81" s="6" t="s">
        <v>730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6">
        <v>81</v>
      </c>
      <c r="B82" s="6" t="s">
        <v>731</v>
      </c>
      <c r="C82" s="6" t="s">
        <v>732</v>
      </c>
      <c r="D82" s="6" t="s">
        <v>733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6">
        <v>82</v>
      </c>
      <c r="B83" s="6" t="s">
        <v>734</v>
      </c>
      <c r="C83" s="6" t="s">
        <v>735</v>
      </c>
      <c r="D83" s="6" t="s">
        <v>736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6">
        <v>83</v>
      </c>
      <c r="B84" s="6" t="s">
        <v>737</v>
      </c>
      <c r="C84" s="6" t="s">
        <v>738</v>
      </c>
      <c r="D84" s="6" t="s">
        <v>739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6">
        <v>84</v>
      </c>
      <c r="B85" s="6" t="s">
        <v>740</v>
      </c>
      <c r="C85" s="6" t="s">
        <v>741</v>
      </c>
      <c r="D85" s="6" t="s">
        <v>742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6">
        <v>85</v>
      </c>
      <c r="B86" s="6" t="s">
        <v>743</v>
      </c>
      <c r="C86" s="6" t="s">
        <v>744</v>
      </c>
      <c r="D86" s="6" t="s">
        <v>745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6">
        <v>86</v>
      </c>
      <c r="B87" s="6" t="s">
        <v>746</v>
      </c>
      <c r="C87" s="6" t="s">
        <v>747</v>
      </c>
      <c r="D87" s="6" t="s">
        <v>748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6">
        <v>87</v>
      </c>
      <c r="B88" s="6" t="s">
        <v>749</v>
      </c>
      <c r="C88" s="6" t="s">
        <v>750</v>
      </c>
      <c r="D88" s="6" t="s">
        <v>751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6">
        <v>88</v>
      </c>
      <c r="B89" s="6" t="s">
        <v>752</v>
      </c>
      <c r="C89" s="6" t="s">
        <v>753</v>
      </c>
      <c r="D89" s="6" t="s">
        <v>754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6">
        <v>89</v>
      </c>
      <c r="B90" s="6" t="s">
        <v>755</v>
      </c>
      <c r="C90" s="6" t="s">
        <v>756</v>
      </c>
      <c r="D90" s="6" t="s">
        <v>757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6">
        <v>90</v>
      </c>
      <c r="B91" s="6" t="s">
        <v>758</v>
      </c>
      <c r="C91" s="6" t="s">
        <v>759</v>
      </c>
      <c r="D91" s="6" t="s">
        <v>760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6">
        <v>91</v>
      </c>
      <c r="B92" s="6" t="s">
        <v>761</v>
      </c>
      <c r="C92" s="6" t="s">
        <v>762</v>
      </c>
      <c r="D92" s="6" t="s">
        <v>763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6">
        <v>92</v>
      </c>
      <c r="B93" s="6" t="s">
        <v>764</v>
      </c>
      <c r="C93" s="6" t="s">
        <v>765</v>
      </c>
      <c r="D93" s="6" t="s">
        <v>766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6">
        <v>93</v>
      </c>
      <c r="B94" s="6" t="s">
        <v>767</v>
      </c>
      <c r="C94" s="6" t="s">
        <v>768</v>
      </c>
      <c r="D94" s="6" t="s">
        <v>769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6">
        <v>94</v>
      </c>
      <c r="B95" s="6" t="s">
        <v>770</v>
      </c>
      <c r="C95" s="6" t="s">
        <v>771</v>
      </c>
      <c r="D95" s="6" t="s">
        <v>772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6">
        <v>95</v>
      </c>
      <c r="B96" s="6" t="s">
        <v>773</v>
      </c>
      <c r="C96" s="6" t="s">
        <v>774</v>
      </c>
      <c r="D96" s="6" t="s">
        <v>775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6">
        <v>96</v>
      </c>
      <c r="B97" s="6" t="s">
        <v>776</v>
      </c>
      <c r="C97" s="6" t="s">
        <v>777</v>
      </c>
      <c r="D97" s="6" t="s">
        <v>778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6">
        <v>97</v>
      </c>
      <c r="B98" s="6" t="s">
        <v>779</v>
      </c>
      <c r="C98" s="6" t="s">
        <v>780</v>
      </c>
      <c r="D98" s="6" t="s">
        <v>781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6">
        <v>98</v>
      </c>
      <c r="B99" s="6" t="s">
        <v>782</v>
      </c>
      <c r="C99" s="6" t="s">
        <v>783</v>
      </c>
      <c r="D99" s="6" t="s">
        <v>784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6">
        <v>99</v>
      </c>
      <c r="B100" s="6" t="s">
        <v>785</v>
      </c>
      <c r="C100" s="6" t="s">
        <v>786</v>
      </c>
      <c r="D100" s="6" t="s">
        <v>785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6">
        <v>100</v>
      </c>
      <c r="B101" s="6" t="s">
        <v>787</v>
      </c>
      <c r="C101" s="6" t="s">
        <v>788</v>
      </c>
      <c r="D101" s="6" t="s">
        <v>789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6">
        <v>101</v>
      </c>
      <c r="B102" s="6" t="s">
        <v>790</v>
      </c>
      <c r="C102" s="6" t="s">
        <v>791</v>
      </c>
      <c r="D102" s="6" t="s">
        <v>789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6">
        <v>102</v>
      </c>
      <c r="B103" s="6" t="s">
        <v>792</v>
      </c>
      <c r="C103" s="6" t="s">
        <v>793</v>
      </c>
      <c r="D103" s="6" t="s">
        <v>794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6">
        <v>103</v>
      </c>
      <c r="B104" s="6" t="s">
        <v>795</v>
      </c>
      <c r="C104" s="6" t="s">
        <v>796</v>
      </c>
      <c r="D104" s="6" t="s">
        <v>797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6">
        <v>104</v>
      </c>
      <c r="B105" s="6" t="s">
        <v>798</v>
      </c>
      <c r="C105" s="6" t="s">
        <v>799</v>
      </c>
      <c r="D105" s="6" t="s">
        <v>800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6">
        <v>105</v>
      </c>
      <c r="B106" s="6" t="s">
        <v>801</v>
      </c>
      <c r="C106" s="6" t="s">
        <v>802</v>
      </c>
      <c r="D106" s="6" t="s">
        <v>803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6">
        <v>106</v>
      </c>
      <c r="B107" s="6" t="s">
        <v>804</v>
      </c>
      <c r="C107" s="6" t="s">
        <v>805</v>
      </c>
      <c r="D107" s="6" t="s">
        <v>806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6">
        <v>107</v>
      </c>
      <c r="B108" s="6" t="s">
        <v>807</v>
      </c>
      <c r="C108" s="6" t="s">
        <v>808</v>
      </c>
      <c r="D108" s="6" t="s">
        <v>809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6">
        <v>108</v>
      </c>
      <c r="B109" s="6" t="s">
        <v>810</v>
      </c>
      <c r="C109" s="6" t="s">
        <v>811</v>
      </c>
      <c r="D109" s="6" t="s">
        <v>812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6">
        <v>109</v>
      </c>
      <c r="B110" s="24" t="s">
        <v>813</v>
      </c>
      <c r="C110" s="24" t="s">
        <v>814</v>
      </c>
      <c r="D110" s="24" t="s">
        <v>815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6">
        <v>110</v>
      </c>
      <c r="B111" s="6" t="s">
        <v>816</v>
      </c>
      <c r="C111" s="6" t="s">
        <v>817</v>
      </c>
      <c r="D111" s="6" t="s">
        <v>818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6">
        <v>111</v>
      </c>
      <c r="B112" s="6" t="s">
        <v>819</v>
      </c>
      <c r="C112" s="6" t="s">
        <v>820</v>
      </c>
      <c r="D112" s="6" t="s">
        <v>821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6">
        <v>112</v>
      </c>
      <c r="B113" s="6" t="s">
        <v>822</v>
      </c>
      <c r="C113" s="6" t="s">
        <v>823</v>
      </c>
      <c r="D113" s="6" t="s">
        <v>824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6">
        <v>113</v>
      </c>
      <c r="B114" s="6" t="s">
        <v>825</v>
      </c>
      <c r="C114" s="6" t="s">
        <v>826</v>
      </c>
      <c r="D114" s="6" t="s">
        <v>827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6">
        <v>114</v>
      </c>
      <c r="B115" s="6" t="s">
        <v>828</v>
      </c>
      <c r="C115" s="6" t="s">
        <v>829</v>
      </c>
      <c r="D115" s="6" t="s">
        <v>830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6">
        <v>115</v>
      </c>
      <c r="B116" s="6" t="s">
        <v>831</v>
      </c>
      <c r="C116" s="6" t="s">
        <v>832</v>
      </c>
      <c r="D116" s="6" t="s">
        <v>833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6">
        <v>116</v>
      </c>
      <c r="B117" s="6" t="s">
        <v>834</v>
      </c>
      <c r="C117" s="6" t="s">
        <v>835</v>
      </c>
      <c r="D117" s="6" t="s">
        <v>836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6">
        <v>117</v>
      </c>
      <c r="B118" s="6" t="s">
        <v>837</v>
      </c>
      <c r="C118" s="6" t="s">
        <v>838</v>
      </c>
      <c r="D118" s="6" t="s">
        <v>839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6">
        <v>118</v>
      </c>
      <c r="B119" s="6" t="s">
        <v>840</v>
      </c>
      <c r="C119" s="6" t="s">
        <v>841</v>
      </c>
      <c r="D119" s="6" t="s">
        <v>842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6">
        <v>119</v>
      </c>
      <c r="B120" s="6" t="s">
        <v>843</v>
      </c>
      <c r="C120" s="6" t="s">
        <v>844</v>
      </c>
      <c r="D120" s="6" t="s">
        <v>845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6">
        <v>120</v>
      </c>
      <c r="B121" s="6" t="s">
        <v>846</v>
      </c>
      <c r="C121" s="6" t="s">
        <v>847</v>
      </c>
      <c r="D121" s="6" t="s">
        <v>848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6">
        <v>121</v>
      </c>
      <c r="B122" s="6" t="s">
        <v>849</v>
      </c>
      <c r="C122" s="6" t="s">
        <v>850</v>
      </c>
      <c r="D122" s="6" t="s">
        <v>851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6">
        <v>122</v>
      </c>
      <c r="B123" s="6" t="s">
        <v>852</v>
      </c>
      <c r="C123" s="6" t="s">
        <v>853</v>
      </c>
      <c r="D123" s="6" t="s">
        <v>854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6">
        <v>123</v>
      </c>
      <c r="B124" s="6" t="s">
        <v>855</v>
      </c>
      <c r="C124" s="12" t="s">
        <v>856</v>
      </c>
      <c r="D124" s="6" t="s">
        <v>857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6">
        <v>124</v>
      </c>
      <c r="B125" s="6" t="s">
        <v>858</v>
      </c>
      <c r="C125" s="6" t="s">
        <v>659</v>
      </c>
      <c r="D125" s="6" t="s">
        <v>660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6">
        <v>125</v>
      </c>
      <c r="B126" s="6" t="s">
        <v>859</v>
      </c>
      <c r="C126" s="6" t="s">
        <v>860</v>
      </c>
      <c r="D126" s="6" t="s">
        <v>861</v>
      </c>
      <c r="E126" s="19"/>
      <c r="F126" s="19"/>
      <c r="G126" s="19"/>
      <c r="H126" s="26"/>
      <c r="I126" s="27" t="s">
        <v>862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6">
        <v>126</v>
      </c>
      <c r="B127" s="6" t="s">
        <v>863</v>
      </c>
      <c r="C127" s="6" t="s">
        <v>864</v>
      </c>
      <c r="D127" s="6" t="s">
        <v>865</v>
      </c>
      <c r="E127" s="19"/>
      <c r="F127" s="19"/>
      <c r="G127" s="19"/>
      <c r="H127" s="28"/>
      <c r="I127" s="27" t="s">
        <v>866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6">
        <v>127</v>
      </c>
      <c r="B128" s="6" t="s">
        <v>867</v>
      </c>
      <c r="C128" s="6" t="s">
        <v>868</v>
      </c>
      <c r="D128" s="6" t="s">
        <v>869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6">
        <v>128</v>
      </c>
      <c r="B129" s="6" t="s">
        <v>870</v>
      </c>
      <c r="C129" s="6" t="s">
        <v>871</v>
      </c>
      <c r="D129" s="6" t="s">
        <v>872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6">
        <v>129</v>
      </c>
      <c r="B130" s="6" t="s">
        <v>873</v>
      </c>
      <c r="C130" s="6" t="s">
        <v>874</v>
      </c>
      <c r="D130" s="6" t="s">
        <v>875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6">
        <v>130</v>
      </c>
      <c r="B131" s="6" t="s">
        <v>876</v>
      </c>
      <c r="C131" s="6" t="s">
        <v>877</v>
      </c>
      <c r="D131" s="6" t="s">
        <v>878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6">
        <v>131</v>
      </c>
      <c r="B132" s="6" t="s">
        <v>879</v>
      </c>
      <c r="C132" s="6" t="s">
        <v>880</v>
      </c>
      <c r="D132" s="6" t="s">
        <v>881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6">
        <v>132</v>
      </c>
      <c r="B133" s="6" t="s">
        <v>882</v>
      </c>
      <c r="C133" s="6" t="s">
        <v>883</v>
      </c>
      <c r="D133" s="6" t="s">
        <v>884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6">
        <v>133</v>
      </c>
      <c r="B134" s="6" t="s">
        <v>885</v>
      </c>
      <c r="C134" s="6" t="s">
        <v>886</v>
      </c>
      <c r="D134" s="6" t="s">
        <v>887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6">
        <v>134</v>
      </c>
      <c r="B135" s="6" t="s">
        <v>888</v>
      </c>
      <c r="C135" s="6" t="s">
        <v>889</v>
      </c>
      <c r="D135" s="6" t="s">
        <v>683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6">
        <v>135</v>
      </c>
      <c r="B136" s="6" t="s">
        <v>890</v>
      </c>
      <c r="C136" s="6" t="s">
        <v>891</v>
      </c>
      <c r="D136" s="6" t="s">
        <v>892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6">
        <v>136</v>
      </c>
      <c r="B137" s="6" t="s">
        <v>893</v>
      </c>
      <c r="C137" s="6" t="s">
        <v>894</v>
      </c>
      <c r="D137" s="6" t="s">
        <v>895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6">
        <v>137</v>
      </c>
      <c r="B138" s="6" t="s">
        <v>896</v>
      </c>
      <c r="C138" s="6" t="s">
        <v>897</v>
      </c>
      <c r="D138" s="6" t="s">
        <v>898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6">
        <v>138</v>
      </c>
      <c r="B139" s="6" t="s">
        <v>899</v>
      </c>
      <c r="C139" s="6" t="s">
        <v>621</v>
      </c>
      <c r="D139" s="6" t="s">
        <v>622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6">
        <v>139</v>
      </c>
      <c r="B140" s="6" t="s">
        <v>900</v>
      </c>
      <c r="C140" s="6" t="s">
        <v>624</v>
      </c>
      <c r="D140" s="6" t="s">
        <v>625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6">
        <v>140</v>
      </c>
      <c r="B141" s="12" t="s">
        <v>901</v>
      </c>
      <c r="C141" s="12" t="s">
        <v>902</v>
      </c>
      <c r="D141" s="12" t="s">
        <v>903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6">
        <v>141</v>
      </c>
      <c r="B142" s="29" t="s">
        <v>904</v>
      </c>
      <c r="C142" s="12" t="s">
        <v>905</v>
      </c>
      <c r="D142" s="12" t="s">
        <v>906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6">
        <v>142</v>
      </c>
      <c r="B143" s="29" t="s">
        <v>907</v>
      </c>
      <c r="C143" s="12" t="s">
        <v>908</v>
      </c>
      <c r="D143" s="12" t="s">
        <v>909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6">
        <v>143</v>
      </c>
      <c r="B144" s="29" t="s">
        <v>910</v>
      </c>
      <c r="C144" s="12" t="s">
        <v>911</v>
      </c>
      <c r="D144" s="12" t="s">
        <v>654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6">
        <v>144</v>
      </c>
      <c r="B145" s="29" t="s">
        <v>912</v>
      </c>
      <c r="C145" s="12" t="s">
        <v>913</v>
      </c>
      <c r="D145" s="12" t="s">
        <v>914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6">
        <v>145</v>
      </c>
      <c r="B146" s="29" t="s">
        <v>915</v>
      </c>
      <c r="C146" s="12" t="s">
        <v>916</v>
      </c>
      <c r="D146" s="12" t="s">
        <v>917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6">
        <v>146</v>
      </c>
      <c r="B147" s="29" t="s">
        <v>918</v>
      </c>
      <c r="C147" s="12" t="s">
        <v>919</v>
      </c>
      <c r="D147" s="20" t="s">
        <v>920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6">
        <v>147</v>
      </c>
      <c r="B148" s="29" t="s">
        <v>921</v>
      </c>
      <c r="C148" s="12" t="s">
        <v>922</v>
      </c>
      <c r="D148" s="12" t="s">
        <v>923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6">
        <v>148</v>
      </c>
      <c r="B149" s="29" t="s">
        <v>924</v>
      </c>
      <c r="C149" s="12" t="s">
        <v>925</v>
      </c>
      <c r="D149" s="12" t="s">
        <v>926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6">
        <v>149</v>
      </c>
      <c r="B150" s="29" t="s">
        <v>927</v>
      </c>
      <c r="C150" s="12" t="s">
        <v>928</v>
      </c>
      <c r="D150" s="12" t="s">
        <v>929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6">
        <v>150</v>
      </c>
      <c r="B151" s="29" t="s">
        <v>930</v>
      </c>
      <c r="C151" s="12" t="s">
        <v>931</v>
      </c>
      <c r="D151" s="12" t="s">
        <v>598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6">
        <v>151</v>
      </c>
      <c r="B152" s="29" t="s">
        <v>932</v>
      </c>
      <c r="C152" s="12" t="s">
        <v>933</v>
      </c>
      <c r="D152" s="12" t="s">
        <v>934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6">
        <v>152</v>
      </c>
      <c r="B153" s="29" t="s">
        <v>935</v>
      </c>
      <c r="C153" s="12" t="s">
        <v>936</v>
      </c>
      <c r="D153" s="12" t="s">
        <v>663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6">
        <v>153</v>
      </c>
      <c r="B154" s="12" t="s">
        <v>937</v>
      </c>
      <c r="C154" s="12" t="s">
        <v>938</v>
      </c>
      <c r="D154" s="12" t="s">
        <v>939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6">
        <v>154</v>
      </c>
      <c r="B155" s="12" t="s">
        <v>940</v>
      </c>
      <c r="C155" s="12" t="s">
        <v>941</v>
      </c>
      <c r="D155" s="12" t="s">
        <v>663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6">
        <v>155</v>
      </c>
      <c r="B156" s="12" t="s">
        <v>942</v>
      </c>
      <c r="C156" s="12" t="s">
        <v>943</v>
      </c>
      <c r="D156" s="12" t="s">
        <v>944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6">
        <v>156</v>
      </c>
      <c r="B157" s="12" t="s">
        <v>945</v>
      </c>
      <c r="C157" s="12" t="s">
        <v>946</v>
      </c>
      <c r="D157" s="12" t="s">
        <v>947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6">
        <v>157</v>
      </c>
      <c r="B158" s="12" t="s">
        <v>948</v>
      </c>
      <c r="C158" s="12" t="s">
        <v>949</v>
      </c>
      <c r="D158" s="12" t="s">
        <v>950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6">
        <v>158</v>
      </c>
      <c r="B159" s="12" t="s">
        <v>951</v>
      </c>
      <c r="C159" s="12" t="s">
        <v>952</v>
      </c>
      <c r="D159" s="12" t="s">
        <v>953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6">
        <v>159</v>
      </c>
      <c r="B160" s="12" t="s">
        <v>954</v>
      </c>
      <c r="C160" s="12" t="s">
        <v>955</v>
      </c>
      <c r="D160" s="12" t="s">
        <v>956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6">
        <v>160</v>
      </c>
      <c r="B161" s="12" t="s">
        <v>957</v>
      </c>
      <c r="C161" s="12" t="s">
        <v>958</v>
      </c>
      <c r="D161" s="12" t="s">
        <v>959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6">
        <v>161</v>
      </c>
      <c r="B162" s="12" t="s">
        <v>960</v>
      </c>
      <c r="C162" s="12" t="s">
        <v>961</v>
      </c>
      <c r="D162" s="12" t="s">
        <v>962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6">
        <v>162</v>
      </c>
      <c r="B163" s="12" t="s">
        <v>963</v>
      </c>
      <c r="C163" s="12" t="s">
        <v>964</v>
      </c>
      <c r="D163" s="12" t="s">
        <v>965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6">
        <v>163</v>
      </c>
      <c r="B164" s="12" t="s">
        <v>966</v>
      </c>
      <c r="C164" s="12" t="s">
        <v>967</v>
      </c>
      <c r="D164" s="12" t="s">
        <v>968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6">
        <v>164</v>
      </c>
      <c r="B165" s="12" t="s">
        <v>969</v>
      </c>
      <c r="C165" s="12" t="s">
        <v>970</v>
      </c>
      <c r="D165" s="12" t="s">
        <v>669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6">
        <v>165</v>
      </c>
      <c r="B166" s="12" t="s">
        <v>971</v>
      </c>
      <c r="C166" s="12" t="s">
        <v>972</v>
      </c>
      <c r="D166" s="12" t="s">
        <v>973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6">
        <v>166</v>
      </c>
      <c r="B167" s="12" t="s">
        <v>974</v>
      </c>
      <c r="C167" s="12" t="s">
        <v>975</v>
      </c>
      <c r="D167" s="12" t="s">
        <v>976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6"/>
      <c r="B168" s="12" t="s">
        <v>977</v>
      </c>
      <c r="C168" s="12" t="s">
        <v>978</v>
      </c>
      <c r="D168" s="12" t="s">
        <v>979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6"/>
      <c r="B169" s="12" t="s">
        <v>980</v>
      </c>
      <c r="C169" s="12" t="s">
        <v>981</v>
      </c>
      <c r="D169" s="12" t="s">
        <v>982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6"/>
      <c r="B170" s="12" t="s">
        <v>983</v>
      </c>
      <c r="C170" s="12" t="s">
        <v>984</v>
      </c>
      <c r="D170" s="12" t="s">
        <v>985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6"/>
      <c r="B171" s="12" t="s">
        <v>986</v>
      </c>
      <c r="C171" s="12" t="s">
        <v>987</v>
      </c>
      <c r="D171" s="12" t="s">
        <v>988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6"/>
      <c r="B172" s="12" t="s">
        <v>989</v>
      </c>
      <c r="C172" s="12" t="s">
        <v>990</v>
      </c>
      <c r="D172" s="12" t="s">
        <v>991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6"/>
      <c r="B173" s="12" t="s">
        <v>992</v>
      </c>
      <c r="C173" s="12" t="s">
        <v>993</v>
      </c>
      <c r="D173" s="12" t="s">
        <v>994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6"/>
      <c r="B174" s="12" t="s">
        <v>995</v>
      </c>
      <c r="C174" s="12" t="s">
        <v>996</v>
      </c>
      <c r="D174" s="12" t="s">
        <v>997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6"/>
      <c r="B175" s="12" t="s">
        <v>998</v>
      </c>
      <c r="C175" s="12" t="s">
        <v>999</v>
      </c>
      <c r="D175" s="12" t="s">
        <v>1000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6"/>
      <c r="B176" s="12" t="s">
        <v>1001</v>
      </c>
      <c r="C176" s="12" t="s">
        <v>1002</v>
      </c>
      <c r="D176" s="12" t="s">
        <v>1003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6"/>
      <c r="B177" s="12" t="s">
        <v>1004</v>
      </c>
      <c r="C177" s="12" t="s">
        <v>1005</v>
      </c>
      <c r="D177" s="12" t="s">
        <v>1006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6"/>
      <c r="B178" s="12" t="s">
        <v>1007</v>
      </c>
      <c r="C178" s="12" t="s">
        <v>1008</v>
      </c>
      <c r="D178" s="12" t="s">
        <v>1009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6"/>
      <c r="B179" s="12" t="s">
        <v>1010</v>
      </c>
      <c r="C179" s="12" t="s">
        <v>1011</v>
      </c>
      <c r="D179" s="12" t="s">
        <v>1012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6"/>
      <c r="B180" s="12" t="s">
        <v>1013</v>
      </c>
      <c r="C180" s="12" t="s">
        <v>1014</v>
      </c>
      <c r="D180" s="12" t="s">
        <v>1015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6"/>
      <c r="B181" s="12" t="s">
        <v>1016</v>
      </c>
      <c r="C181" s="12" t="s">
        <v>1017</v>
      </c>
      <c r="D181" s="12" t="s">
        <v>1018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6"/>
      <c r="B182" s="12" t="s">
        <v>1019</v>
      </c>
      <c r="C182" s="12" t="s">
        <v>1020</v>
      </c>
      <c r="D182" s="12" t="s">
        <v>1021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6"/>
      <c r="B183" s="12" t="s">
        <v>1022</v>
      </c>
      <c r="C183" s="12" t="s">
        <v>1023</v>
      </c>
      <c r="D183" s="12" t="s">
        <v>1024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6"/>
      <c r="B184" s="12" t="s">
        <v>1025</v>
      </c>
      <c r="C184" s="12" t="s">
        <v>1026</v>
      </c>
      <c r="D184" s="12" t="s">
        <v>1027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6"/>
      <c r="B185" s="12" t="s">
        <v>1028</v>
      </c>
      <c r="C185" s="12" t="s">
        <v>1029</v>
      </c>
      <c r="D185" s="12" t="s">
        <v>1030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6"/>
      <c r="B186" s="6"/>
      <c r="C186" s="6"/>
      <c r="D186" s="6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6"/>
      <c r="B187" s="6"/>
      <c r="C187" s="6"/>
      <c r="D187" s="6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6"/>
      <c r="B188" s="6"/>
      <c r="C188" s="6"/>
      <c r="D188" s="6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6"/>
      <c r="B189" s="6"/>
      <c r="C189" s="6"/>
      <c r="D189" s="6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6"/>
      <c r="B190" s="6"/>
      <c r="C190" s="6"/>
      <c r="D190" s="6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6"/>
      <c r="B191" s="6"/>
      <c r="C191" s="6"/>
      <c r="D191" s="6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6"/>
      <c r="B192" s="6"/>
      <c r="C192" s="6"/>
      <c r="D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6"/>
      <c r="B193" s="6"/>
      <c r="C193" s="6"/>
      <c r="D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6"/>
      <c r="B194" s="6"/>
      <c r="C194" s="6"/>
      <c r="D194" s="6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6"/>
      <c r="B195" s="6"/>
      <c r="C195" s="6"/>
      <c r="D195" s="6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6"/>
      <c r="B196" s="6"/>
      <c r="C196" s="6"/>
      <c r="D196" s="6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6"/>
      <c r="B197" s="6"/>
      <c r="C197" s="6"/>
      <c r="D197" s="6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6"/>
      <c r="B198" s="6"/>
      <c r="C198" s="6"/>
      <c r="D198" s="6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6"/>
      <c r="B199" s="6"/>
      <c r="C199" s="6"/>
      <c r="D199" s="6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6"/>
      <c r="B200" s="6"/>
      <c r="C200" s="6"/>
      <c r="D200" s="6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6"/>
      <c r="B201" s="6"/>
      <c r="C201" s="6"/>
      <c r="D201" s="6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6"/>
      <c r="B202" s="6"/>
      <c r="C202" s="6"/>
      <c r="D202" s="6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6"/>
      <c r="B203" s="6"/>
      <c r="C203" s="6"/>
      <c r="D203" s="6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6"/>
      <c r="B204" s="6"/>
      <c r="C204" s="6"/>
      <c r="D204" s="6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6"/>
      <c r="B205" s="6"/>
      <c r="C205" s="6"/>
      <c r="D205" s="6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6"/>
      <c r="B206" s="6"/>
      <c r="C206" s="6"/>
      <c r="D206" s="6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6"/>
      <c r="B207" s="6"/>
      <c r="C207" s="6"/>
      <c r="D207" s="6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6"/>
      <c r="B208" s="6"/>
      <c r="C208" s="6"/>
      <c r="D208" s="6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6"/>
      <c r="B209" s="6"/>
      <c r="C209" s="6"/>
      <c r="D209" s="6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6"/>
      <c r="B210" s="6"/>
      <c r="C210" s="6"/>
      <c r="D210" s="6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6"/>
      <c r="B211" s="6"/>
      <c r="C211" s="6"/>
      <c r="D211" s="6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6"/>
      <c r="B212" s="6"/>
      <c r="C212" s="6"/>
      <c r="D212" s="6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6"/>
      <c r="B213" s="6"/>
      <c r="C213" s="6"/>
      <c r="D213" s="6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6"/>
      <c r="B214" s="6"/>
      <c r="C214" s="6"/>
      <c r="D214" s="6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6"/>
      <c r="B215" s="6"/>
      <c r="C215" s="6"/>
      <c r="D215" s="6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6"/>
      <c r="B216" s="6"/>
      <c r="C216" s="6"/>
      <c r="D216" s="6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6"/>
      <c r="B217" s="6"/>
      <c r="C217" s="6"/>
      <c r="D217" s="6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6"/>
      <c r="B218" s="6"/>
      <c r="C218" s="6"/>
      <c r="D218" s="6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6"/>
      <c r="B219" s="6"/>
      <c r="C219" s="6"/>
      <c r="D219" s="6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6"/>
      <c r="B220" s="6"/>
      <c r="C220" s="6"/>
      <c r="D220" s="6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6"/>
      <c r="B221" s="6"/>
      <c r="C221" s="6"/>
      <c r="D221" s="6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6"/>
      <c r="B222" s="6"/>
      <c r="C222" s="6"/>
      <c r="D222" s="6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6"/>
      <c r="B223" s="6"/>
      <c r="C223" s="6"/>
      <c r="D223" s="6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6"/>
      <c r="B224" s="6"/>
      <c r="C224" s="6"/>
      <c r="D224" s="6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6"/>
      <c r="B225" s="6"/>
      <c r="C225" s="6"/>
      <c r="D225" s="6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6"/>
      <c r="B226" s="6"/>
      <c r="C226" s="6"/>
      <c r="D226" s="6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6"/>
      <c r="B227" s="6"/>
      <c r="C227" s="6"/>
      <c r="D227" s="6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6"/>
      <c r="B228" s="6"/>
      <c r="C228" s="6"/>
      <c r="D228" s="6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6"/>
      <c r="B229" s="6"/>
      <c r="C229" s="6"/>
      <c r="D229" s="6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6"/>
      <c r="B230" s="6"/>
      <c r="C230" s="6"/>
      <c r="D230" s="6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6"/>
      <c r="B231" s="6"/>
      <c r="C231" s="6"/>
      <c r="D231" s="6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6"/>
      <c r="B232" s="6"/>
      <c r="C232" s="6"/>
      <c r="D232" s="6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6"/>
      <c r="B233" s="6"/>
      <c r="C233" s="6"/>
      <c r="D233" s="6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6"/>
      <c r="B234" s="6"/>
      <c r="C234" s="6"/>
      <c r="D234" s="6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6"/>
      <c r="B235" s="6"/>
      <c r="C235" s="6"/>
      <c r="D235" s="6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6"/>
      <c r="B236" s="6"/>
      <c r="C236" s="6"/>
      <c r="D236" s="6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6"/>
      <c r="B237" s="6"/>
      <c r="C237" s="6"/>
      <c r="D237" s="6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6"/>
      <c r="B238" s="6"/>
      <c r="C238" s="6"/>
      <c r="D238" s="6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6"/>
      <c r="B239" s="6"/>
      <c r="C239" s="6"/>
      <c r="D239" s="6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6"/>
      <c r="B240" s="6"/>
      <c r="C240" s="6"/>
      <c r="D240" s="6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6"/>
      <c r="B241" s="6"/>
      <c r="C241" s="6"/>
      <c r="D241" s="6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6"/>
      <c r="B242" s="6"/>
      <c r="C242" s="6"/>
      <c r="D242" s="6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6"/>
      <c r="B243" s="6"/>
      <c r="C243" s="6"/>
      <c r="D243" s="6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6"/>
      <c r="B244" s="6"/>
      <c r="C244" s="6"/>
      <c r="D244" s="6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6"/>
      <c r="B245" s="6"/>
      <c r="C245" s="6"/>
      <c r="D245" s="6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6"/>
      <c r="B246" s="6"/>
      <c r="C246" s="6"/>
      <c r="D246" s="6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6"/>
      <c r="B247" s="6"/>
      <c r="C247" s="6"/>
      <c r="D247" s="6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6"/>
      <c r="B248" s="6"/>
      <c r="C248" s="6"/>
      <c r="D248" s="6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6"/>
      <c r="B249" s="6"/>
      <c r="C249" s="6"/>
      <c r="D249" s="6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6"/>
      <c r="B250" s="6"/>
      <c r="C250" s="6"/>
      <c r="D250" s="6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6"/>
      <c r="B251" s="6"/>
      <c r="C251" s="6"/>
      <c r="D251" s="6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6"/>
      <c r="B252" s="6"/>
      <c r="C252" s="6"/>
      <c r="D252" s="6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6"/>
      <c r="B253" s="6"/>
      <c r="C253" s="6"/>
      <c r="D253" s="6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6"/>
      <c r="B254" s="6"/>
      <c r="C254" s="6"/>
      <c r="D254" s="6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6"/>
      <c r="B255" s="6"/>
      <c r="C255" s="6"/>
      <c r="D255" s="6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6"/>
      <c r="B256" s="6"/>
      <c r="C256" s="6"/>
      <c r="D256" s="6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6"/>
      <c r="B257" s="6"/>
      <c r="C257" s="6"/>
      <c r="D257" s="6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6"/>
      <c r="B258" s="6"/>
      <c r="C258" s="6"/>
      <c r="D258" s="6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6"/>
      <c r="B259" s="6"/>
      <c r="C259" s="6"/>
      <c r="D259" s="6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6"/>
      <c r="B260" s="6"/>
      <c r="C260" s="6"/>
      <c r="D260" s="6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6"/>
      <c r="B261" s="6"/>
      <c r="C261" s="6"/>
      <c r="D261" s="6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6"/>
      <c r="B262" s="6"/>
      <c r="C262" s="6"/>
      <c r="D262" s="6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6"/>
      <c r="B263" s="6"/>
      <c r="C263" s="6"/>
      <c r="D263" s="6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6"/>
      <c r="B264" s="6"/>
      <c r="C264" s="6"/>
      <c r="D264" s="6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6"/>
      <c r="B265" s="6"/>
      <c r="C265" s="6"/>
      <c r="D265" s="6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6"/>
      <c r="B266" s="6"/>
      <c r="C266" s="6"/>
      <c r="D266" s="6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6"/>
      <c r="B267" s="6"/>
      <c r="C267" s="6"/>
      <c r="D267" s="6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6"/>
      <c r="B268" s="6"/>
      <c r="C268" s="6"/>
      <c r="D268" s="6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6"/>
      <c r="B269" s="6"/>
      <c r="C269" s="6"/>
      <c r="D269" s="6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6"/>
      <c r="B270" s="6"/>
      <c r="C270" s="6"/>
      <c r="D270" s="6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6"/>
      <c r="B271" s="6"/>
      <c r="C271" s="6"/>
      <c r="D271" s="6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6"/>
      <c r="B272" s="6"/>
      <c r="C272" s="6"/>
      <c r="D272" s="6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6"/>
      <c r="B273" s="6"/>
      <c r="C273" s="6"/>
      <c r="D273" s="6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6"/>
      <c r="B274" s="6"/>
      <c r="C274" s="6"/>
      <c r="D274" s="6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6"/>
      <c r="B275" s="6"/>
      <c r="C275" s="6"/>
      <c r="D275" s="6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6"/>
      <c r="B276" s="6"/>
      <c r="C276" s="6"/>
      <c r="D276" s="6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6"/>
      <c r="B277" s="6"/>
      <c r="C277" s="6"/>
      <c r="D277" s="6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6"/>
      <c r="B278" s="6"/>
      <c r="C278" s="6"/>
      <c r="D278" s="6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6"/>
      <c r="B279" s="6"/>
      <c r="C279" s="6"/>
      <c r="D279" s="6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6"/>
      <c r="B280" s="6"/>
      <c r="C280" s="6"/>
      <c r="D280" s="6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6"/>
      <c r="B281" s="6"/>
      <c r="C281" s="6"/>
      <c r="D281" s="6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6"/>
      <c r="B282" s="6"/>
      <c r="C282" s="6"/>
      <c r="D282" s="6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6"/>
      <c r="B283" s="6"/>
      <c r="C283" s="6"/>
      <c r="D283" s="6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6"/>
      <c r="B284" s="6"/>
      <c r="C284" s="6"/>
      <c r="D284" s="6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6"/>
      <c r="B285" s="6"/>
      <c r="C285" s="6"/>
      <c r="D285" s="6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6"/>
      <c r="B286" s="6"/>
      <c r="C286" s="6"/>
      <c r="D286" s="6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6"/>
      <c r="B287" s="6"/>
      <c r="C287" s="6"/>
      <c r="D287" s="6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6"/>
      <c r="B288" s="6"/>
      <c r="C288" s="6"/>
      <c r="D288" s="6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6"/>
      <c r="B289" s="6"/>
      <c r="C289" s="6"/>
      <c r="D289" s="6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6"/>
      <c r="B290" s="6"/>
      <c r="C290" s="6"/>
      <c r="D290" s="6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6"/>
      <c r="B291" s="6"/>
      <c r="C291" s="6"/>
      <c r="D291" s="6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6"/>
      <c r="B292" s="6"/>
      <c r="C292" s="6"/>
      <c r="D292" s="6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6"/>
      <c r="B293" s="6"/>
      <c r="C293" s="6"/>
      <c r="D293" s="6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6"/>
      <c r="B294" s="6"/>
      <c r="C294" s="6"/>
      <c r="D294" s="6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6"/>
      <c r="B295" s="6"/>
      <c r="C295" s="6"/>
      <c r="D295" s="6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6"/>
      <c r="B296" s="6"/>
      <c r="C296" s="6"/>
      <c r="D296" s="6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6"/>
      <c r="B297" s="6"/>
      <c r="C297" s="6"/>
      <c r="D297" s="6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6"/>
      <c r="B298" s="6"/>
      <c r="C298" s="6"/>
      <c r="D298" s="6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6"/>
      <c r="B299" s="6"/>
      <c r="C299" s="6"/>
      <c r="D299" s="6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6"/>
      <c r="B300" s="6"/>
      <c r="C300" s="6"/>
      <c r="D300" s="6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6"/>
      <c r="B301" s="6"/>
      <c r="C301" s="6"/>
      <c r="D301" s="6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6"/>
      <c r="B302" s="6"/>
      <c r="C302" s="6"/>
      <c r="D302" s="6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6"/>
      <c r="B303" s="6"/>
      <c r="C303" s="6"/>
      <c r="D303" s="6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6"/>
      <c r="B304" s="6"/>
      <c r="C304" s="6"/>
      <c r="D304" s="6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6"/>
      <c r="B305" s="6"/>
      <c r="C305" s="6"/>
      <c r="D305" s="6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6"/>
      <c r="B306" s="6"/>
      <c r="C306" s="6"/>
      <c r="D306" s="6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6"/>
      <c r="B307" s="6"/>
      <c r="C307" s="6"/>
      <c r="D307" s="6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6"/>
      <c r="B308" s="6"/>
      <c r="C308" s="6"/>
      <c r="D308" s="6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6"/>
      <c r="B309" s="6"/>
      <c r="C309" s="6"/>
      <c r="D309" s="6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6"/>
      <c r="B310" s="6"/>
      <c r="C310" s="6"/>
      <c r="D310" s="6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6"/>
      <c r="B311" s="6"/>
      <c r="C311" s="6"/>
      <c r="D311" s="6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6"/>
      <c r="B312" s="6"/>
      <c r="C312" s="6"/>
      <c r="D312" s="6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6"/>
      <c r="B313" s="6"/>
      <c r="C313" s="6"/>
      <c r="D313" s="6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/>
    <row r="315" spans="1:26" ht="15.75" customHeight="1" x14ac:dyDescent="0.25"/>
    <row r="316" spans="1:26" ht="15.75" customHeight="1" x14ac:dyDescent="0.25"/>
    <row r="317" spans="1:26" ht="15.75" customHeight="1" x14ac:dyDescent="0.25"/>
    <row r="318" spans="1:26" ht="15.75" customHeight="1" x14ac:dyDescent="0.25"/>
    <row r="319" spans="1:26" ht="15.75" customHeight="1" x14ac:dyDescent="0.25"/>
    <row r="320" spans="1:2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pageMargins left="0.75" right="0.75" top="1" bottom="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795"/>
  <sheetViews>
    <sheetView tabSelected="1" workbookViewId="0">
      <pane ySplit="1" topLeftCell="A194" activePane="bottomLeft" state="frozen"/>
      <selection pane="bottomLeft" activeCell="C175" sqref="C175"/>
    </sheetView>
  </sheetViews>
  <sheetFormatPr defaultColWidth="14.42578125" defaultRowHeight="15" customHeight="1" x14ac:dyDescent="0.25"/>
  <cols>
    <col min="1" max="1" width="7.28515625" customWidth="1"/>
    <col min="2" max="2" width="45.5703125" customWidth="1"/>
    <col min="3" max="3" width="65.5703125" customWidth="1"/>
    <col min="4" max="4" width="67.140625" customWidth="1"/>
    <col min="5" max="23" width="8.7109375" customWidth="1"/>
  </cols>
  <sheetData>
    <row r="1" spans="1:26" x14ac:dyDescent="0.25">
      <c r="A1" s="5" t="s">
        <v>0</v>
      </c>
      <c r="B1" s="5" t="s">
        <v>508</v>
      </c>
      <c r="C1" s="5" t="s">
        <v>3</v>
      </c>
      <c r="D1" s="5" t="s">
        <v>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31"/>
      <c r="Z1" s="31"/>
    </row>
    <row r="2" spans="1:26" x14ac:dyDescent="0.25">
      <c r="A2" s="32">
        <v>1</v>
      </c>
      <c r="B2" s="32" t="s">
        <v>1031</v>
      </c>
      <c r="C2" s="32" t="s">
        <v>1032</v>
      </c>
      <c r="D2" s="32" t="s">
        <v>1033</v>
      </c>
    </row>
    <row r="3" spans="1:26" x14ac:dyDescent="0.25">
      <c r="A3" s="32">
        <v>2</v>
      </c>
      <c r="B3" s="32" t="s">
        <v>1034</v>
      </c>
      <c r="C3" s="32" t="s">
        <v>1035</v>
      </c>
      <c r="D3" s="32" t="s">
        <v>1036</v>
      </c>
    </row>
    <row r="4" spans="1:26" x14ac:dyDescent="0.25">
      <c r="A4" s="32">
        <v>3</v>
      </c>
      <c r="B4" s="32" t="s">
        <v>1037</v>
      </c>
      <c r="C4" s="32" t="s">
        <v>1038</v>
      </c>
      <c r="D4" s="32" t="s">
        <v>1039</v>
      </c>
    </row>
    <row r="5" spans="1:26" x14ac:dyDescent="0.25">
      <c r="A5" s="32">
        <v>4</v>
      </c>
      <c r="B5" s="32" t="s">
        <v>1040</v>
      </c>
      <c r="C5" s="32" t="s">
        <v>1041</v>
      </c>
      <c r="D5" s="32" t="s">
        <v>1042</v>
      </c>
    </row>
    <row r="6" spans="1:26" x14ac:dyDescent="0.25">
      <c r="A6" s="32">
        <v>5</v>
      </c>
      <c r="B6" s="32" t="s">
        <v>1043</v>
      </c>
      <c r="C6" s="32" t="s">
        <v>1044</v>
      </c>
      <c r="D6" s="32" t="s">
        <v>1045</v>
      </c>
    </row>
    <row r="7" spans="1:26" x14ac:dyDescent="0.25">
      <c r="A7" s="32">
        <v>6</v>
      </c>
      <c r="B7" s="32" t="s">
        <v>1046</v>
      </c>
      <c r="C7" s="32" t="s">
        <v>1047</v>
      </c>
      <c r="D7" s="32" t="s">
        <v>1048</v>
      </c>
    </row>
    <row r="8" spans="1:26" x14ac:dyDescent="0.25">
      <c r="A8" s="32">
        <v>7</v>
      </c>
      <c r="B8" s="32" t="s">
        <v>1049</v>
      </c>
      <c r="C8" s="32" t="s">
        <v>1050</v>
      </c>
      <c r="D8" s="32" t="s">
        <v>671</v>
      </c>
    </row>
    <row r="9" spans="1:26" x14ac:dyDescent="0.25">
      <c r="A9" s="32">
        <v>8</v>
      </c>
      <c r="B9" s="33" t="s">
        <v>1051</v>
      </c>
      <c r="C9" s="6" t="s">
        <v>1052</v>
      </c>
      <c r="D9" s="6" t="s">
        <v>1053</v>
      </c>
    </row>
    <row r="10" spans="1:26" x14ac:dyDescent="0.25">
      <c r="A10" s="32">
        <v>9</v>
      </c>
      <c r="B10" s="32" t="s">
        <v>1054</v>
      </c>
      <c r="C10" s="32" t="s">
        <v>1055</v>
      </c>
      <c r="D10" s="32" t="s">
        <v>1056</v>
      </c>
    </row>
    <row r="11" spans="1:26" x14ac:dyDescent="0.25">
      <c r="A11" s="32">
        <v>10</v>
      </c>
      <c r="B11" s="32" t="s">
        <v>1057</v>
      </c>
      <c r="C11" s="32" t="s">
        <v>1058</v>
      </c>
      <c r="D11" s="32" t="s">
        <v>1059</v>
      </c>
    </row>
    <row r="12" spans="1:26" x14ac:dyDescent="0.25">
      <c r="A12" s="32">
        <v>11</v>
      </c>
      <c r="B12" s="32" t="s">
        <v>1060</v>
      </c>
      <c r="C12" s="32" t="s">
        <v>1061</v>
      </c>
      <c r="D12" s="32" t="s">
        <v>1062</v>
      </c>
    </row>
    <row r="13" spans="1:26" x14ac:dyDescent="0.25">
      <c r="A13" s="32">
        <v>12</v>
      </c>
      <c r="B13" s="32" t="s">
        <v>1063</v>
      </c>
      <c r="C13" s="32" t="s">
        <v>820</v>
      </c>
      <c r="D13" s="32" t="s">
        <v>821</v>
      </c>
    </row>
    <row r="14" spans="1:26" x14ac:dyDescent="0.25">
      <c r="A14" s="32">
        <v>13</v>
      </c>
      <c r="B14" s="32" t="s">
        <v>1064</v>
      </c>
      <c r="C14" s="32" t="s">
        <v>820</v>
      </c>
      <c r="D14" s="32" t="s">
        <v>821</v>
      </c>
    </row>
    <row r="15" spans="1:26" x14ac:dyDescent="0.25">
      <c r="A15" s="32">
        <v>14</v>
      </c>
      <c r="B15" s="32" t="s">
        <v>1065</v>
      </c>
      <c r="C15" s="32" t="s">
        <v>1066</v>
      </c>
      <c r="D15" s="32" t="s">
        <v>1067</v>
      </c>
    </row>
    <row r="16" spans="1:26" x14ac:dyDescent="0.25">
      <c r="A16" s="32">
        <v>15</v>
      </c>
      <c r="B16" s="32" t="s">
        <v>1068</v>
      </c>
      <c r="C16" s="32" t="s">
        <v>653</v>
      </c>
      <c r="D16" s="32" t="s">
        <v>1069</v>
      </c>
    </row>
    <row r="17" spans="1:4" x14ac:dyDescent="0.25">
      <c r="A17" s="32">
        <v>16</v>
      </c>
      <c r="B17" s="32" t="s">
        <v>1070</v>
      </c>
      <c r="C17" s="32" t="s">
        <v>1071</v>
      </c>
      <c r="D17" s="32" t="s">
        <v>1072</v>
      </c>
    </row>
    <row r="18" spans="1:4" x14ac:dyDescent="0.25">
      <c r="A18" s="32">
        <v>17</v>
      </c>
      <c r="B18" s="32" t="s">
        <v>1073</v>
      </c>
      <c r="C18" s="32" t="s">
        <v>871</v>
      </c>
      <c r="D18" s="32" t="s">
        <v>1074</v>
      </c>
    </row>
    <row r="19" spans="1:4" x14ac:dyDescent="0.25">
      <c r="A19" s="32">
        <v>18</v>
      </c>
      <c r="B19" s="32" t="s">
        <v>1075</v>
      </c>
      <c r="C19" s="32" t="s">
        <v>1076</v>
      </c>
      <c r="D19" s="32" t="s">
        <v>1077</v>
      </c>
    </row>
    <row r="20" spans="1:4" x14ac:dyDescent="0.25">
      <c r="A20" s="32">
        <v>19</v>
      </c>
      <c r="B20" s="32" t="s">
        <v>1078</v>
      </c>
      <c r="C20" s="32" t="s">
        <v>1079</v>
      </c>
      <c r="D20" s="32" t="s">
        <v>1080</v>
      </c>
    </row>
    <row r="21" spans="1:4" x14ac:dyDescent="0.25">
      <c r="A21" s="32">
        <v>20</v>
      </c>
      <c r="B21" s="32" t="s">
        <v>1081</v>
      </c>
      <c r="C21" s="32" t="s">
        <v>1082</v>
      </c>
      <c r="D21" s="32" t="s">
        <v>1083</v>
      </c>
    </row>
    <row r="22" spans="1:4" ht="15.75" customHeight="1" x14ac:dyDescent="0.25">
      <c r="A22" s="32">
        <v>21</v>
      </c>
      <c r="B22" s="32" t="s">
        <v>1084</v>
      </c>
      <c r="C22" s="32" t="s">
        <v>1082</v>
      </c>
      <c r="D22" s="32" t="s">
        <v>1083</v>
      </c>
    </row>
    <row r="23" spans="1:4" ht="15.75" customHeight="1" x14ac:dyDescent="0.25">
      <c r="A23" s="32">
        <v>22</v>
      </c>
      <c r="B23" s="32" t="s">
        <v>1085</v>
      </c>
      <c r="C23" s="32" t="s">
        <v>1086</v>
      </c>
      <c r="D23" s="32" t="s">
        <v>1087</v>
      </c>
    </row>
    <row r="24" spans="1:4" ht="15.75" customHeight="1" x14ac:dyDescent="0.25">
      <c r="A24" s="32">
        <v>23</v>
      </c>
      <c r="B24" s="32" t="s">
        <v>1088</v>
      </c>
      <c r="C24" s="32" t="s">
        <v>1089</v>
      </c>
      <c r="D24" s="32" t="s">
        <v>1090</v>
      </c>
    </row>
    <row r="25" spans="1:4" ht="15.75" customHeight="1" x14ac:dyDescent="0.25">
      <c r="A25" s="32">
        <v>24</v>
      </c>
      <c r="B25" s="32" t="s">
        <v>1091</v>
      </c>
      <c r="C25" s="32" t="s">
        <v>1092</v>
      </c>
      <c r="D25" s="32" t="s">
        <v>1093</v>
      </c>
    </row>
    <row r="26" spans="1:4" ht="15.75" customHeight="1" x14ac:dyDescent="0.25">
      <c r="A26" s="32">
        <v>25</v>
      </c>
      <c r="B26" s="32" t="s">
        <v>1094</v>
      </c>
      <c r="C26" s="32" t="s">
        <v>1095</v>
      </c>
      <c r="D26" s="32" t="s">
        <v>1096</v>
      </c>
    </row>
    <row r="27" spans="1:4" ht="15.75" customHeight="1" x14ac:dyDescent="0.25">
      <c r="A27" s="32">
        <v>26</v>
      </c>
      <c r="B27" s="32" t="s">
        <v>1097</v>
      </c>
      <c r="C27" s="32" t="s">
        <v>1098</v>
      </c>
      <c r="D27" s="32" t="s">
        <v>1099</v>
      </c>
    </row>
    <row r="28" spans="1:4" ht="15.75" customHeight="1" x14ac:dyDescent="0.25">
      <c r="A28" s="32">
        <v>27</v>
      </c>
      <c r="B28" s="32" t="s">
        <v>1100</v>
      </c>
      <c r="C28" s="32" t="s">
        <v>1101</v>
      </c>
      <c r="D28" s="32" t="s">
        <v>1102</v>
      </c>
    </row>
    <row r="29" spans="1:4" ht="15.75" customHeight="1" x14ac:dyDescent="0.25">
      <c r="A29" s="32">
        <v>28</v>
      </c>
      <c r="B29" s="32" t="s">
        <v>1103</v>
      </c>
      <c r="C29" s="32" t="s">
        <v>1104</v>
      </c>
      <c r="D29" s="32" t="s">
        <v>1105</v>
      </c>
    </row>
    <row r="30" spans="1:4" ht="15.75" customHeight="1" x14ac:dyDescent="0.25">
      <c r="A30" s="32">
        <v>29</v>
      </c>
      <c r="B30" s="32" t="s">
        <v>1106</v>
      </c>
      <c r="C30" s="32" t="s">
        <v>1107</v>
      </c>
      <c r="D30" s="32" t="s">
        <v>1108</v>
      </c>
    </row>
    <row r="31" spans="1:4" ht="15.75" customHeight="1" x14ac:dyDescent="0.25">
      <c r="A31" s="32">
        <v>30</v>
      </c>
      <c r="B31" s="32" t="s">
        <v>1109</v>
      </c>
      <c r="C31" s="32" t="s">
        <v>1110</v>
      </c>
      <c r="D31" s="32" t="s">
        <v>1111</v>
      </c>
    </row>
    <row r="32" spans="1:4" ht="15.75" customHeight="1" x14ac:dyDescent="0.25">
      <c r="A32" s="32">
        <v>31</v>
      </c>
      <c r="B32" s="32" t="s">
        <v>1112</v>
      </c>
      <c r="C32" s="32" t="s">
        <v>1113</v>
      </c>
      <c r="D32" s="32" t="s">
        <v>1114</v>
      </c>
    </row>
    <row r="33" spans="1:4" ht="15.75" customHeight="1" x14ac:dyDescent="0.25">
      <c r="A33" s="32">
        <v>32</v>
      </c>
      <c r="B33" s="32" t="s">
        <v>1115</v>
      </c>
      <c r="C33" s="32" t="s">
        <v>1116</v>
      </c>
      <c r="D33" s="32" t="s">
        <v>1117</v>
      </c>
    </row>
    <row r="34" spans="1:4" ht="15.75" customHeight="1" x14ac:dyDescent="0.25">
      <c r="A34" s="32">
        <v>33</v>
      </c>
      <c r="B34" s="32" t="s">
        <v>1118</v>
      </c>
      <c r="C34" s="32" t="s">
        <v>1119</v>
      </c>
      <c r="D34" s="32" t="s">
        <v>1120</v>
      </c>
    </row>
    <row r="35" spans="1:4" ht="15.75" customHeight="1" x14ac:dyDescent="0.25">
      <c r="A35" s="32">
        <v>34</v>
      </c>
      <c r="B35" s="32" t="s">
        <v>1121</v>
      </c>
      <c r="C35" s="32" t="s">
        <v>1122</v>
      </c>
      <c r="D35" s="32" t="s">
        <v>1123</v>
      </c>
    </row>
    <row r="36" spans="1:4" ht="15.75" customHeight="1" x14ac:dyDescent="0.25">
      <c r="A36" s="32">
        <v>35</v>
      </c>
      <c r="B36" s="32" t="s">
        <v>1124</v>
      </c>
      <c r="C36" s="32" t="s">
        <v>1125</v>
      </c>
      <c r="D36" s="32" t="s">
        <v>1126</v>
      </c>
    </row>
    <row r="37" spans="1:4" ht="15.75" customHeight="1" x14ac:dyDescent="0.25">
      <c r="A37" s="32">
        <v>36</v>
      </c>
      <c r="B37" s="32" t="s">
        <v>1127</v>
      </c>
      <c r="C37" s="32" t="s">
        <v>1128</v>
      </c>
      <c r="D37" s="32" t="s">
        <v>818</v>
      </c>
    </row>
    <row r="38" spans="1:4" ht="15.75" customHeight="1" x14ac:dyDescent="0.25">
      <c r="A38" s="32">
        <v>37</v>
      </c>
      <c r="B38" s="32" t="s">
        <v>1129</v>
      </c>
      <c r="C38" s="32" t="s">
        <v>1130</v>
      </c>
      <c r="D38" s="32" t="s">
        <v>1131</v>
      </c>
    </row>
    <row r="39" spans="1:4" ht="15.75" customHeight="1" x14ac:dyDescent="0.25">
      <c r="A39" s="32">
        <v>38</v>
      </c>
      <c r="B39" s="33" t="s">
        <v>1132</v>
      </c>
      <c r="C39" s="6" t="s">
        <v>1133</v>
      </c>
      <c r="D39" s="6" t="s">
        <v>1134</v>
      </c>
    </row>
    <row r="40" spans="1:4" ht="15.75" customHeight="1" x14ac:dyDescent="0.25">
      <c r="A40" s="32">
        <v>39</v>
      </c>
      <c r="B40" s="32" t="s">
        <v>1135</v>
      </c>
      <c r="C40" s="32" t="s">
        <v>1136</v>
      </c>
      <c r="D40" s="32" t="s">
        <v>1137</v>
      </c>
    </row>
    <row r="41" spans="1:4" ht="15.75" customHeight="1" x14ac:dyDescent="0.25">
      <c r="A41" s="32">
        <v>40</v>
      </c>
      <c r="B41" s="32" t="s">
        <v>1138</v>
      </c>
      <c r="C41" s="32" t="s">
        <v>1139</v>
      </c>
      <c r="D41" s="32" t="s">
        <v>1140</v>
      </c>
    </row>
    <row r="42" spans="1:4" ht="15.75" customHeight="1" x14ac:dyDescent="0.25">
      <c r="A42" s="32">
        <v>41</v>
      </c>
      <c r="B42" s="32" t="s">
        <v>1141</v>
      </c>
      <c r="C42" s="32" t="s">
        <v>1142</v>
      </c>
      <c r="D42" s="32" t="s">
        <v>1143</v>
      </c>
    </row>
    <row r="43" spans="1:4" ht="15.75" customHeight="1" x14ac:dyDescent="0.25">
      <c r="A43" s="32">
        <v>42</v>
      </c>
      <c r="B43" s="32" t="s">
        <v>1144</v>
      </c>
      <c r="C43" s="32" t="s">
        <v>1145</v>
      </c>
      <c r="D43" s="32" t="s">
        <v>1146</v>
      </c>
    </row>
    <row r="44" spans="1:4" ht="15.75" customHeight="1" x14ac:dyDescent="0.25">
      <c r="A44" s="32">
        <v>43</v>
      </c>
      <c r="B44" s="32" t="s">
        <v>1147</v>
      </c>
      <c r="C44" s="32" t="s">
        <v>1148</v>
      </c>
      <c r="D44" s="32" t="s">
        <v>1149</v>
      </c>
    </row>
    <row r="45" spans="1:4" ht="15.75" customHeight="1" x14ac:dyDescent="0.25">
      <c r="A45" s="32">
        <v>44</v>
      </c>
      <c r="B45" s="32" t="s">
        <v>1150</v>
      </c>
      <c r="C45" s="32" t="s">
        <v>1151</v>
      </c>
      <c r="D45" s="32" t="s">
        <v>1152</v>
      </c>
    </row>
    <row r="46" spans="1:4" ht="15.75" customHeight="1" x14ac:dyDescent="0.25">
      <c r="A46" s="32">
        <v>45</v>
      </c>
      <c r="B46" s="32" t="s">
        <v>1153</v>
      </c>
      <c r="C46" s="32" t="s">
        <v>1154</v>
      </c>
      <c r="D46" s="32" t="s">
        <v>1155</v>
      </c>
    </row>
    <row r="47" spans="1:4" ht="15.75" customHeight="1" x14ac:dyDescent="0.25">
      <c r="A47" s="32">
        <v>46</v>
      </c>
      <c r="B47" s="32" t="s">
        <v>1156</v>
      </c>
      <c r="C47" s="32" t="s">
        <v>1157</v>
      </c>
      <c r="D47" s="32" t="s">
        <v>1158</v>
      </c>
    </row>
    <row r="48" spans="1:4" ht="15.75" customHeight="1" x14ac:dyDescent="0.25">
      <c r="A48" s="32">
        <v>47</v>
      </c>
      <c r="B48" s="32" t="s">
        <v>1159</v>
      </c>
      <c r="C48" s="32" t="s">
        <v>1160</v>
      </c>
      <c r="D48" s="32" t="s">
        <v>1161</v>
      </c>
    </row>
    <row r="49" spans="1:4" ht="15.75" customHeight="1" x14ac:dyDescent="0.25">
      <c r="A49" s="32">
        <v>48</v>
      </c>
      <c r="B49" s="32" t="s">
        <v>1162</v>
      </c>
      <c r="C49" s="32" t="s">
        <v>1163</v>
      </c>
      <c r="D49" s="32" t="s">
        <v>1164</v>
      </c>
    </row>
    <row r="50" spans="1:4" ht="15.75" customHeight="1" x14ac:dyDescent="0.25">
      <c r="A50" s="32">
        <v>49</v>
      </c>
      <c r="B50" s="32" t="s">
        <v>1165</v>
      </c>
      <c r="C50" s="32" t="s">
        <v>1166</v>
      </c>
      <c r="D50" s="32" t="s">
        <v>1167</v>
      </c>
    </row>
    <row r="51" spans="1:4" ht="15.75" customHeight="1" x14ac:dyDescent="0.25">
      <c r="A51" s="32">
        <v>50</v>
      </c>
      <c r="B51" s="32" t="s">
        <v>1168</v>
      </c>
      <c r="C51" s="32" t="s">
        <v>1169</v>
      </c>
      <c r="D51" s="32" t="s">
        <v>1170</v>
      </c>
    </row>
    <row r="52" spans="1:4" ht="15.75" customHeight="1" x14ac:dyDescent="0.25">
      <c r="A52" s="32">
        <v>51</v>
      </c>
      <c r="B52" s="32" t="s">
        <v>1171</v>
      </c>
      <c r="C52" s="32" t="s">
        <v>1172</v>
      </c>
      <c r="D52" s="32" t="s">
        <v>1173</v>
      </c>
    </row>
    <row r="53" spans="1:4" ht="15.75" customHeight="1" x14ac:dyDescent="0.25">
      <c r="A53" s="32">
        <v>52</v>
      </c>
      <c r="B53" s="32" t="s">
        <v>1174</v>
      </c>
      <c r="C53" s="32" t="s">
        <v>1169</v>
      </c>
      <c r="D53" s="32" t="s">
        <v>1170</v>
      </c>
    </row>
    <row r="54" spans="1:4" ht="15.75" customHeight="1" x14ac:dyDescent="0.25">
      <c r="A54" s="32">
        <v>53</v>
      </c>
      <c r="B54" s="32" t="s">
        <v>1175</v>
      </c>
      <c r="C54" s="32" t="s">
        <v>1176</v>
      </c>
      <c r="D54" s="32" t="s">
        <v>1177</v>
      </c>
    </row>
    <row r="55" spans="1:4" ht="15.75" customHeight="1" x14ac:dyDescent="0.25">
      <c r="A55" s="32">
        <v>54</v>
      </c>
      <c r="B55" s="32" t="s">
        <v>1178</v>
      </c>
      <c r="C55" s="32" t="s">
        <v>1179</v>
      </c>
      <c r="D55" s="32" t="s">
        <v>1180</v>
      </c>
    </row>
    <row r="56" spans="1:4" ht="15.75" customHeight="1" x14ac:dyDescent="0.25">
      <c r="A56" s="32">
        <v>55</v>
      </c>
      <c r="B56" s="32" t="s">
        <v>1181</v>
      </c>
      <c r="C56" s="32" t="s">
        <v>1182</v>
      </c>
      <c r="D56" s="32" t="s">
        <v>1183</v>
      </c>
    </row>
    <row r="57" spans="1:4" ht="15.75" customHeight="1" x14ac:dyDescent="0.25">
      <c r="A57" s="32">
        <v>56</v>
      </c>
      <c r="B57" s="32" t="s">
        <v>1184</v>
      </c>
      <c r="C57" s="32" t="s">
        <v>1185</v>
      </c>
      <c r="D57" s="32" t="s">
        <v>1186</v>
      </c>
    </row>
    <row r="58" spans="1:4" ht="15.75" customHeight="1" x14ac:dyDescent="0.25">
      <c r="A58" s="32">
        <v>57</v>
      </c>
      <c r="B58" s="32" t="s">
        <v>1187</v>
      </c>
      <c r="C58" s="32" t="s">
        <v>1188</v>
      </c>
      <c r="D58" s="32" t="s">
        <v>1189</v>
      </c>
    </row>
    <row r="59" spans="1:4" ht="15.75" customHeight="1" x14ac:dyDescent="0.25">
      <c r="A59" s="32">
        <v>58</v>
      </c>
      <c r="B59" s="32" t="s">
        <v>1190</v>
      </c>
      <c r="C59" s="32" t="s">
        <v>1191</v>
      </c>
      <c r="D59" s="32" t="s">
        <v>1192</v>
      </c>
    </row>
    <row r="60" spans="1:4" ht="15.75" customHeight="1" x14ac:dyDescent="0.25">
      <c r="A60" s="32">
        <v>59</v>
      </c>
      <c r="B60" s="32" t="s">
        <v>1193</v>
      </c>
      <c r="C60" s="32" t="s">
        <v>1194</v>
      </c>
      <c r="D60" s="32" t="s">
        <v>1195</v>
      </c>
    </row>
    <row r="61" spans="1:4" ht="15.75" customHeight="1" x14ac:dyDescent="0.25">
      <c r="A61" s="32">
        <v>60</v>
      </c>
      <c r="B61" s="32" t="s">
        <v>1196</v>
      </c>
      <c r="C61" s="32" t="s">
        <v>1194</v>
      </c>
      <c r="D61" s="32" t="s">
        <v>1195</v>
      </c>
    </row>
    <row r="62" spans="1:4" ht="15.75" customHeight="1" x14ac:dyDescent="0.25">
      <c r="A62" s="32">
        <v>61</v>
      </c>
      <c r="B62" s="32" t="s">
        <v>1197</v>
      </c>
      <c r="C62" s="32" t="s">
        <v>1198</v>
      </c>
      <c r="D62" s="32" t="s">
        <v>1199</v>
      </c>
    </row>
    <row r="63" spans="1:4" ht="15.75" customHeight="1" x14ac:dyDescent="0.25">
      <c r="A63" s="32">
        <v>62</v>
      </c>
      <c r="B63" s="32" t="s">
        <v>1200</v>
      </c>
      <c r="C63" s="32" t="s">
        <v>1201</v>
      </c>
      <c r="D63" s="32" t="s">
        <v>1202</v>
      </c>
    </row>
    <row r="64" spans="1:4" ht="15.75" customHeight="1" x14ac:dyDescent="0.25">
      <c r="A64" s="32">
        <v>63</v>
      </c>
      <c r="B64" s="32" t="s">
        <v>1203</v>
      </c>
      <c r="C64" s="32" t="s">
        <v>1204</v>
      </c>
      <c r="D64" s="32" t="s">
        <v>1205</v>
      </c>
    </row>
    <row r="65" spans="1:4" ht="15.75" customHeight="1" x14ac:dyDescent="0.25">
      <c r="A65" s="32">
        <v>64</v>
      </c>
      <c r="B65" s="32" t="s">
        <v>1206</v>
      </c>
      <c r="C65" s="32" t="s">
        <v>1185</v>
      </c>
      <c r="D65" s="32" t="s">
        <v>1186</v>
      </c>
    </row>
    <row r="66" spans="1:4" ht="15.75" customHeight="1" x14ac:dyDescent="0.25">
      <c r="A66" s="32">
        <v>65</v>
      </c>
      <c r="B66" s="32" t="s">
        <v>1207</v>
      </c>
      <c r="C66" s="32" t="s">
        <v>1208</v>
      </c>
      <c r="D66" s="32" t="s">
        <v>1209</v>
      </c>
    </row>
    <row r="67" spans="1:4" ht="15.75" customHeight="1" x14ac:dyDescent="0.25">
      <c r="A67" s="32">
        <v>66</v>
      </c>
      <c r="B67" s="32" t="s">
        <v>1210</v>
      </c>
      <c r="C67" s="32" t="s">
        <v>1211</v>
      </c>
      <c r="D67" s="32" t="s">
        <v>1212</v>
      </c>
    </row>
    <row r="68" spans="1:4" ht="15.75" customHeight="1" x14ac:dyDescent="0.25">
      <c r="A68" s="32">
        <v>67</v>
      </c>
      <c r="B68" s="32" t="s">
        <v>1213</v>
      </c>
      <c r="C68" s="32" t="s">
        <v>1176</v>
      </c>
      <c r="D68" s="32" t="s">
        <v>1177</v>
      </c>
    </row>
    <row r="69" spans="1:4" ht="15.75" customHeight="1" x14ac:dyDescent="0.25">
      <c r="A69" s="32">
        <v>68</v>
      </c>
      <c r="B69" s="32" t="s">
        <v>1214</v>
      </c>
      <c r="C69" s="32" t="s">
        <v>1215</v>
      </c>
      <c r="D69" s="32" t="s">
        <v>1216</v>
      </c>
    </row>
    <row r="70" spans="1:4" ht="15.75" customHeight="1" x14ac:dyDescent="0.25">
      <c r="A70" s="32">
        <v>69</v>
      </c>
      <c r="B70" s="32" t="s">
        <v>1217</v>
      </c>
      <c r="C70" s="32" t="s">
        <v>1218</v>
      </c>
      <c r="D70" s="32" t="s">
        <v>1219</v>
      </c>
    </row>
    <row r="71" spans="1:4" ht="15.75" customHeight="1" x14ac:dyDescent="0.25">
      <c r="A71" s="32">
        <v>70</v>
      </c>
      <c r="B71" s="32" t="s">
        <v>1220</v>
      </c>
      <c r="C71" s="32" t="s">
        <v>1221</v>
      </c>
      <c r="D71" s="32" t="s">
        <v>1222</v>
      </c>
    </row>
    <row r="72" spans="1:4" ht="15.75" customHeight="1" x14ac:dyDescent="0.25">
      <c r="A72" s="32">
        <v>71</v>
      </c>
      <c r="B72" s="32" t="s">
        <v>1223</v>
      </c>
      <c r="C72" s="32" t="s">
        <v>1224</v>
      </c>
      <c r="D72" s="32" t="s">
        <v>1225</v>
      </c>
    </row>
    <row r="73" spans="1:4" ht="15.75" customHeight="1" x14ac:dyDescent="0.25">
      <c r="A73" s="32">
        <v>72</v>
      </c>
      <c r="B73" s="32" t="s">
        <v>1226</v>
      </c>
      <c r="C73" s="32" t="s">
        <v>1227</v>
      </c>
      <c r="D73" s="32" t="s">
        <v>1228</v>
      </c>
    </row>
    <row r="74" spans="1:4" ht="15.75" customHeight="1" x14ac:dyDescent="0.25">
      <c r="A74" s="32">
        <v>73</v>
      </c>
      <c r="B74" s="32" t="s">
        <v>1229</v>
      </c>
      <c r="C74" s="32" t="s">
        <v>1230</v>
      </c>
      <c r="D74" s="32" t="s">
        <v>1231</v>
      </c>
    </row>
    <row r="75" spans="1:4" ht="15.75" customHeight="1" x14ac:dyDescent="0.25">
      <c r="A75" s="32">
        <v>74</v>
      </c>
      <c r="B75" s="32" t="s">
        <v>1232</v>
      </c>
      <c r="C75" s="32" t="s">
        <v>1194</v>
      </c>
      <c r="D75" s="32" t="s">
        <v>1195</v>
      </c>
    </row>
    <row r="76" spans="1:4" ht="15.75" customHeight="1" x14ac:dyDescent="0.25">
      <c r="A76" s="32">
        <v>75</v>
      </c>
      <c r="B76" s="32" t="s">
        <v>1233</v>
      </c>
      <c r="C76" s="32" t="s">
        <v>1234</v>
      </c>
      <c r="D76" s="32" t="s">
        <v>1235</v>
      </c>
    </row>
    <row r="77" spans="1:4" ht="15.75" customHeight="1" x14ac:dyDescent="0.25">
      <c r="A77" s="32">
        <v>76</v>
      </c>
      <c r="B77" s="32" t="s">
        <v>1236</v>
      </c>
      <c r="C77" s="32" t="s">
        <v>656</v>
      </c>
      <c r="D77" s="32" t="s">
        <v>657</v>
      </c>
    </row>
    <row r="78" spans="1:4" ht="15.75" customHeight="1" x14ac:dyDescent="0.25">
      <c r="A78" s="32">
        <v>77</v>
      </c>
      <c r="B78" s="32" t="s">
        <v>1237</v>
      </c>
      <c r="C78" s="32" t="s">
        <v>1238</v>
      </c>
      <c r="D78" s="32" t="s">
        <v>1239</v>
      </c>
    </row>
    <row r="79" spans="1:4" ht="15.75" customHeight="1" x14ac:dyDescent="0.25">
      <c r="A79" s="32">
        <v>78</v>
      </c>
      <c r="B79" s="32" t="s">
        <v>1240</v>
      </c>
      <c r="C79" s="32" t="s">
        <v>1241</v>
      </c>
      <c r="D79" s="32" t="s">
        <v>1242</v>
      </c>
    </row>
    <row r="80" spans="1:4" ht="15.75" customHeight="1" x14ac:dyDescent="0.25">
      <c r="A80" s="32">
        <v>79</v>
      </c>
      <c r="B80" s="32" t="s">
        <v>1243</v>
      </c>
      <c r="C80" s="32" t="s">
        <v>1244</v>
      </c>
      <c r="D80" s="32" t="s">
        <v>1245</v>
      </c>
    </row>
    <row r="81" spans="1:4" ht="15.75" customHeight="1" x14ac:dyDescent="0.25">
      <c r="A81" s="32">
        <v>80</v>
      </c>
      <c r="B81" s="32" t="s">
        <v>1246</v>
      </c>
      <c r="C81" s="32" t="s">
        <v>1247</v>
      </c>
      <c r="D81" s="32" t="s">
        <v>1248</v>
      </c>
    </row>
    <row r="82" spans="1:4" ht="15.75" customHeight="1" x14ac:dyDescent="0.25">
      <c r="A82" s="32">
        <v>81</v>
      </c>
      <c r="B82" s="32" t="s">
        <v>1249</v>
      </c>
      <c r="C82" s="32" t="s">
        <v>1250</v>
      </c>
      <c r="D82" s="32" t="s">
        <v>1251</v>
      </c>
    </row>
    <row r="83" spans="1:4" ht="15.75" customHeight="1" x14ac:dyDescent="0.25">
      <c r="A83" s="32">
        <v>82</v>
      </c>
      <c r="B83" s="32" t="s">
        <v>1252</v>
      </c>
      <c r="C83" s="32" t="s">
        <v>1253</v>
      </c>
      <c r="D83" s="32" t="s">
        <v>1254</v>
      </c>
    </row>
    <row r="84" spans="1:4" ht="15.75" customHeight="1" x14ac:dyDescent="0.25">
      <c r="A84" s="32">
        <v>83</v>
      </c>
      <c r="B84" s="32" t="s">
        <v>1255</v>
      </c>
      <c r="C84" s="32" t="s">
        <v>1256</v>
      </c>
      <c r="D84" s="32" t="s">
        <v>1257</v>
      </c>
    </row>
    <row r="85" spans="1:4" ht="15.75" customHeight="1" x14ac:dyDescent="0.25">
      <c r="A85" s="32">
        <v>84</v>
      </c>
      <c r="B85" s="32" t="s">
        <v>1258</v>
      </c>
      <c r="C85" s="32" t="s">
        <v>1259</v>
      </c>
      <c r="D85" s="32" t="s">
        <v>1260</v>
      </c>
    </row>
    <row r="86" spans="1:4" ht="15.75" customHeight="1" x14ac:dyDescent="0.25">
      <c r="A86" s="32">
        <v>85</v>
      </c>
      <c r="B86" s="32" t="s">
        <v>1261</v>
      </c>
      <c r="C86" s="32" t="s">
        <v>1262</v>
      </c>
      <c r="D86" s="32" t="s">
        <v>1263</v>
      </c>
    </row>
    <row r="87" spans="1:4" ht="15.75" customHeight="1" x14ac:dyDescent="0.25">
      <c r="A87" s="32">
        <v>86</v>
      </c>
      <c r="B87" s="32" t="s">
        <v>1264</v>
      </c>
      <c r="C87" s="32" t="s">
        <v>1265</v>
      </c>
      <c r="D87" s="32" t="s">
        <v>1266</v>
      </c>
    </row>
    <row r="88" spans="1:4" ht="15.75" customHeight="1" x14ac:dyDescent="0.25">
      <c r="A88" s="32">
        <v>87</v>
      </c>
      <c r="B88" s="32" t="s">
        <v>1267</v>
      </c>
      <c r="C88" s="32" t="s">
        <v>1268</v>
      </c>
      <c r="D88" s="32" t="s">
        <v>1269</v>
      </c>
    </row>
    <row r="89" spans="1:4" ht="15.75" customHeight="1" x14ac:dyDescent="0.25">
      <c r="A89" s="32">
        <v>88</v>
      </c>
      <c r="B89" s="32" t="s">
        <v>1270</v>
      </c>
      <c r="C89" s="32" t="s">
        <v>1271</v>
      </c>
      <c r="D89" s="32" t="s">
        <v>1272</v>
      </c>
    </row>
    <row r="90" spans="1:4" ht="15.75" customHeight="1" x14ac:dyDescent="0.25">
      <c r="A90" s="32">
        <v>89</v>
      </c>
      <c r="B90" s="32" t="s">
        <v>1273</v>
      </c>
      <c r="C90" s="32" t="s">
        <v>1274</v>
      </c>
      <c r="D90" s="32" t="s">
        <v>677</v>
      </c>
    </row>
    <row r="91" spans="1:4" ht="15.75" customHeight="1" x14ac:dyDescent="0.25">
      <c r="A91" s="32">
        <v>90</v>
      </c>
      <c r="B91" s="32" t="s">
        <v>1275</v>
      </c>
      <c r="C91" s="32" t="s">
        <v>1276</v>
      </c>
      <c r="D91" s="32" t="s">
        <v>1277</v>
      </c>
    </row>
    <row r="92" spans="1:4" ht="15.75" customHeight="1" x14ac:dyDescent="0.25">
      <c r="A92" s="32">
        <v>91</v>
      </c>
      <c r="B92" s="32" t="s">
        <v>1278</v>
      </c>
      <c r="C92" s="32" t="s">
        <v>1279</v>
      </c>
      <c r="D92" s="32" t="s">
        <v>1280</v>
      </c>
    </row>
    <row r="93" spans="1:4" ht="15.75" customHeight="1" x14ac:dyDescent="0.25">
      <c r="A93" s="32">
        <v>92</v>
      </c>
      <c r="B93" s="32" t="s">
        <v>1281</v>
      </c>
      <c r="C93" s="32" t="s">
        <v>894</v>
      </c>
      <c r="D93" s="32" t="s">
        <v>895</v>
      </c>
    </row>
    <row r="94" spans="1:4" ht="15.75" customHeight="1" x14ac:dyDescent="0.25">
      <c r="A94" s="32">
        <v>93</v>
      </c>
      <c r="B94" s="32" t="s">
        <v>1282</v>
      </c>
      <c r="C94" s="32" t="s">
        <v>796</v>
      </c>
      <c r="D94" s="32" t="s">
        <v>789</v>
      </c>
    </row>
    <row r="95" spans="1:4" ht="15.75" customHeight="1" x14ac:dyDescent="0.25">
      <c r="A95" s="32">
        <v>94</v>
      </c>
      <c r="B95" s="32" t="s">
        <v>1283</v>
      </c>
      <c r="C95" s="32" t="s">
        <v>1284</v>
      </c>
      <c r="D95" s="32" t="s">
        <v>1285</v>
      </c>
    </row>
    <row r="96" spans="1:4" ht="15.75" customHeight="1" x14ac:dyDescent="0.25">
      <c r="A96" s="32">
        <v>95</v>
      </c>
      <c r="B96" s="32" t="s">
        <v>1286</v>
      </c>
      <c r="C96" s="32" t="s">
        <v>1287</v>
      </c>
      <c r="D96" s="32" t="s">
        <v>1288</v>
      </c>
    </row>
    <row r="97" spans="1:4" ht="15.75" customHeight="1" x14ac:dyDescent="0.25">
      <c r="A97" s="32">
        <v>96</v>
      </c>
      <c r="B97" s="32" t="s">
        <v>1289</v>
      </c>
      <c r="C97" s="32" t="s">
        <v>1290</v>
      </c>
      <c r="D97" s="32" t="s">
        <v>1291</v>
      </c>
    </row>
    <row r="98" spans="1:4" ht="15.75" customHeight="1" x14ac:dyDescent="0.25">
      <c r="A98" s="32">
        <v>97</v>
      </c>
      <c r="B98" s="32" t="s">
        <v>1292</v>
      </c>
      <c r="C98" s="32" t="s">
        <v>1293</v>
      </c>
      <c r="D98" s="32" t="s">
        <v>1294</v>
      </c>
    </row>
    <row r="99" spans="1:4" ht="15.75" customHeight="1" x14ac:dyDescent="0.25">
      <c r="A99" s="32">
        <v>98</v>
      </c>
      <c r="B99" s="32" t="s">
        <v>1295</v>
      </c>
      <c r="C99" s="32" t="s">
        <v>1296</v>
      </c>
      <c r="D99" s="32" t="s">
        <v>1297</v>
      </c>
    </row>
    <row r="100" spans="1:4" ht="15.75" customHeight="1" x14ac:dyDescent="0.25">
      <c r="A100" s="32">
        <v>99</v>
      </c>
      <c r="B100" s="32" t="s">
        <v>1298</v>
      </c>
      <c r="C100" s="32" t="s">
        <v>891</v>
      </c>
      <c r="D100" s="32" t="s">
        <v>892</v>
      </c>
    </row>
    <row r="101" spans="1:4" ht="15.75" customHeight="1" x14ac:dyDescent="0.25">
      <c r="A101" s="32">
        <v>100</v>
      </c>
      <c r="B101" s="32" t="s">
        <v>1299</v>
      </c>
      <c r="C101" s="32" t="s">
        <v>1300</v>
      </c>
      <c r="D101" s="32" t="s">
        <v>1301</v>
      </c>
    </row>
    <row r="102" spans="1:4" ht="15.75" customHeight="1" x14ac:dyDescent="0.25">
      <c r="A102" s="32">
        <v>101</v>
      </c>
      <c r="B102" s="32" t="s">
        <v>1302</v>
      </c>
      <c r="C102" s="32" t="s">
        <v>1303</v>
      </c>
      <c r="D102" s="32" t="s">
        <v>1304</v>
      </c>
    </row>
    <row r="103" spans="1:4" ht="15.75" customHeight="1" x14ac:dyDescent="0.25">
      <c r="A103" s="32">
        <v>102</v>
      </c>
      <c r="B103" s="32" t="s">
        <v>1305</v>
      </c>
      <c r="C103" s="32" t="s">
        <v>1306</v>
      </c>
      <c r="D103" s="32" t="s">
        <v>1307</v>
      </c>
    </row>
    <row r="104" spans="1:4" ht="15.75" customHeight="1" x14ac:dyDescent="0.25">
      <c r="A104" s="32">
        <v>103</v>
      </c>
      <c r="B104" s="32" t="s">
        <v>1308</v>
      </c>
      <c r="C104" s="32" t="s">
        <v>1309</v>
      </c>
      <c r="D104" s="32" t="s">
        <v>1310</v>
      </c>
    </row>
    <row r="105" spans="1:4" ht="15.75" customHeight="1" x14ac:dyDescent="0.25">
      <c r="A105" s="32">
        <v>104</v>
      </c>
      <c r="B105" s="32" t="s">
        <v>779</v>
      </c>
      <c r="C105" s="32" t="s">
        <v>1311</v>
      </c>
      <c r="D105" s="32" t="s">
        <v>1312</v>
      </c>
    </row>
    <row r="106" spans="1:4" ht="15.75" customHeight="1" x14ac:dyDescent="0.25">
      <c r="A106" s="32">
        <v>105</v>
      </c>
      <c r="B106" s="32" t="s">
        <v>1313</v>
      </c>
      <c r="C106" s="32" t="s">
        <v>1314</v>
      </c>
      <c r="D106" s="32" t="s">
        <v>1315</v>
      </c>
    </row>
    <row r="107" spans="1:4" ht="15.75" customHeight="1" x14ac:dyDescent="0.25">
      <c r="A107" s="32">
        <v>106</v>
      </c>
      <c r="B107" s="6" t="s">
        <v>1316</v>
      </c>
      <c r="C107" s="6" t="s">
        <v>1317</v>
      </c>
      <c r="D107" s="6" t="s">
        <v>1318</v>
      </c>
    </row>
    <row r="108" spans="1:4" ht="15.75" customHeight="1" x14ac:dyDescent="0.25">
      <c r="A108" s="32">
        <v>107</v>
      </c>
      <c r="B108" s="32" t="s">
        <v>1319</v>
      </c>
      <c r="C108" s="32" t="s">
        <v>659</v>
      </c>
      <c r="D108" s="32" t="s">
        <v>660</v>
      </c>
    </row>
    <row r="109" spans="1:4" ht="15.75" customHeight="1" x14ac:dyDescent="0.25">
      <c r="A109" s="32">
        <v>108</v>
      </c>
      <c r="B109" s="32" t="s">
        <v>1320</v>
      </c>
      <c r="C109" s="32" t="s">
        <v>1321</v>
      </c>
      <c r="D109" s="32" t="s">
        <v>1322</v>
      </c>
    </row>
    <row r="110" spans="1:4" ht="15.75" customHeight="1" x14ac:dyDescent="0.25">
      <c r="A110" s="32">
        <v>109</v>
      </c>
      <c r="B110" s="32" t="s">
        <v>1323</v>
      </c>
      <c r="C110" s="32" t="s">
        <v>823</v>
      </c>
      <c r="D110" s="32" t="s">
        <v>824</v>
      </c>
    </row>
    <row r="111" spans="1:4" ht="15.75" customHeight="1" x14ac:dyDescent="0.25">
      <c r="A111" s="32">
        <v>110</v>
      </c>
      <c r="B111" s="32" t="s">
        <v>1324</v>
      </c>
      <c r="C111" s="32" t="s">
        <v>1325</v>
      </c>
      <c r="D111" s="32" t="s">
        <v>1326</v>
      </c>
    </row>
    <row r="112" spans="1:4" ht="15.75" customHeight="1" x14ac:dyDescent="0.25">
      <c r="A112" s="32">
        <v>111</v>
      </c>
      <c r="B112" s="32" t="s">
        <v>1327</v>
      </c>
      <c r="C112" s="32" t="s">
        <v>1328</v>
      </c>
      <c r="D112" s="32" t="s">
        <v>1329</v>
      </c>
    </row>
    <row r="113" spans="1:4" ht="15.75" customHeight="1" x14ac:dyDescent="0.25">
      <c r="A113" s="32">
        <v>112</v>
      </c>
      <c r="B113" s="32" t="s">
        <v>1330</v>
      </c>
      <c r="C113" s="32" t="s">
        <v>600</v>
      </c>
      <c r="D113" s="32" t="s">
        <v>1331</v>
      </c>
    </row>
    <row r="114" spans="1:4" ht="15.75" customHeight="1" x14ac:dyDescent="0.25">
      <c r="A114" s="32">
        <v>113</v>
      </c>
      <c r="B114" s="32" t="s">
        <v>1332</v>
      </c>
      <c r="C114" s="32" t="s">
        <v>1333</v>
      </c>
      <c r="D114" s="32" t="s">
        <v>1334</v>
      </c>
    </row>
    <row r="115" spans="1:4" ht="15.75" customHeight="1" x14ac:dyDescent="0.25">
      <c r="A115" s="32">
        <v>114</v>
      </c>
      <c r="B115" s="32" t="s">
        <v>1335</v>
      </c>
      <c r="C115" s="32" t="s">
        <v>1336</v>
      </c>
      <c r="D115" s="32" t="s">
        <v>1337</v>
      </c>
    </row>
    <row r="116" spans="1:4" ht="15.75" customHeight="1" x14ac:dyDescent="0.25">
      <c r="A116" s="32">
        <v>115</v>
      </c>
      <c r="B116" s="32" t="s">
        <v>1338</v>
      </c>
      <c r="C116" s="32" t="s">
        <v>1339</v>
      </c>
      <c r="D116" s="32" t="s">
        <v>1340</v>
      </c>
    </row>
    <row r="117" spans="1:4" ht="15.75" customHeight="1" x14ac:dyDescent="0.25">
      <c r="A117" s="32">
        <v>116</v>
      </c>
      <c r="B117" s="32" t="s">
        <v>1341</v>
      </c>
      <c r="C117" s="32" t="s">
        <v>1342</v>
      </c>
      <c r="D117" s="32" t="s">
        <v>1343</v>
      </c>
    </row>
    <row r="118" spans="1:4" ht="15.75" customHeight="1" x14ac:dyDescent="0.25">
      <c r="A118" s="32">
        <v>117</v>
      </c>
      <c r="B118" s="32" t="s">
        <v>1344</v>
      </c>
      <c r="C118" s="32" t="s">
        <v>1345</v>
      </c>
      <c r="D118" s="32" t="s">
        <v>1346</v>
      </c>
    </row>
    <row r="119" spans="1:4" ht="15.75" customHeight="1" x14ac:dyDescent="0.25">
      <c r="A119" s="32">
        <v>118</v>
      </c>
      <c r="B119" s="32" t="s">
        <v>1347</v>
      </c>
      <c r="C119" s="32" t="s">
        <v>1348</v>
      </c>
      <c r="D119" s="32" t="s">
        <v>1349</v>
      </c>
    </row>
    <row r="120" spans="1:4" ht="15.75" customHeight="1" x14ac:dyDescent="0.25">
      <c r="A120" s="32">
        <v>119</v>
      </c>
      <c r="B120" s="32" t="s">
        <v>1350</v>
      </c>
      <c r="C120" s="32" t="s">
        <v>1351</v>
      </c>
      <c r="D120" s="32" t="s">
        <v>1352</v>
      </c>
    </row>
    <row r="121" spans="1:4" ht="15.75" customHeight="1" x14ac:dyDescent="0.25">
      <c r="A121" s="32">
        <v>120</v>
      </c>
      <c r="B121" s="32" t="s">
        <v>1353</v>
      </c>
      <c r="C121" s="32" t="s">
        <v>1354</v>
      </c>
      <c r="D121" s="32" t="s">
        <v>1355</v>
      </c>
    </row>
    <row r="122" spans="1:4" ht="15.75" customHeight="1" x14ac:dyDescent="0.25">
      <c r="A122" s="32">
        <v>121</v>
      </c>
      <c r="B122" s="32" t="s">
        <v>1356</v>
      </c>
      <c r="C122" s="32" t="s">
        <v>682</v>
      </c>
      <c r="D122" s="32" t="s">
        <v>683</v>
      </c>
    </row>
    <row r="123" spans="1:4" ht="15.75" customHeight="1" x14ac:dyDescent="0.25">
      <c r="A123" s="32">
        <v>122</v>
      </c>
      <c r="B123" s="32" t="s">
        <v>1357</v>
      </c>
      <c r="C123" s="32" t="s">
        <v>1290</v>
      </c>
      <c r="D123" s="32" t="s">
        <v>1358</v>
      </c>
    </row>
    <row r="124" spans="1:4" ht="15.75" customHeight="1" x14ac:dyDescent="0.25">
      <c r="A124" s="32">
        <v>123</v>
      </c>
      <c r="B124" s="32" t="s">
        <v>1359</v>
      </c>
      <c r="C124" s="32" t="s">
        <v>889</v>
      </c>
      <c r="D124" s="32" t="s">
        <v>1360</v>
      </c>
    </row>
    <row r="125" spans="1:4" ht="15.75" customHeight="1" x14ac:dyDescent="0.25">
      <c r="A125" s="32">
        <v>124</v>
      </c>
      <c r="B125" s="32" t="s">
        <v>1361</v>
      </c>
      <c r="C125" s="32" t="s">
        <v>1362</v>
      </c>
      <c r="D125" s="32" t="s">
        <v>1363</v>
      </c>
    </row>
    <row r="126" spans="1:4" ht="15.75" customHeight="1" x14ac:dyDescent="0.25">
      <c r="A126" s="32">
        <v>125</v>
      </c>
      <c r="B126" s="32" t="s">
        <v>1364</v>
      </c>
      <c r="C126" s="32" t="s">
        <v>1365</v>
      </c>
      <c r="D126" s="32" t="s">
        <v>1366</v>
      </c>
    </row>
    <row r="127" spans="1:4" ht="15.75" customHeight="1" x14ac:dyDescent="0.25">
      <c r="A127" s="32">
        <v>126</v>
      </c>
      <c r="B127" s="32" t="s">
        <v>1367</v>
      </c>
      <c r="C127" s="32" t="s">
        <v>1368</v>
      </c>
      <c r="D127" s="32" t="s">
        <v>1369</v>
      </c>
    </row>
    <row r="128" spans="1:4" ht="15.75" customHeight="1" x14ac:dyDescent="0.25">
      <c r="A128" s="32">
        <v>127</v>
      </c>
      <c r="B128" s="32" t="s">
        <v>1370</v>
      </c>
      <c r="C128" s="32" t="s">
        <v>1371</v>
      </c>
      <c r="D128" s="32" t="s">
        <v>1372</v>
      </c>
    </row>
    <row r="129" spans="1:4" ht="15.75" customHeight="1" x14ac:dyDescent="0.25">
      <c r="A129" s="32">
        <v>128</v>
      </c>
      <c r="B129" s="32" t="s">
        <v>1373</v>
      </c>
      <c r="C129" s="32" t="s">
        <v>1374</v>
      </c>
      <c r="D129" s="32" t="s">
        <v>1375</v>
      </c>
    </row>
    <row r="130" spans="1:4" ht="15.75" customHeight="1" x14ac:dyDescent="0.25">
      <c r="A130" s="32">
        <v>129</v>
      </c>
      <c r="B130" s="32" t="s">
        <v>1376</v>
      </c>
      <c r="C130" s="32" t="s">
        <v>1354</v>
      </c>
      <c r="D130" s="32" t="s">
        <v>1355</v>
      </c>
    </row>
    <row r="131" spans="1:4" ht="15.75" customHeight="1" x14ac:dyDescent="0.25">
      <c r="A131" s="32">
        <v>130</v>
      </c>
      <c r="B131" s="32" t="s">
        <v>1377</v>
      </c>
      <c r="C131" s="32" t="s">
        <v>1378</v>
      </c>
      <c r="D131" s="32" t="s">
        <v>1379</v>
      </c>
    </row>
    <row r="132" spans="1:4" ht="15.75" customHeight="1" x14ac:dyDescent="0.25">
      <c r="A132" s="32">
        <v>131</v>
      </c>
      <c r="B132" s="32" t="s">
        <v>1380</v>
      </c>
      <c r="C132" s="32" t="s">
        <v>1381</v>
      </c>
      <c r="D132" s="32" t="s">
        <v>1382</v>
      </c>
    </row>
    <row r="133" spans="1:4" ht="15.75" customHeight="1" x14ac:dyDescent="0.25">
      <c r="A133" s="32">
        <v>132</v>
      </c>
      <c r="B133" s="32" t="s">
        <v>1383</v>
      </c>
      <c r="C133" s="32" t="s">
        <v>1384</v>
      </c>
      <c r="D133" s="32" t="s">
        <v>1385</v>
      </c>
    </row>
    <row r="134" spans="1:4" ht="15.75" customHeight="1" x14ac:dyDescent="0.25">
      <c r="A134" s="32">
        <v>133</v>
      </c>
      <c r="B134" s="32" t="s">
        <v>1386</v>
      </c>
      <c r="C134" s="32" t="s">
        <v>1387</v>
      </c>
      <c r="D134" s="32" t="s">
        <v>1388</v>
      </c>
    </row>
    <row r="135" spans="1:4" ht="15.75" customHeight="1" x14ac:dyDescent="0.25">
      <c r="A135" s="32">
        <v>134</v>
      </c>
      <c r="B135" s="32" t="s">
        <v>1389</v>
      </c>
      <c r="C135" s="32" t="s">
        <v>1390</v>
      </c>
      <c r="D135" s="32" t="s">
        <v>1391</v>
      </c>
    </row>
    <row r="136" spans="1:4" ht="15.75" customHeight="1" x14ac:dyDescent="0.25">
      <c r="A136" s="32">
        <v>135</v>
      </c>
      <c r="B136" s="32" t="s">
        <v>1392</v>
      </c>
      <c r="C136" s="32" t="s">
        <v>1393</v>
      </c>
      <c r="D136" s="32" t="s">
        <v>1394</v>
      </c>
    </row>
    <row r="137" spans="1:4" ht="15.75" customHeight="1" x14ac:dyDescent="0.25">
      <c r="A137" s="32">
        <v>136</v>
      </c>
      <c r="B137" s="32" t="s">
        <v>1395</v>
      </c>
      <c r="C137" s="32" t="s">
        <v>1396</v>
      </c>
      <c r="D137" s="32" t="s">
        <v>1396</v>
      </c>
    </row>
    <row r="138" spans="1:4" ht="15.75" customHeight="1" x14ac:dyDescent="0.25">
      <c r="A138" s="32">
        <v>137</v>
      </c>
      <c r="B138" s="32" t="s">
        <v>1397</v>
      </c>
      <c r="C138" s="32" t="s">
        <v>1398</v>
      </c>
      <c r="D138" s="32" t="s">
        <v>1399</v>
      </c>
    </row>
    <row r="139" spans="1:4" ht="15.75" customHeight="1" x14ac:dyDescent="0.25">
      <c r="A139" s="32">
        <v>138</v>
      </c>
      <c r="B139" s="32" t="s">
        <v>1400</v>
      </c>
      <c r="C139" s="32" t="s">
        <v>1401</v>
      </c>
      <c r="D139" s="32" t="s">
        <v>1402</v>
      </c>
    </row>
    <row r="140" spans="1:4" ht="15.75" customHeight="1" x14ac:dyDescent="0.25">
      <c r="A140" s="32">
        <v>139</v>
      </c>
      <c r="B140" s="32" t="s">
        <v>1403</v>
      </c>
      <c r="C140" s="32" t="s">
        <v>1404</v>
      </c>
      <c r="D140" s="32" t="s">
        <v>1405</v>
      </c>
    </row>
    <row r="141" spans="1:4" ht="15.75" customHeight="1" x14ac:dyDescent="0.25">
      <c r="A141" s="32">
        <v>140</v>
      </c>
      <c r="B141" s="32" t="s">
        <v>1406</v>
      </c>
      <c r="C141" s="32" t="s">
        <v>1407</v>
      </c>
      <c r="D141" s="32" t="s">
        <v>1408</v>
      </c>
    </row>
    <row r="142" spans="1:4" ht="15.75" customHeight="1" x14ac:dyDescent="0.25">
      <c r="A142" s="32">
        <v>141</v>
      </c>
      <c r="B142" s="32" t="s">
        <v>1409</v>
      </c>
      <c r="C142" s="32" t="s">
        <v>1410</v>
      </c>
      <c r="D142" s="32" t="s">
        <v>1411</v>
      </c>
    </row>
    <row r="143" spans="1:4" ht="15.75" customHeight="1" x14ac:dyDescent="0.25">
      <c r="A143" s="32">
        <v>142</v>
      </c>
      <c r="B143" s="32" t="s">
        <v>1412</v>
      </c>
      <c r="C143" s="32" t="s">
        <v>1413</v>
      </c>
      <c r="D143" s="32" t="s">
        <v>1414</v>
      </c>
    </row>
    <row r="144" spans="1:4" ht="15.75" customHeight="1" x14ac:dyDescent="0.25">
      <c r="A144" s="32">
        <v>143</v>
      </c>
      <c r="B144" s="32" t="s">
        <v>1415</v>
      </c>
      <c r="C144" s="32" t="s">
        <v>1416</v>
      </c>
      <c r="D144" s="32" t="s">
        <v>1417</v>
      </c>
    </row>
    <row r="145" spans="1:4" ht="15.75" customHeight="1" x14ac:dyDescent="0.25">
      <c r="A145" s="32">
        <v>144</v>
      </c>
      <c r="B145" s="32" t="s">
        <v>1418</v>
      </c>
      <c r="C145" s="32" t="s">
        <v>1419</v>
      </c>
      <c r="D145" s="32" t="s">
        <v>1420</v>
      </c>
    </row>
    <row r="146" spans="1:4" ht="15.75" customHeight="1" x14ac:dyDescent="0.25">
      <c r="A146" s="32">
        <v>145</v>
      </c>
      <c r="B146" s="32" t="s">
        <v>1421</v>
      </c>
      <c r="C146" s="32" t="s">
        <v>1422</v>
      </c>
      <c r="D146" s="32" t="s">
        <v>1423</v>
      </c>
    </row>
    <row r="147" spans="1:4" ht="15.75" customHeight="1" x14ac:dyDescent="0.25">
      <c r="A147" s="32">
        <v>146</v>
      </c>
      <c r="B147" s="32" t="s">
        <v>1424</v>
      </c>
      <c r="C147" s="32" t="s">
        <v>1425</v>
      </c>
      <c r="D147" s="32" t="s">
        <v>691</v>
      </c>
    </row>
    <row r="148" spans="1:4" ht="15.75" customHeight="1" x14ac:dyDescent="0.25">
      <c r="A148" s="32">
        <v>147</v>
      </c>
      <c r="B148" s="32" t="s">
        <v>1426</v>
      </c>
      <c r="C148" s="32" t="s">
        <v>1427</v>
      </c>
      <c r="D148" s="32" t="s">
        <v>1428</v>
      </c>
    </row>
    <row r="149" spans="1:4" ht="15.75" customHeight="1" x14ac:dyDescent="0.25">
      <c r="A149" s="32">
        <v>148</v>
      </c>
      <c r="B149" s="32" t="s">
        <v>1429</v>
      </c>
      <c r="C149" s="32" t="s">
        <v>1430</v>
      </c>
      <c r="D149" s="32" t="s">
        <v>1431</v>
      </c>
    </row>
    <row r="150" spans="1:4" ht="15.75" customHeight="1" x14ac:dyDescent="0.25">
      <c r="A150" s="32">
        <v>149</v>
      </c>
      <c r="B150" s="32" t="s">
        <v>1432</v>
      </c>
      <c r="C150" s="32" t="s">
        <v>1433</v>
      </c>
      <c r="D150" s="32" t="s">
        <v>1434</v>
      </c>
    </row>
    <row r="151" spans="1:4" ht="15.75" customHeight="1" x14ac:dyDescent="0.25">
      <c r="A151" s="32">
        <v>150</v>
      </c>
      <c r="B151" s="32" t="s">
        <v>1435</v>
      </c>
      <c r="C151" s="32" t="s">
        <v>1436</v>
      </c>
      <c r="D151" s="32" t="s">
        <v>1437</v>
      </c>
    </row>
    <row r="152" spans="1:4" ht="15.75" customHeight="1" x14ac:dyDescent="0.25">
      <c r="A152" s="32">
        <v>151</v>
      </c>
      <c r="B152" s="32" t="s">
        <v>1438</v>
      </c>
      <c r="C152" s="32" t="s">
        <v>1439</v>
      </c>
      <c r="D152" s="32" t="s">
        <v>1440</v>
      </c>
    </row>
    <row r="153" spans="1:4" ht="15.75" customHeight="1" x14ac:dyDescent="0.25">
      <c r="A153" s="32">
        <v>152</v>
      </c>
      <c r="B153" s="34" t="s">
        <v>1441</v>
      </c>
      <c r="C153" s="34" t="s">
        <v>1442</v>
      </c>
      <c r="D153" s="34" t="s">
        <v>1443</v>
      </c>
    </row>
    <row r="154" spans="1:4" ht="15.75" customHeight="1" x14ac:dyDescent="0.25">
      <c r="A154" s="32">
        <v>153</v>
      </c>
      <c r="B154" s="34" t="s">
        <v>1444</v>
      </c>
      <c r="C154" s="34" t="s">
        <v>1445</v>
      </c>
      <c r="D154" s="34" t="s">
        <v>1446</v>
      </c>
    </row>
    <row r="155" spans="1:4" ht="15.75" customHeight="1" x14ac:dyDescent="0.25">
      <c r="A155" s="32">
        <v>154</v>
      </c>
      <c r="B155" s="32" t="s">
        <v>1447</v>
      </c>
      <c r="C155" s="32" t="s">
        <v>1448</v>
      </c>
      <c r="D155" s="32" t="s">
        <v>1449</v>
      </c>
    </row>
    <row r="156" spans="1:4" ht="15.75" customHeight="1" x14ac:dyDescent="0.25">
      <c r="A156" s="32">
        <v>155</v>
      </c>
      <c r="B156" s="32" t="s">
        <v>1450</v>
      </c>
      <c r="C156" s="32" t="s">
        <v>1451</v>
      </c>
      <c r="D156" s="32" t="s">
        <v>1452</v>
      </c>
    </row>
    <row r="157" spans="1:4" ht="15.75" customHeight="1" x14ac:dyDescent="0.25">
      <c r="A157" s="32">
        <v>156</v>
      </c>
      <c r="B157" s="32" t="s">
        <v>1453</v>
      </c>
      <c r="C157" s="32" t="s">
        <v>1454</v>
      </c>
      <c r="D157" s="32" t="s">
        <v>1455</v>
      </c>
    </row>
    <row r="158" spans="1:4" ht="15.75" customHeight="1" x14ac:dyDescent="0.25">
      <c r="A158" s="32">
        <v>157</v>
      </c>
      <c r="B158" s="32" t="s">
        <v>1456</v>
      </c>
      <c r="C158" s="32" t="s">
        <v>1457</v>
      </c>
      <c r="D158" s="32" t="s">
        <v>1458</v>
      </c>
    </row>
    <row r="159" spans="1:4" ht="15.75" customHeight="1" x14ac:dyDescent="0.25">
      <c r="A159" s="32">
        <v>158</v>
      </c>
      <c r="B159" s="32" t="s">
        <v>1459</v>
      </c>
      <c r="C159" s="32" t="s">
        <v>1460</v>
      </c>
      <c r="D159" s="32" t="s">
        <v>1461</v>
      </c>
    </row>
    <row r="160" spans="1:4" ht="15.75" customHeight="1" x14ac:dyDescent="0.25">
      <c r="A160" s="32">
        <v>159</v>
      </c>
      <c r="B160" s="32" t="s">
        <v>1462</v>
      </c>
      <c r="C160" s="32" t="s">
        <v>1463</v>
      </c>
      <c r="D160" s="32" t="s">
        <v>1464</v>
      </c>
    </row>
    <row r="161" spans="1:4" ht="15.75" customHeight="1" x14ac:dyDescent="0.25">
      <c r="A161" s="32">
        <v>160</v>
      </c>
      <c r="B161" s="32" t="s">
        <v>1465</v>
      </c>
      <c r="C161" s="32" t="s">
        <v>902</v>
      </c>
      <c r="D161" s="32" t="s">
        <v>1466</v>
      </c>
    </row>
    <row r="162" spans="1:4" ht="15.75" customHeight="1" x14ac:dyDescent="0.25">
      <c r="A162" s="32">
        <v>161</v>
      </c>
      <c r="B162" s="32" t="s">
        <v>1467</v>
      </c>
      <c r="C162" s="32" t="s">
        <v>1468</v>
      </c>
      <c r="D162" s="32" t="s">
        <v>1469</v>
      </c>
    </row>
    <row r="163" spans="1:4" ht="15.75" customHeight="1" x14ac:dyDescent="0.25">
      <c r="A163" s="32">
        <v>162</v>
      </c>
      <c r="B163" s="32" t="s">
        <v>1470</v>
      </c>
      <c r="C163" s="32" t="s">
        <v>1471</v>
      </c>
      <c r="D163" s="32" t="s">
        <v>1472</v>
      </c>
    </row>
    <row r="164" spans="1:4" ht="15.75" customHeight="1" x14ac:dyDescent="0.25">
      <c r="A164" s="32">
        <v>163</v>
      </c>
      <c r="B164" s="32" t="s">
        <v>1473</v>
      </c>
      <c r="C164" s="32" t="s">
        <v>665</v>
      </c>
      <c r="D164" s="32" t="s">
        <v>666</v>
      </c>
    </row>
    <row r="165" spans="1:4" ht="15.75" customHeight="1" x14ac:dyDescent="0.25">
      <c r="A165" s="32">
        <v>164</v>
      </c>
      <c r="B165" s="32" t="s">
        <v>1474</v>
      </c>
      <c r="C165" s="32" t="s">
        <v>1475</v>
      </c>
      <c r="D165" s="32" t="s">
        <v>1476</v>
      </c>
    </row>
    <row r="166" spans="1:4" ht="15.75" customHeight="1" x14ac:dyDescent="0.25">
      <c r="A166" s="32">
        <v>165</v>
      </c>
      <c r="B166" s="32" t="s">
        <v>1477</v>
      </c>
      <c r="C166" s="32" t="s">
        <v>1478</v>
      </c>
      <c r="D166" s="32" t="s">
        <v>1479</v>
      </c>
    </row>
    <row r="167" spans="1:4" ht="15.75" customHeight="1" x14ac:dyDescent="0.25">
      <c r="A167" s="32">
        <v>166</v>
      </c>
      <c r="B167" s="32" t="s">
        <v>1480</v>
      </c>
      <c r="C167" s="32" t="s">
        <v>1481</v>
      </c>
      <c r="D167" s="32" t="s">
        <v>1482</v>
      </c>
    </row>
    <row r="168" spans="1:4" ht="15.75" customHeight="1" x14ac:dyDescent="0.25">
      <c r="A168" s="32">
        <v>167</v>
      </c>
      <c r="B168" s="32" t="s">
        <v>1483</v>
      </c>
      <c r="C168" s="32" t="s">
        <v>1484</v>
      </c>
      <c r="D168" s="32" t="s">
        <v>1485</v>
      </c>
    </row>
    <row r="169" spans="1:4" ht="15.75" customHeight="1" x14ac:dyDescent="0.25">
      <c r="A169" s="32">
        <v>168</v>
      </c>
      <c r="B169" s="32" t="s">
        <v>1486</v>
      </c>
      <c r="C169" s="32" t="s">
        <v>1487</v>
      </c>
      <c r="D169" s="32" t="s">
        <v>1488</v>
      </c>
    </row>
    <row r="170" spans="1:4" ht="15.75" customHeight="1" x14ac:dyDescent="0.25">
      <c r="A170" s="32">
        <v>169</v>
      </c>
      <c r="B170" s="32" t="s">
        <v>1489</v>
      </c>
      <c r="C170" s="32" t="s">
        <v>1490</v>
      </c>
      <c r="D170" s="32" t="s">
        <v>1491</v>
      </c>
    </row>
    <row r="171" spans="1:4" ht="15.75" customHeight="1" x14ac:dyDescent="0.25">
      <c r="A171" s="32">
        <v>170</v>
      </c>
      <c r="B171" s="32" t="s">
        <v>1492</v>
      </c>
      <c r="C171" s="32" t="s">
        <v>1493</v>
      </c>
      <c r="D171" s="32" t="s">
        <v>1494</v>
      </c>
    </row>
    <row r="172" spans="1:4" ht="15.75" customHeight="1" x14ac:dyDescent="0.25">
      <c r="A172" s="32">
        <v>171</v>
      </c>
      <c r="B172" s="32" t="s">
        <v>1495</v>
      </c>
      <c r="C172" s="32" t="s">
        <v>1496</v>
      </c>
      <c r="D172" s="32" t="s">
        <v>1497</v>
      </c>
    </row>
    <row r="173" spans="1:4" ht="15.75" customHeight="1" x14ac:dyDescent="0.25">
      <c r="A173" s="32">
        <v>172</v>
      </c>
      <c r="B173" s="32" t="s">
        <v>1498</v>
      </c>
      <c r="C173" s="32" t="s">
        <v>1499</v>
      </c>
      <c r="D173" s="32" t="s">
        <v>1500</v>
      </c>
    </row>
    <row r="174" spans="1:4" ht="15.75" customHeight="1" x14ac:dyDescent="0.25">
      <c r="A174" s="32">
        <v>173</v>
      </c>
      <c r="B174" s="32" t="s">
        <v>1501</v>
      </c>
      <c r="C174" s="32" t="s">
        <v>1502</v>
      </c>
      <c r="D174" s="32" t="s">
        <v>1503</v>
      </c>
    </row>
    <row r="175" spans="1:4" ht="15.75" customHeight="1" x14ac:dyDescent="0.25">
      <c r="A175" s="32">
        <v>174</v>
      </c>
      <c r="B175" s="32" t="s">
        <v>1504</v>
      </c>
      <c r="C175" s="32" t="s">
        <v>1505</v>
      </c>
      <c r="D175" s="32" t="s">
        <v>1506</v>
      </c>
    </row>
    <row r="176" spans="1:4" ht="15.75" customHeight="1" x14ac:dyDescent="0.25">
      <c r="A176" s="32">
        <v>175</v>
      </c>
      <c r="B176" s="32" t="s">
        <v>1507</v>
      </c>
      <c r="C176" s="32" t="s">
        <v>708</v>
      </c>
      <c r="D176" s="32" t="s">
        <v>709</v>
      </c>
    </row>
    <row r="177" spans="1:4" ht="15.75" customHeight="1" x14ac:dyDescent="0.25">
      <c r="A177" s="32">
        <v>176</v>
      </c>
      <c r="B177" s="32" t="s">
        <v>1508</v>
      </c>
      <c r="C177" s="32" t="s">
        <v>1509</v>
      </c>
      <c r="D177" s="32" t="s">
        <v>1510</v>
      </c>
    </row>
    <row r="178" spans="1:4" ht="15.75" customHeight="1" x14ac:dyDescent="0.25">
      <c r="A178" s="32">
        <v>177</v>
      </c>
      <c r="B178" s="32" t="s">
        <v>1511</v>
      </c>
      <c r="C178" s="32" t="s">
        <v>1512</v>
      </c>
      <c r="D178" s="32" t="s">
        <v>1513</v>
      </c>
    </row>
    <row r="179" spans="1:4" ht="15.75" customHeight="1" x14ac:dyDescent="0.25">
      <c r="A179" s="32">
        <v>178</v>
      </c>
      <c r="B179" s="32" t="s">
        <v>1514</v>
      </c>
      <c r="C179" s="32" t="s">
        <v>1515</v>
      </c>
      <c r="D179" s="32" t="s">
        <v>1516</v>
      </c>
    </row>
    <row r="180" spans="1:4" ht="15.75" customHeight="1" x14ac:dyDescent="0.25">
      <c r="A180" s="32">
        <v>179</v>
      </c>
      <c r="B180" s="32" t="s">
        <v>1517</v>
      </c>
      <c r="C180" s="32" t="s">
        <v>1518</v>
      </c>
      <c r="D180" s="32" t="s">
        <v>1519</v>
      </c>
    </row>
    <row r="181" spans="1:4" ht="15.75" customHeight="1" x14ac:dyDescent="0.25">
      <c r="A181" s="32">
        <v>180</v>
      </c>
      <c r="B181" s="32" t="s">
        <v>1520</v>
      </c>
      <c r="C181" s="32" t="s">
        <v>1521</v>
      </c>
      <c r="D181" s="32" t="s">
        <v>1522</v>
      </c>
    </row>
    <row r="182" spans="1:4" ht="15.75" customHeight="1" x14ac:dyDescent="0.25">
      <c r="A182" s="32">
        <v>181</v>
      </c>
      <c r="B182" s="32" t="s">
        <v>1523</v>
      </c>
      <c r="C182" s="32" t="s">
        <v>1524</v>
      </c>
      <c r="D182" s="32" t="s">
        <v>1525</v>
      </c>
    </row>
    <row r="183" spans="1:4" ht="15.75" customHeight="1" x14ac:dyDescent="0.25">
      <c r="A183" s="32">
        <v>182</v>
      </c>
      <c r="B183" s="32" t="s">
        <v>1526</v>
      </c>
      <c r="C183" s="32" t="s">
        <v>1527</v>
      </c>
      <c r="D183" s="32" t="s">
        <v>1528</v>
      </c>
    </row>
    <row r="184" spans="1:4" ht="15.75" customHeight="1" x14ac:dyDescent="0.25">
      <c r="A184" s="32">
        <v>183</v>
      </c>
      <c r="B184" s="32" t="s">
        <v>1529</v>
      </c>
      <c r="C184" s="32" t="s">
        <v>1530</v>
      </c>
      <c r="D184" s="32" t="s">
        <v>1531</v>
      </c>
    </row>
    <row r="185" spans="1:4" ht="15.75" customHeight="1" x14ac:dyDescent="0.25">
      <c r="A185" s="32">
        <v>184</v>
      </c>
      <c r="B185" s="32" t="s">
        <v>1532</v>
      </c>
      <c r="C185" s="32" t="s">
        <v>1533</v>
      </c>
      <c r="D185" s="32" t="s">
        <v>1534</v>
      </c>
    </row>
    <row r="186" spans="1:4" ht="15.75" customHeight="1" x14ac:dyDescent="0.25">
      <c r="A186" s="32">
        <v>185</v>
      </c>
      <c r="B186" s="32" t="s">
        <v>1535</v>
      </c>
      <c r="C186" s="32" t="s">
        <v>1536</v>
      </c>
      <c r="D186" s="32" t="s">
        <v>1537</v>
      </c>
    </row>
    <row r="187" spans="1:4" ht="15.75" customHeight="1" x14ac:dyDescent="0.25">
      <c r="A187" s="32">
        <v>186</v>
      </c>
      <c r="B187" s="32" t="s">
        <v>1538</v>
      </c>
      <c r="C187" s="32" t="s">
        <v>1539</v>
      </c>
      <c r="D187" s="32" t="s">
        <v>1540</v>
      </c>
    </row>
    <row r="188" spans="1:4" ht="15.75" customHeight="1" x14ac:dyDescent="0.25">
      <c r="A188" s="32">
        <v>187</v>
      </c>
      <c r="B188" s="32" t="s">
        <v>1541</v>
      </c>
      <c r="C188" s="32" t="s">
        <v>1542</v>
      </c>
      <c r="D188" s="32" t="s">
        <v>1543</v>
      </c>
    </row>
    <row r="189" spans="1:4" ht="15.75" customHeight="1" x14ac:dyDescent="0.25">
      <c r="A189" s="32">
        <v>188</v>
      </c>
      <c r="B189" s="32" t="s">
        <v>1544</v>
      </c>
      <c r="C189" s="32" t="s">
        <v>1545</v>
      </c>
      <c r="D189" s="32" t="s">
        <v>1546</v>
      </c>
    </row>
    <row r="190" spans="1:4" ht="15.75" customHeight="1" x14ac:dyDescent="0.25">
      <c r="A190" s="32">
        <v>189</v>
      </c>
      <c r="B190" s="32" t="s">
        <v>1547</v>
      </c>
      <c r="C190" s="32" t="s">
        <v>1548</v>
      </c>
      <c r="D190" s="32" t="s">
        <v>1549</v>
      </c>
    </row>
    <row r="191" spans="1:4" ht="15.75" customHeight="1" x14ac:dyDescent="0.25">
      <c r="A191" s="32">
        <v>190</v>
      </c>
      <c r="B191" s="32" t="s">
        <v>1550</v>
      </c>
      <c r="C191" s="32" t="s">
        <v>1548</v>
      </c>
      <c r="D191" s="32" t="s">
        <v>1549</v>
      </c>
    </row>
    <row r="192" spans="1:4" ht="15.75" customHeight="1" x14ac:dyDescent="0.25">
      <c r="A192" s="32">
        <v>191</v>
      </c>
      <c r="B192" s="32" t="s">
        <v>1551</v>
      </c>
      <c r="C192" s="32" t="s">
        <v>1552</v>
      </c>
      <c r="D192" s="32" t="s">
        <v>1553</v>
      </c>
    </row>
    <row r="193" spans="1:4" ht="15.75" customHeight="1" x14ac:dyDescent="0.25">
      <c r="A193" s="32">
        <v>192</v>
      </c>
      <c r="B193" s="32" t="s">
        <v>1554</v>
      </c>
      <c r="C193" s="32" t="s">
        <v>1555</v>
      </c>
      <c r="D193" s="32" t="s">
        <v>1556</v>
      </c>
    </row>
    <row r="194" spans="1:4" ht="15.75" customHeight="1" x14ac:dyDescent="0.25">
      <c r="A194" s="32">
        <v>193</v>
      </c>
      <c r="B194" s="32" t="s">
        <v>1557</v>
      </c>
      <c r="C194" s="32" t="s">
        <v>714</v>
      </c>
      <c r="D194" s="32" t="s">
        <v>715</v>
      </c>
    </row>
    <row r="195" spans="1:4" ht="15.75" customHeight="1" x14ac:dyDescent="0.25">
      <c r="A195" s="32">
        <v>194</v>
      </c>
      <c r="B195" s="32" t="s">
        <v>1558</v>
      </c>
      <c r="C195" s="32" t="s">
        <v>717</v>
      </c>
      <c r="D195" s="32" t="s">
        <v>715</v>
      </c>
    </row>
    <row r="196" spans="1:4" ht="15.75" customHeight="1" x14ac:dyDescent="0.25">
      <c r="A196" s="32">
        <v>195</v>
      </c>
      <c r="B196" s="32" t="s">
        <v>1559</v>
      </c>
      <c r="C196" s="32" t="s">
        <v>1560</v>
      </c>
      <c r="D196" s="32" t="s">
        <v>1561</v>
      </c>
    </row>
    <row r="197" spans="1:4" ht="15.75" customHeight="1" x14ac:dyDescent="0.25">
      <c r="A197" s="32">
        <v>196</v>
      </c>
      <c r="B197" s="32" t="s">
        <v>1562</v>
      </c>
      <c r="C197" s="32" t="s">
        <v>1563</v>
      </c>
      <c r="D197" s="32" t="s">
        <v>1564</v>
      </c>
    </row>
    <row r="198" spans="1:4" ht="15.75" customHeight="1" x14ac:dyDescent="0.25">
      <c r="A198" s="32">
        <v>197</v>
      </c>
      <c r="B198" s="32" t="s">
        <v>1565</v>
      </c>
      <c r="C198" s="32" t="s">
        <v>1566</v>
      </c>
      <c r="D198" s="32" t="s">
        <v>1567</v>
      </c>
    </row>
    <row r="199" spans="1:4" ht="15.75" customHeight="1" x14ac:dyDescent="0.25">
      <c r="A199" s="32">
        <v>198</v>
      </c>
      <c r="B199" s="32" t="s">
        <v>1568</v>
      </c>
      <c r="C199" s="32" t="s">
        <v>1569</v>
      </c>
      <c r="D199" s="32" t="s">
        <v>1570</v>
      </c>
    </row>
    <row r="200" spans="1:4" ht="15.75" customHeight="1" x14ac:dyDescent="0.25">
      <c r="A200" s="32">
        <v>199</v>
      </c>
      <c r="B200" s="32" t="s">
        <v>1571</v>
      </c>
      <c r="C200" s="32" t="s">
        <v>1572</v>
      </c>
      <c r="D200" s="32" t="s">
        <v>1573</v>
      </c>
    </row>
    <row r="201" spans="1:4" ht="15.75" customHeight="1" x14ac:dyDescent="0.25">
      <c r="A201" s="32">
        <v>200</v>
      </c>
      <c r="B201" s="35" t="s">
        <v>1574</v>
      </c>
      <c r="C201" s="36" t="s">
        <v>1575</v>
      </c>
      <c r="D201" s="36" t="s">
        <v>1576</v>
      </c>
    </row>
    <row r="202" spans="1:4" ht="15.75" customHeight="1" x14ac:dyDescent="0.25">
      <c r="A202" s="32">
        <v>201</v>
      </c>
      <c r="B202" s="36" t="s">
        <v>1577</v>
      </c>
      <c r="C202" s="37" t="s">
        <v>1578</v>
      </c>
      <c r="D202" s="37" t="s">
        <v>1579</v>
      </c>
    </row>
    <row r="203" spans="1:4" ht="15.75" customHeight="1" x14ac:dyDescent="0.25">
      <c r="A203" s="32">
        <v>202</v>
      </c>
      <c r="B203" s="32" t="s">
        <v>1580</v>
      </c>
      <c r="C203" s="32" t="s">
        <v>1581</v>
      </c>
      <c r="D203" s="32" t="s">
        <v>1582</v>
      </c>
    </row>
    <row r="204" spans="1:4" ht="15.75" customHeight="1" x14ac:dyDescent="0.25">
      <c r="A204" s="32">
        <v>203</v>
      </c>
      <c r="B204" s="32" t="s">
        <v>1583</v>
      </c>
      <c r="C204" s="32" t="s">
        <v>1584</v>
      </c>
      <c r="D204" s="32" t="s">
        <v>1585</v>
      </c>
    </row>
    <row r="205" spans="1:4" ht="15.75" customHeight="1" x14ac:dyDescent="0.25">
      <c r="A205" s="32">
        <v>204</v>
      </c>
      <c r="B205" s="32" t="s">
        <v>1586</v>
      </c>
      <c r="C205" s="32" t="s">
        <v>1587</v>
      </c>
      <c r="D205" s="32" t="s">
        <v>1588</v>
      </c>
    </row>
    <row r="206" spans="1:4" ht="15.75" customHeight="1" x14ac:dyDescent="0.25">
      <c r="A206" s="32">
        <v>205</v>
      </c>
      <c r="B206" s="32" t="s">
        <v>1589</v>
      </c>
      <c r="C206" s="32" t="s">
        <v>1590</v>
      </c>
      <c r="D206" s="32" t="s">
        <v>1591</v>
      </c>
    </row>
    <row r="207" spans="1:4" ht="15.75" customHeight="1" x14ac:dyDescent="0.25">
      <c r="A207" s="32">
        <v>206</v>
      </c>
      <c r="B207" s="32" t="s">
        <v>1592</v>
      </c>
      <c r="C207" s="32" t="s">
        <v>1593</v>
      </c>
      <c r="D207" s="32" t="s">
        <v>1594</v>
      </c>
    </row>
    <row r="208" spans="1:4" ht="15.75" customHeight="1" x14ac:dyDescent="0.25">
      <c r="A208" s="32">
        <v>207</v>
      </c>
      <c r="B208" s="32" t="s">
        <v>1595</v>
      </c>
      <c r="C208" s="32" t="s">
        <v>1596</v>
      </c>
      <c r="D208" s="32" t="s">
        <v>1597</v>
      </c>
    </row>
    <row r="209" spans="1:4" ht="15.75" customHeight="1" x14ac:dyDescent="0.25">
      <c r="A209" s="32">
        <v>208</v>
      </c>
      <c r="B209" s="32" t="s">
        <v>1598</v>
      </c>
      <c r="C209" s="32" t="s">
        <v>1599</v>
      </c>
      <c r="D209" s="32" t="s">
        <v>1600</v>
      </c>
    </row>
    <row r="210" spans="1:4" ht="15.75" customHeight="1" x14ac:dyDescent="0.25">
      <c r="A210" s="32">
        <v>209</v>
      </c>
      <c r="B210" s="32" t="s">
        <v>1601</v>
      </c>
      <c r="C210" s="32" t="s">
        <v>1602</v>
      </c>
      <c r="D210" s="32" t="s">
        <v>1603</v>
      </c>
    </row>
    <row r="211" spans="1:4" ht="15.75" customHeight="1" x14ac:dyDescent="0.25">
      <c r="A211" s="32">
        <v>210</v>
      </c>
      <c r="B211" s="32" t="s">
        <v>1604</v>
      </c>
      <c r="C211" s="32" t="s">
        <v>1605</v>
      </c>
      <c r="D211" s="32" t="s">
        <v>1606</v>
      </c>
    </row>
    <row r="212" spans="1:4" ht="15.75" customHeight="1" x14ac:dyDescent="0.25">
      <c r="A212" s="32">
        <v>211</v>
      </c>
      <c r="B212" s="32" t="s">
        <v>1607</v>
      </c>
      <c r="C212" s="32" t="s">
        <v>1608</v>
      </c>
      <c r="D212" s="32" t="s">
        <v>1609</v>
      </c>
    </row>
    <row r="213" spans="1:4" ht="15.75" customHeight="1" x14ac:dyDescent="0.25">
      <c r="A213" s="32">
        <v>212</v>
      </c>
      <c r="B213" s="38" t="s">
        <v>1610</v>
      </c>
      <c r="C213" s="38" t="s">
        <v>1611</v>
      </c>
      <c r="D213" s="38" t="s">
        <v>1612</v>
      </c>
    </row>
    <row r="214" spans="1:4" ht="15.75" customHeight="1" x14ac:dyDescent="0.25">
      <c r="A214" s="32">
        <v>213</v>
      </c>
      <c r="B214" s="38" t="s">
        <v>1613</v>
      </c>
      <c r="C214" s="38" t="s">
        <v>1614</v>
      </c>
      <c r="D214" s="38" t="s">
        <v>1615</v>
      </c>
    </row>
    <row r="215" spans="1:4" ht="15.75" customHeight="1" x14ac:dyDescent="0.25">
      <c r="A215" s="32">
        <v>214</v>
      </c>
      <c r="B215" s="38" t="s">
        <v>1616</v>
      </c>
      <c r="C215" s="38" t="s">
        <v>1617</v>
      </c>
      <c r="D215" s="38" t="s">
        <v>1618</v>
      </c>
    </row>
    <row r="216" spans="1:4" ht="15.75" customHeight="1" x14ac:dyDescent="0.25">
      <c r="A216" s="32">
        <v>215</v>
      </c>
      <c r="B216" s="38" t="s">
        <v>1619</v>
      </c>
      <c r="C216" s="38" t="s">
        <v>1620</v>
      </c>
      <c r="D216" s="38" t="s">
        <v>1621</v>
      </c>
    </row>
    <row r="217" spans="1:4" ht="15.75" customHeight="1" x14ac:dyDescent="0.25">
      <c r="A217" s="32">
        <v>216</v>
      </c>
      <c r="B217" s="38" t="s">
        <v>1622</v>
      </c>
      <c r="C217" s="38" t="s">
        <v>1623</v>
      </c>
      <c r="D217" s="38" t="s">
        <v>1624</v>
      </c>
    </row>
    <row r="218" spans="1:4" ht="15.75" customHeight="1" x14ac:dyDescent="0.25">
      <c r="A218" s="32">
        <v>217</v>
      </c>
      <c r="B218" s="38" t="s">
        <v>1625</v>
      </c>
      <c r="C218" s="38" t="s">
        <v>1626</v>
      </c>
      <c r="D218" s="38" t="s">
        <v>1627</v>
      </c>
    </row>
    <row r="219" spans="1:4" ht="15.75" customHeight="1" x14ac:dyDescent="0.25">
      <c r="A219" s="32">
        <v>218</v>
      </c>
      <c r="B219" s="38" t="s">
        <v>1628</v>
      </c>
      <c r="C219" s="38" t="s">
        <v>1629</v>
      </c>
      <c r="D219" s="38" t="s">
        <v>1630</v>
      </c>
    </row>
    <row r="220" spans="1:4" ht="15.75" customHeight="1" x14ac:dyDescent="0.25">
      <c r="A220" s="32">
        <v>219</v>
      </c>
      <c r="B220" s="38" t="s">
        <v>1631</v>
      </c>
      <c r="C220" s="38" t="s">
        <v>1632</v>
      </c>
      <c r="D220" s="38" t="s">
        <v>1633</v>
      </c>
    </row>
    <row r="221" spans="1:4" ht="15.75" customHeight="1" x14ac:dyDescent="0.25">
      <c r="A221" s="32">
        <v>220</v>
      </c>
      <c r="B221" s="38" t="s">
        <v>1634</v>
      </c>
      <c r="C221" s="38" t="s">
        <v>1635</v>
      </c>
      <c r="D221" s="38" t="s">
        <v>1636</v>
      </c>
    </row>
    <row r="222" spans="1:4" ht="15.75" customHeight="1" x14ac:dyDescent="0.25">
      <c r="A222" s="32">
        <v>221</v>
      </c>
      <c r="B222" s="38" t="s">
        <v>1637</v>
      </c>
      <c r="C222" s="38" t="s">
        <v>1638</v>
      </c>
      <c r="D222" s="38" t="s">
        <v>1639</v>
      </c>
    </row>
    <row r="223" spans="1:4" ht="15.75" customHeight="1" x14ac:dyDescent="0.25">
      <c r="A223" s="32">
        <v>222</v>
      </c>
      <c r="B223" s="38" t="s">
        <v>1640</v>
      </c>
      <c r="C223" s="38" t="s">
        <v>1641</v>
      </c>
      <c r="D223" s="38" t="s">
        <v>1642</v>
      </c>
    </row>
    <row r="224" spans="1:4" ht="15.75" customHeight="1" x14ac:dyDescent="0.25">
      <c r="A224" s="32">
        <v>223</v>
      </c>
      <c r="B224" s="38" t="s">
        <v>1643</v>
      </c>
      <c r="C224" s="38" t="s">
        <v>1644</v>
      </c>
      <c r="D224" s="38" t="s">
        <v>1645</v>
      </c>
    </row>
    <row r="225" spans="1:4" ht="15.75" customHeight="1" x14ac:dyDescent="0.25">
      <c r="A225" s="32">
        <v>224</v>
      </c>
      <c r="B225" s="38" t="s">
        <v>1646</v>
      </c>
      <c r="C225" s="38" t="s">
        <v>1647</v>
      </c>
      <c r="D225" s="38" t="s">
        <v>1648</v>
      </c>
    </row>
    <row r="226" spans="1:4" ht="15.75" customHeight="1" x14ac:dyDescent="0.25">
      <c r="A226" s="32">
        <v>225</v>
      </c>
      <c r="B226" s="38" t="s">
        <v>1649</v>
      </c>
      <c r="C226" s="38" t="s">
        <v>1650</v>
      </c>
      <c r="D226" s="38" t="s">
        <v>1651</v>
      </c>
    </row>
    <row r="227" spans="1:4" ht="15.75" customHeight="1" x14ac:dyDescent="0.25">
      <c r="A227" s="32">
        <v>226</v>
      </c>
      <c r="B227" s="38" t="s">
        <v>1652</v>
      </c>
      <c r="C227" s="38" t="s">
        <v>1653</v>
      </c>
      <c r="D227" s="38" t="s">
        <v>1654</v>
      </c>
    </row>
    <row r="228" spans="1:4" ht="15.75" customHeight="1" x14ac:dyDescent="0.25">
      <c r="A228" s="32">
        <v>227</v>
      </c>
      <c r="B228" s="38" t="s">
        <v>1655</v>
      </c>
      <c r="C228" s="38" t="s">
        <v>1656</v>
      </c>
      <c r="D228" s="38" t="s">
        <v>1657</v>
      </c>
    </row>
    <row r="229" spans="1:4" ht="15.75" customHeight="1" x14ac:dyDescent="0.25">
      <c r="A229" s="32">
        <v>228</v>
      </c>
      <c r="B229" s="38" t="s">
        <v>1658</v>
      </c>
      <c r="C229" s="38" t="s">
        <v>1659</v>
      </c>
      <c r="D229" s="38" t="s">
        <v>1660</v>
      </c>
    </row>
    <row r="230" spans="1:4" ht="15.75" customHeight="1" x14ac:dyDescent="0.25">
      <c r="A230" s="32">
        <v>229</v>
      </c>
      <c r="B230" s="38" t="s">
        <v>1661</v>
      </c>
      <c r="C230" s="38" t="s">
        <v>1662</v>
      </c>
      <c r="D230" s="38" t="s">
        <v>1663</v>
      </c>
    </row>
    <row r="231" spans="1:4" ht="15.75" customHeight="1" x14ac:dyDescent="0.25">
      <c r="A231" s="32">
        <v>230</v>
      </c>
      <c r="B231" s="38" t="s">
        <v>1664</v>
      </c>
      <c r="C231" s="38" t="s">
        <v>1665</v>
      </c>
      <c r="D231" s="38" t="s">
        <v>1666</v>
      </c>
    </row>
    <row r="232" spans="1:4" ht="15.75" customHeight="1" x14ac:dyDescent="0.25">
      <c r="A232" s="32">
        <v>231</v>
      </c>
      <c r="B232" s="38" t="s">
        <v>1667</v>
      </c>
      <c r="C232" s="38" t="s">
        <v>1668</v>
      </c>
      <c r="D232" s="38" t="s">
        <v>1669</v>
      </c>
    </row>
    <row r="233" spans="1:4" ht="15.75" customHeight="1" x14ac:dyDescent="0.25">
      <c r="A233" s="32">
        <v>232</v>
      </c>
      <c r="B233" s="38" t="s">
        <v>1670</v>
      </c>
      <c r="C233" s="38" t="s">
        <v>1671</v>
      </c>
      <c r="D233" s="38" t="s">
        <v>1672</v>
      </c>
    </row>
    <row r="234" spans="1:4" ht="15.75" customHeight="1" x14ac:dyDescent="0.25">
      <c r="A234" s="32">
        <v>233</v>
      </c>
      <c r="B234" s="38" t="s">
        <v>1673</v>
      </c>
      <c r="C234" s="38" t="s">
        <v>1674</v>
      </c>
      <c r="D234" s="38" t="s">
        <v>1675</v>
      </c>
    </row>
    <row r="235" spans="1:4" ht="15.75" customHeight="1" x14ac:dyDescent="0.25">
      <c r="A235" s="32">
        <v>234</v>
      </c>
      <c r="B235" s="38" t="s">
        <v>1676</v>
      </c>
      <c r="C235" s="38" t="s">
        <v>1677</v>
      </c>
      <c r="D235" s="38" t="s">
        <v>1678</v>
      </c>
    </row>
    <row r="236" spans="1:4" ht="15.75" customHeight="1" x14ac:dyDescent="0.25">
      <c r="A236" s="32">
        <v>235</v>
      </c>
      <c r="B236" s="38" t="s">
        <v>1679</v>
      </c>
      <c r="C236" t="s">
        <v>3146</v>
      </c>
      <c r="D236" s="38" t="s">
        <v>1680</v>
      </c>
    </row>
    <row r="237" spans="1:4" ht="15.75" customHeight="1" x14ac:dyDescent="0.25">
      <c r="A237" s="32">
        <v>236</v>
      </c>
      <c r="B237" s="38" t="s">
        <v>1681</v>
      </c>
      <c r="C237" s="38" t="s">
        <v>1682</v>
      </c>
      <c r="D237" s="38" t="s">
        <v>1683</v>
      </c>
    </row>
    <row r="238" spans="1:4" ht="15.75" customHeight="1" x14ac:dyDescent="0.25">
      <c r="A238" s="32">
        <v>237</v>
      </c>
      <c r="B238" s="38" t="s">
        <v>1684</v>
      </c>
      <c r="C238" s="38" t="s">
        <v>1685</v>
      </c>
      <c r="D238" s="38" t="s">
        <v>1686</v>
      </c>
    </row>
    <row r="239" spans="1:4" ht="15.75" customHeight="1" x14ac:dyDescent="0.25">
      <c r="A239" s="32">
        <v>238</v>
      </c>
      <c r="B239" s="38" t="s">
        <v>1687</v>
      </c>
      <c r="C239" s="38" t="s">
        <v>1688</v>
      </c>
      <c r="D239" s="38" t="s">
        <v>1689</v>
      </c>
    </row>
    <row r="240" spans="1: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3.5703125" customWidth="1"/>
    <col min="3" max="4" width="93.140625" customWidth="1"/>
  </cols>
  <sheetData>
    <row r="1" spans="1:4" x14ac:dyDescent="0.25">
      <c r="A1" s="5" t="s">
        <v>0</v>
      </c>
      <c r="B1" s="5" t="s">
        <v>1690</v>
      </c>
      <c r="C1" s="39" t="s">
        <v>3</v>
      </c>
      <c r="D1" s="5" t="s">
        <v>5</v>
      </c>
    </row>
    <row r="2" spans="1:4" x14ac:dyDescent="0.25">
      <c r="A2" s="40">
        <v>1</v>
      </c>
      <c r="B2" s="41" t="s">
        <v>1691</v>
      </c>
      <c r="C2" s="41" t="str">
        <f ca="1">VLOOKUP(B2,lists!A$2:B1000,2)</f>
        <v>Концентрация оксида углерода</v>
      </c>
      <c r="D2" s="41" t="s">
        <v>1692</v>
      </c>
    </row>
    <row r="3" spans="1:4" x14ac:dyDescent="0.25">
      <c r="A3" s="40">
        <v>2</v>
      </c>
      <c r="B3" s="41" t="s">
        <v>1693</v>
      </c>
      <c r="C3" s="41" t="str">
        <f ca="1">VLOOKUP(B3,lists!A$2:B1000,2)</f>
        <v>Концентрация диоксида углерода</v>
      </c>
      <c r="D3" s="41" t="s">
        <v>1694</v>
      </c>
    </row>
    <row r="4" spans="1:4" x14ac:dyDescent="0.25">
      <c r="A4" s="40">
        <v>3</v>
      </c>
      <c r="B4" s="41" t="s">
        <v>1695</v>
      </c>
      <c r="C4" s="41" t="str">
        <f ca="1">VLOOKUP(B4,lists!A$2:B1000,2)</f>
        <v>Концентрация метана</v>
      </c>
      <c r="D4" s="41" t="s">
        <v>1696</v>
      </c>
    </row>
    <row r="5" spans="1:4" x14ac:dyDescent="0.25">
      <c r="A5" s="40">
        <v>4</v>
      </c>
      <c r="B5" s="41" t="s">
        <v>1697</v>
      </c>
      <c r="C5" s="41" t="str">
        <f ca="1">VLOOKUP(B5,lists!A$2:B1000,2)</f>
        <v>Концентрация этилена</v>
      </c>
      <c r="D5" s="41" t="s">
        <v>1698</v>
      </c>
    </row>
    <row r="6" spans="1:4" x14ac:dyDescent="0.25">
      <c r="A6" s="40">
        <v>5</v>
      </c>
      <c r="B6" s="41" t="s">
        <v>1699</v>
      </c>
      <c r="C6" s="41" t="str">
        <f ca="1">VLOOKUP(B6,lists!A$2:B1000,2)</f>
        <v>Концентрация этана</v>
      </c>
      <c r="D6" s="41" t="s">
        <v>1700</v>
      </c>
    </row>
    <row r="7" spans="1:4" x14ac:dyDescent="0.25">
      <c r="A7" s="40">
        <v>6</v>
      </c>
      <c r="B7" s="41" t="s">
        <v>1701</v>
      </c>
      <c r="C7" s="41" t="str">
        <f ca="1">VLOOKUP(B7,lists!A$2:B1000,2)</f>
        <v>Концентрация ацетилена</v>
      </c>
      <c r="D7" s="41" t="s">
        <v>1702</v>
      </c>
    </row>
    <row r="8" spans="1:4" x14ac:dyDescent="0.25">
      <c r="A8" s="40">
        <v>7</v>
      </c>
      <c r="B8" s="41" t="s">
        <v>1703</v>
      </c>
      <c r="C8" s="41" t="str">
        <f ca="1">VLOOKUP(B8,lists!A$2:B1000,2)</f>
        <v>Концентрация водорода</v>
      </c>
      <c r="D8" s="41" t="s">
        <v>1704</v>
      </c>
    </row>
    <row r="9" spans="1:4" x14ac:dyDescent="0.25">
      <c r="A9" s="40">
        <v>8</v>
      </c>
      <c r="B9" s="41" t="s">
        <v>1705</v>
      </c>
      <c r="C9" s="41" t="str">
        <f ca="1">VLOOKUP(B9,lists!A$2:B1000,2)</f>
        <v>Счётчик недопустимых по паузе перенапряжений</v>
      </c>
      <c r="D9" s="41" t="s">
        <v>1706</v>
      </c>
    </row>
    <row r="10" spans="1:4" x14ac:dyDescent="0.25">
      <c r="A10" s="40">
        <v>9</v>
      </c>
      <c r="B10" s="41" t="s">
        <v>1707</v>
      </c>
      <c r="C10" s="41" t="str">
        <f ca="1">VLOOKUP(B10,lists!A$2:B1000,2)</f>
        <v>Счётчик недопустимых по паузе перенапряжений</v>
      </c>
      <c r="D10" s="41" t="s">
        <v>1708</v>
      </c>
    </row>
    <row r="11" spans="1:4" x14ac:dyDescent="0.25">
      <c r="A11" s="40">
        <v>10</v>
      </c>
      <c r="B11" s="41" t="s">
        <v>1709</v>
      </c>
      <c r="C11" s="41" t="str">
        <f ca="1">VLOOKUP(B11,lists!A$2:B1000,2)</f>
        <v>Счётчик недопустимых по паузе перенапряжений</v>
      </c>
      <c r="D11" s="41" t="s">
        <v>1710</v>
      </c>
    </row>
    <row r="12" spans="1:4" x14ac:dyDescent="0.25">
      <c r="A12" s="40">
        <v>11</v>
      </c>
      <c r="B12" s="41" t="s">
        <v>1711</v>
      </c>
      <c r="C12" s="41" t="str">
        <f ca="1">VLOOKUP(B12,lists!A$2:B1000,2)</f>
        <v>Счётчик недопустимых по паузе перенапряжений</v>
      </c>
      <c r="D12" s="41" t="s">
        <v>1712</v>
      </c>
    </row>
    <row r="13" spans="1:4" x14ac:dyDescent="0.25">
      <c r="A13" s="40">
        <v>12</v>
      </c>
      <c r="B13" s="41" t="s">
        <v>1713</v>
      </c>
      <c r="C13" s="41" t="str">
        <f ca="1">VLOOKUP(B13,lists!A$2:B1000,2)</f>
        <v>Счётчик недопустимых по паузе перенапряжений</v>
      </c>
      <c r="D13" s="41" t="s">
        <v>947</v>
      </c>
    </row>
    <row r="14" spans="1:4" x14ac:dyDescent="0.25">
      <c r="A14" s="40">
        <v>13</v>
      </c>
      <c r="B14" s="41" t="s">
        <v>1714</v>
      </c>
      <c r="C14" s="41" t="str">
        <f ca="1">VLOOKUP(B14,lists!A$2:B1000,2)</f>
        <v>Счётчик недопустимых по паузе перенапряжений</v>
      </c>
      <c r="D14" s="41" t="s">
        <v>962</v>
      </c>
    </row>
    <row r="15" spans="1:4" x14ac:dyDescent="0.25">
      <c r="A15" s="40">
        <v>14</v>
      </c>
      <c r="B15" s="41" t="s">
        <v>1715</v>
      </c>
      <c r="C15" s="41" t="str">
        <f ca="1">VLOOKUP(B15,lists!A$2:B1000,2)</f>
        <v>Концентрация оксида углерода (офлайн)</v>
      </c>
      <c r="D15" s="41" t="s">
        <v>1716</v>
      </c>
    </row>
    <row r="16" spans="1:4" x14ac:dyDescent="0.25">
      <c r="A16" s="40">
        <v>15</v>
      </c>
      <c r="B16" s="41" t="s">
        <v>1717</v>
      </c>
      <c r="C16" s="41" t="str">
        <f ca="1">VLOOKUP(B16,lists!A$2:B1000,2)</f>
        <v>Концентрация диоксида углерода (офлайн)</v>
      </c>
      <c r="D16" s="41" t="s">
        <v>1718</v>
      </c>
    </row>
    <row r="17" spans="1:4" x14ac:dyDescent="0.25">
      <c r="A17" s="40">
        <v>16</v>
      </c>
      <c r="B17" s="41" t="s">
        <v>1719</v>
      </c>
      <c r="C17" s="41" t="str">
        <f ca="1">VLOOKUP(B17,lists!A$2:B1000,2)</f>
        <v>Концентрация метана (офлайн)</v>
      </c>
      <c r="D17" s="41" t="s">
        <v>1720</v>
      </c>
    </row>
    <row r="18" spans="1:4" x14ac:dyDescent="0.25">
      <c r="A18" s="40">
        <v>17</v>
      </c>
      <c r="B18" s="41" t="s">
        <v>1721</v>
      </c>
      <c r="C18" s="41" t="str">
        <f ca="1">VLOOKUP(B18,lists!A$2:B1000,2)</f>
        <v>Концентрация этана (офлайн)</v>
      </c>
      <c r="D18" s="41" t="s">
        <v>1722</v>
      </c>
    </row>
    <row r="19" spans="1:4" x14ac:dyDescent="0.25">
      <c r="A19" s="40">
        <v>18</v>
      </c>
      <c r="B19" s="41" t="s">
        <v>1723</v>
      </c>
      <c r="C19" s="41" t="str">
        <f ca="1">VLOOKUP(B19,lists!A$2:B1000,2)</f>
        <v>Концентрация этилена (офлайн)</v>
      </c>
      <c r="D19" s="41" t="s">
        <v>1724</v>
      </c>
    </row>
    <row r="20" spans="1:4" x14ac:dyDescent="0.25">
      <c r="A20" s="40">
        <v>19</v>
      </c>
      <c r="B20" s="41" t="s">
        <v>1725</v>
      </c>
      <c r="C20" s="41" t="str">
        <f ca="1">VLOOKUP(B20,lists!A$2:B1000,2)</f>
        <v>Концентрация ацетилена (офлайн)</v>
      </c>
      <c r="D20" s="41" t="s">
        <v>1726</v>
      </c>
    </row>
    <row r="21" spans="1:4" ht="15.75" customHeight="1" x14ac:dyDescent="0.25">
      <c r="A21" s="40">
        <v>20</v>
      </c>
      <c r="B21" s="41" t="s">
        <v>1727</v>
      </c>
      <c r="C21" s="41" t="str">
        <f ca="1">VLOOKUP(B21,lists!A$2:B1000,2)</f>
        <v>Концентрация водорода (офлайн)</v>
      </c>
      <c r="D21" s="41" t="s">
        <v>1728</v>
      </c>
    </row>
    <row r="22" spans="1:4" ht="15.75" customHeight="1" x14ac:dyDescent="0.25">
      <c r="A22" s="40">
        <v>21</v>
      </c>
      <c r="B22" s="41" t="s">
        <v>1729</v>
      </c>
      <c r="C22" s="41" t="str">
        <f ca="1">VLOOKUP(B22,lists!A$2:B1000,2)</f>
        <v>Счётчик недопустимых по паузе перенапряжений</v>
      </c>
      <c r="D22" s="41" t="s">
        <v>1730</v>
      </c>
    </row>
    <row r="23" spans="1:4" ht="15.75" customHeight="1" x14ac:dyDescent="0.25">
      <c r="A23" s="40">
        <v>22</v>
      </c>
      <c r="B23" s="41" t="s">
        <v>1731</v>
      </c>
      <c r="C23" s="41" t="str">
        <f ca="1">VLOOKUP(B23,lists!A$2:B1000,2)</f>
        <v>Счётчик недопустимых по паузе перенапряжений</v>
      </c>
      <c r="D23" s="41" t="s">
        <v>1732</v>
      </c>
    </row>
    <row r="24" spans="1:4" ht="15.75" customHeight="1" x14ac:dyDescent="0.25">
      <c r="A24" s="40">
        <v>23</v>
      </c>
      <c r="B24" s="41" t="s">
        <v>1733</v>
      </c>
      <c r="C24" s="41" t="str">
        <f ca="1">VLOOKUP(B24,lists!A$2:B1000,2)</f>
        <v>Счётчик недопустимых по паузе перенапряжений</v>
      </c>
      <c r="D24" s="41" t="s">
        <v>950</v>
      </c>
    </row>
    <row r="25" spans="1:4" ht="15.75" customHeight="1" x14ac:dyDescent="0.25">
      <c r="A25" s="40">
        <v>24</v>
      </c>
      <c r="B25" s="41" t="s">
        <v>1734</v>
      </c>
      <c r="C25" s="41" t="str">
        <f ca="1">VLOOKUP(B25,lists!A$2:B1000,2)</f>
        <v>Ток утечки через основную изоляцию ввода ВН, фаза A</v>
      </c>
      <c r="D25" s="41" t="s">
        <v>1735</v>
      </c>
    </row>
    <row r="26" spans="1:4" ht="15.75" customHeight="1" x14ac:dyDescent="0.25">
      <c r="A26" s="40">
        <v>25</v>
      </c>
      <c r="B26" s="41" t="s">
        <v>1736</v>
      </c>
      <c r="C26" s="41" t="str">
        <f ca="1">VLOOKUP(B26,lists!A$2:B1000,2)</f>
        <v>Ток утечки через основную изоляцию ввода ВН, фаза B</v>
      </c>
      <c r="D26" s="42" t="s">
        <v>1737</v>
      </c>
    </row>
    <row r="27" spans="1:4" ht="15.75" customHeight="1" x14ac:dyDescent="0.25">
      <c r="A27" s="40">
        <v>26</v>
      </c>
      <c r="B27" s="41" t="s">
        <v>1738</v>
      </c>
      <c r="C27" s="41" t="str">
        <f ca="1">VLOOKUP(B27,lists!A$2:B1000,2)</f>
        <v>Токутечки через основную изоляцию ввода ВН, фаза C</v>
      </c>
      <c r="D27" s="42" t="s">
        <v>1739</v>
      </c>
    </row>
    <row r="28" spans="1:4" ht="15.75" customHeight="1" x14ac:dyDescent="0.25">
      <c r="A28" s="40">
        <v>27</v>
      </c>
      <c r="B28" s="41" t="s">
        <v>1740</v>
      </c>
      <c r="C28" s="41" t="str">
        <f ca="1">VLOOKUP(B28,lists!A$2:B1000,2)</f>
        <v>Положение выключателя</v>
      </c>
      <c r="D28" s="41" t="s">
        <v>1741</v>
      </c>
    </row>
    <row r="29" spans="1:4" ht="15.75" customHeight="1" x14ac:dyDescent="0.25">
      <c r="A29" s="40">
        <v>28</v>
      </c>
      <c r="B29" s="41" t="s">
        <v>1742</v>
      </c>
      <c r="C29" s="41" t="str">
        <f ca="1">VLOOKUP(B29,lists!A$2:B1000,2)</f>
        <v>Изменение тангенса дельта основной изоляции ввода ВН, фаза A</v>
      </c>
      <c r="D29" s="41" t="s">
        <v>1743</v>
      </c>
    </row>
    <row r="30" spans="1:4" ht="15.75" customHeight="1" x14ac:dyDescent="0.25">
      <c r="A30" s="40">
        <v>29</v>
      </c>
      <c r="B30" s="41" t="s">
        <v>1744</v>
      </c>
      <c r="C30" s="41" t="str">
        <f ca="1">VLOOKUP(B30,lists!A$2:B1000,2)</f>
        <v>Положение выключателя</v>
      </c>
      <c r="D30" s="41" t="s">
        <v>1745</v>
      </c>
    </row>
    <row r="31" spans="1:4" ht="15.75" customHeight="1" x14ac:dyDescent="0.25">
      <c r="A31" s="40">
        <v>30</v>
      </c>
      <c r="B31" s="41" t="s">
        <v>1746</v>
      </c>
      <c r="C31" s="41" t="str">
        <f ca="1">VLOOKUP(B31,lists!A$2:B1000,2)</f>
        <v>Положение выключателя</v>
      </c>
      <c r="D31" s="41" t="s">
        <v>1747</v>
      </c>
    </row>
    <row r="32" spans="1:4" ht="15.75" customHeight="1" x14ac:dyDescent="0.25">
      <c r="A32" s="40">
        <v>31</v>
      </c>
      <c r="B32" s="41" t="s">
        <v>1748</v>
      </c>
      <c r="C32" s="41" t="str">
        <f ca="1">VLOOKUP(B32,lists!A$2:B1000,2)</f>
        <v>Положение выключателя</v>
      </c>
      <c r="D32" s="41" t="s">
        <v>1749</v>
      </c>
    </row>
    <row r="33" spans="1:4" ht="15.75" customHeight="1" x14ac:dyDescent="0.25">
      <c r="A33" s="40">
        <v>32</v>
      </c>
      <c r="B33" s="41" t="s">
        <v>1750</v>
      </c>
      <c r="C33" s="41" t="str">
        <f ca="1">VLOOKUP(B33,lists!A$2:B1000,2)</f>
        <v>Положение выключателя</v>
      </c>
      <c r="D33" s="41" t="s">
        <v>1751</v>
      </c>
    </row>
    <row r="34" spans="1:4" ht="15.75" customHeight="1" x14ac:dyDescent="0.25">
      <c r="A34" s="40">
        <v>33</v>
      </c>
      <c r="B34" s="41" t="s">
        <v>1752</v>
      </c>
      <c r="C34" s="41" t="str">
        <f ca="1">VLOOKUP(B34,lists!A$2:B1000,2)</f>
        <v>Изменение тангенса дельта основной изоляции ввода ВН, фаза B</v>
      </c>
      <c r="D34" s="41" t="s">
        <v>1753</v>
      </c>
    </row>
    <row r="35" spans="1:4" ht="15.75" customHeight="1" x14ac:dyDescent="0.25">
      <c r="A35" s="40">
        <v>34</v>
      </c>
      <c r="B35" s="41" t="s">
        <v>1754</v>
      </c>
      <c r="C35" s="41" t="str">
        <f ca="1">VLOOKUP(B35,lists!A$2:B1000,2)</f>
        <v>Тангенс дельта основной изоляции ввода ВН, фаза A</v>
      </c>
      <c r="D35" s="41" t="s">
        <v>1755</v>
      </c>
    </row>
    <row r="36" spans="1:4" ht="15.75" customHeight="1" x14ac:dyDescent="0.25">
      <c r="A36" s="40">
        <v>35</v>
      </c>
      <c r="B36" s="41" t="s">
        <v>1756</v>
      </c>
      <c r="C36" s="41" t="str">
        <f ca="1">VLOOKUP(B36,lists!A$2:B1000,2)</f>
        <v>Тангенс дельта основной изоляции ввода ВН, фаза B</v>
      </c>
      <c r="D36" s="41" t="s">
        <v>1757</v>
      </c>
    </row>
    <row r="37" spans="1:4" ht="15.75" customHeight="1" x14ac:dyDescent="0.25">
      <c r="A37" s="40">
        <v>36</v>
      </c>
      <c r="B37" s="41" t="s">
        <v>1758</v>
      </c>
      <c r="C37" s="41" t="str">
        <f ca="1">VLOOKUP(B37,lists!A$2:B1000,2)</f>
        <v>Тангенс дельта основной изоляции ввода ВН, фаза C</v>
      </c>
      <c r="D37" s="41" t="s">
        <v>1759</v>
      </c>
    </row>
    <row r="38" spans="1:4" ht="15.75" customHeight="1" x14ac:dyDescent="0.25">
      <c r="A38" s="40">
        <v>37</v>
      </c>
      <c r="B38" s="41" t="s">
        <v>1760</v>
      </c>
      <c r="C38" s="41" t="str">
        <f ca="1">VLOOKUP(B38,lists!A$2:B1000,2)</f>
        <v>Изменение ёмкости С1 ввода ВН, фаза C</v>
      </c>
      <c r="D38" s="41" t="s">
        <v>1761</v>
      </c>
    </row>
    <row r="39" spans="1:4" ht="15.75" customHeight="1" x14ac:dyDescent="0.25">
      <c r="A39" s="40">
        <v>38</v>
      </c>
      <c r="B39" s="41" t="s">
        <v>1762</v>
      </c>
      <c r="C39" s="41" t="str">
        <f ca="1">VLOOKUP(B39,lists!A$2:B1000,2)</f>
        <v>Изменение тангенса дельта основной изоляции ввода ВН, фаза C</v>
      </c>
      <c r="D39" s="41" t="s">
        <v>1763</v>
      </c>
    </row>
    <row r="40" spans="1:4" ht="15.75" customHeight="1" x14ac:dyDescent="0.25">
      <c r="A40" s="40">
        <v>39</v>
      </c>
      <c r="B40" s="41" t="s">
        <v>1764</v>
      </c>
      <c r="C40" s="41" t="str">
        <f ca="1">VLOOKUP(B40,lists!A$2:B1000,2)</f>
        <v>Прогноз развития концентрации: оксид углерода</v>
      </c>
      <c r="D40" s="41" t="s">
        <v>1765</v>
      </c>
    </row>
    <row r="41" spans="1:4" ht="15.75" customHeight="1" x14ac:dyDescent="0.25">
      <c r="A41" s="40">
        <v>40</v>
      </c>
      <c r="B41" s="41" t="s">
        <v>1766</v>
      </c>
      <c r="C41" s="41" t="str">
        <f ca="1">VLOOKUP(B41,lists!A$2:B1000,2)</f>
        <v>Прогноз развития концентрации: диоксид углерода</v>
      </c>
      <c r="D41" s="41" t="s">
        <v>1767</v>
      </c>
    </row>
    <row r="42" spans="1:4" ht="15.75" customHeight="1" x14ac:dyDescent="0.25">
      <c r="A42" s="40">
        <v>41</v>
      </c>
      <c r="B42" s="41" t="s">
        <v>1768</v>
      </c>
      <c r="C42" s="41" t="str">
        <f ca="1">VLOOKUP(B42,lists!A$2:B1000,2)</f>
        <v>Прогноз развития концентрации: метан</v>
      </c>
      <c r="D42" s="41" t="s">
        <v>1769</v>
      </c>
    </row>
    <row r="43" spans="1:4" ht="15.75" customHeight="1" x14ac:dyDescent="0.25">
      <c r="A43" s="40">
        <v>42</v>
      </c>
      <c r="B43" s="41" t="s">
        <v>1770</v>
      </c>
      <c r="C43" s="41" t="str">
        <f ca="1">VLOOKUP(B43,lists!A$2:B1000,2)</f>
        <v>Прогноз развития концентрации: этан</v>
      </c>
      <c r="D43" s="41" t="s">
        <v>1771</v>
      </c>
    </row>
    <row r="44" spans="1:4" ht="15.75" customHeight="1" x14ac:dyDescent="0.25">
      <c r="A44" s="40">
        <v>43</v>
      </c>
      <c r="B44" s="41" t="s">
        <v>1772</v>
      </c>
      <c r="C44" s="41" t="str">
        <f ca="1">VLOOKUP(B44,lists!A$2:B1000,2)</f>
        <v>Прогноз развития концентрации: этилен</v>
      </c>
      <c r="D44" s="41" t="s">
        <v>1773</v>
      </c>
    </row>
    <row r="45" spans="1:4" ht="15.75" customHeight="1" x14ac:dyDescent="0.25">
      <c r="A45" s="40">
        <v>44</v>
      </c>
      <c r="B45" s="41" t="s">
        <v>1774</v>
      </c>
      <c r="C45" s="41" t="str">
        <f ca="1">VLOOKUP(B45,lists!A$2:B1000,2)</f>
        <v>Прогноз развития концентрации: ацетилен</v>
      </c>
      <c r="D45" s="41" t="s">
        <v>1775</v>
      </c>
    </row>
    <row r="46" spans="1:4" ht="15.75" customHeight="1" x14ac:dyDescent="0.25">
      <c r="A46" s="40">
        <v>45</v>
      </c>
      <c r="B46" s="41" t="s">
        <v>1776</v>
      </c>
      <c r="C46" s="41" t="str">
        <f ca="1">VLOOKUP(B46,lists!A$2:B1000,2)</f>
        <v>Прогноз развития концентрации: водород</v>
      </c>
      <c r="D46" s="41" t="s">
        <v>1777</v>
      </c>
    </row>
    <row r="47" spans="1:4" ht="15.75" customHeight="1" x14ac:dyDescent="0.25">
      <c r="A47" s="40">
        <v>46</v>
      </c>
      <c r="B47" s="41" t="s">
        <v>1778</v>
      </c>
      <c r="C47" s="41" t="str">
        <f ca="1">VLOOKUP(B47,lists!A$2:B1000,2)</f>
        <v>Скорость роста концентрации водорода абсолютная, сутки</v>
      </c>
      <c r="D47" s="41" t="s">
        <v>1779</v>
      </c>
    </row>
    <row r="48" spans="1:4" ht="15.75" customHeight="1" x14ac:dyDescent="0.25">
      <c r="A48" s="40">
        <v>47</v>
      </c>
      <c r="B48" s="41" t="s">
        <v>1780</v>
      </c>
      <c r="C48" s="41" t="str">
        <f ca="1">VLOOKUP(B48,lists!A$2:B1000,2)</f>
        <v>Скорость роста концентрации оксида углерода абсолютная, сутки</v>
      </c>
      <c r="D48" s="41" t="s">
        <v>1781</v>
      </c>
    </row>
    <row r="49" spans="1:4" ht="15.75" customHeight="1" x14ac:dyDescent="0.25">
      <c r="A49" s="40">
        <v>48</v>
      </c>
      <c r="B49" s="41" t="s">
        <v>1782</v>
      </c>
      <c r="C49" s="41" t="str">
        <f ca="1">VLOOKUP(B49,lists!A$2:B1000,2)</f>
        <v>Скорость роста концентрации диоксида углерода абсолютная, сутки</v>
      </c>
      <c r="D49" s="41" t="s">
        <v>1783</v>
      </c>
    </row>
    <row r="50" spans="1:4" ht="15.75" customHeight="1" x14ac:dyDescent="0.25">
      <c r="A50" s="40">
        <v>49</v>
      </c>
      <c r="B50" s="41" t="s">
        <v>1784</v>
      </c>
      <c r="C50" s="41" t="str">
        <f ca="1">VLOOKUP(B50,lists!A$2:B1000,2)</f>
        <v>Скорость роста концентрации метана абсолютная, сутки</v>
      </c>
      <c r="D50" s="41" t="s">
        <v>1785</v>
      </c>
    </row>
    <row r="51" spans="1:4" ht="15.75" customHeight="1" x14ac:dyDescent="0.25">
      <c r="A51" s="40">
        <v>50</v>
      </c>
      <c r="B51" s="41" t="s">
        <v>1786</v>
      </c>
      <c r="C51" s="41" t="str">
        <f ca="1">VLOOKUP(B51,lists!A$2:B1000,2)</f>
        <v>Скорость роста концентрации этана абсолютная, сутки</v>
      </c>
      <c r="D51" s="41" t="s">
        <v>1787</v>
      </c>
    </row>
    <row r="52" spans="1:4" ht="15.75" customHeight="1" x14ac:dyDescent="0.25">
      <c r="A52" s="40">
        <v>51</v>
      </c>
      <c r="B52" s="41" t="s">
        <v>1788</v>
      </c>
      <c r="C52" s="41" t="str">
        <f ca="1">VLOOKUP(B52,lists!A$2:B1000,2)</f>
        <v>Скорость роста концентрации этилена абсолютная, сутки</v>
      </c>
      <c r="D52" s="41" t="s">
        <v>1789</v>
      </c>
    </row>
    <row r="53" spans="1:4" ht="15.75" customHeight="1" x14ac:dyDescent="0.25">
      <c r="A53" s="40">
        <v>52</v>
      </c>
      <c r="B53" s="41" t="s">
        <v>1790</v>
      </c>
      <c r="C53" s="41" t="str">
        <f ca="1">VLOOKUP(B53,lists!A$2:B1000,2)</f>
        <v>Скорость роста концентрации ацетилена абсолютная, сутки</v>
      </c>
      <c r="D53" s="41" t="s">
        <v>1791</v>
      </c>
    </row>
    <row r="54" spans="1:4" ht="15.75" customHeight="1" x14ac:dyDescent="0.25">
      <c r="A54" s="40">
        <v>53</v>
      </c>
      <c r="B54" s="41" t="s">
        <v>1792</v>
      </c>
      <c r="C54" s="41" t="str">
        <f ca="1">VLOOKUP(B54,lists!A$2:B1000,2)</f>
        <v>Скорость роста концентрации водорода абсолютная, неделя</v>
      </c>
      <c r="D54" s="41" t="s">
        <v>1793</v>
      </c>
    </row>
    <row r="55" spans="1:4" ht="15.75" customHeight="1" x14ac:dyDescent="0.25">
      <c r="A55" s="40">
        <v>54</v>
      </c>
      <c r="B55" s="41" t="s">
        <v>1794</v>
      </c>
      <c r="C55" s="41" t="str">
        <f ca="1">VLOOKUP(B55,lists!A$2:B1000,2)</f>
        <v>Скорость роста концентрации оксида углерода абсолютная, неделя</v>
      </c>
      <c r="D55" s="41" t="s">
        <v>1795</v>
      </c>
    </row>
    <row r="56" spans="1:4" ht="15.75" customHeight="1" x14ac:dyDescent="0.25">
      <c r="A56" s="40">
        <v>55</v>
      </c>
      <c r="B56" s="41" t="s">
        <v>1796</v>
      </c>
      <c r="C56" s="41" t="str">
        <f ca="1">VLOOKUP(B56,lists!A$2:B1000,2)</f>
        <v>Скорость роста концентрации диоксида углерода абсолютная, неделя</v>
      </c>
      <c r="D56" s="41" t="s">
        <v>1797</v>
      </c>
    </row>
    <row r="57" spans="1:4" ht="15.75" customHeight="1" x14ac:dyDescent="0.25">
      <c r="A57" s="40">
        <v>56</v>
      </c>
      <c r="B57" s="41" t="s">
        <v>1798</v>
      </c>
      <c r="C57" s="41" t="str">
        <f ca="1">VLOOKUP(B57,lists!A$2:B1000,2)</f>
        <v>Скорость роста концентрации метана абсолютная, неделя</v>
      </c>
      <c r="D57" s="41" t="s">
        <v>1799</v>
      </c>
    </row>
    <row r="58" spans="1:4" ht="15.75" customHeight="1" x14ac:dyDescent="0.25">
      <c r="A58" s="40">
        <v>57</v>
      </c>
      <c r="B58" s="41" t="s">
        <v>1800</v>
      </c>
      <c r="C58" s="41" t="str">
        <f ca="1">VLOOKUP(B58,lists!A$2:B1000,2)</f>
        <v>Скорость роста концентрации этана абсолютная, неделя</v>
      </c>
      <c r="D58" s="41" t="s">
        <v>1801</v>
      </c>
    </row>
    <row r="59" spans="1:4" ht="15.75" customHeight="1" x14ac:dyDescent="0.25">
      <c r="A59" s="40">
        <v>58</v>
      </c>
      <c r="B59" s="41" t="s">
        <v>1802</v>
      </c>
      <c r="C59" s="41" t="str">
        <f ca="1">VLOOKUP(B59,lists!A$2:B1000,2)</f>
        <v>Скорость роста концентрации этилена абсолютная, неделя</v>
      </c>
      <c r="D59" s="41" t="s">
        <v>1803</v>
      </c>
    </row>
    <row r="60" spans="1:4" ht="15.75" customHeight="1" x14ac:dyDescent="0.25">
      <c r="A60" s="40">
        <v>59</v>
      </c>
      <c r="B60" s="41" t="s">
        <v>1804</v>
      </c>
      <c r="C60" s="41" t="str">
        <f ca="1">VLOOKUP(B60,lists!A$2:B1000,2)</f>
        <v>Скорость роста концентрации ацетилена абсолютная, неделя</v>
      </c>
      <c r="D60" s="41" t="s">
        <v>1805</v>
      </c>
    </row>
    <row r="61" spans="1:4" ht="15.75" customHeight="1" x14ac:dyDescent="0.25">
      <c r="A61" s="40">
        <v>60</v>
      </c>
      <c r="B61" s="41" t="s">
        <v>1806</v>
      </c>
      <c r="C61" s="41" t="str">
        <f ca="1">VLOOKUP(B61,lists!A$2:B1000,2)</f>
        <v>Скорость роста концентрации водорода абсолютная, месяц</v>
      </c>
      <c r="D61" s="41" t="s">
        <v>1807</v>
      </c>
    </row>
    <row r="62" spans="1:4" ht="15.75" customHeight="1" x14ac:dyDescent="0.25">
      <c r="A62" s="40">
        <v>61</v>
      </c>
      <c r="B62" s="41" t="s">
        <v>1808</v>
      </c>
      <c r="C62" s="41" t="str">
        <f ca="1">VLOOKUP(B62,lists!A$2:B1000,2)</f>
        <v>Скорость роста концентрации оксида углерода абсолютная, месяц</v>
      </c>
      <c r="D62" s="41" t="s">
        <v>1809</v>
      </c>
    </row>
    <row r="63" spans="1:4" ht="15.75" customHeight="1" x14ac:dyDescent="0.25">
      <c r="A63" s="40">
        <v>62</v>
      </c>
      <c r="B63" s="41" t="s">
        <v>1810</v>
      </c>
      <c r="C63" s="41" t="str">
        <f ca="1">VLOOKUP(B63,lists!A$2:B1000,2)</f>
        <v>Скорость роста концентрации диоксида углерода абсолютная, месяц</v>
      </c>
      <c r="D63" s="41" t="s">
        <v>1811</v>
      </c>
    </row>
    <row r="64" spans="1:4" ht="15.75" customHeight="1" x14ac:dyDescent="0.25">
      <c r="A64" s="40">
        <v>63</v>
      </c>
      <c r="B64" s="41" t="s">
        <v>1812</v>
      </c>
      <c r="C64" s="41" t="str">
        <f ca="1">VLOOKUP(B64,lists!A$2:B1000,2)</f>
        <v>Скорость роста концентрации метана абсолютная, месяц</v>
      </c>
      <c r="D64" s="41" t="s">
        <v>1813</v>
      </c>
    </row>
    <row r="65" spans="1:4" ht="15.75" customHeight="1" x14ac:dyDescent="0.25">
      <c r="A65" s="40">
        <v>64</v>
      </c>
      <c r="B65" s="41" t="s">
        <v>1814</v>
      </c>
      <c r="C65" s="41" t="str">
        <f ca="1">VLOOKUP(B65,lists!A$2:B1000,2)</f>
        <v>Скорость роста концентрации этана абсолютная, месяц</v>
      </c>
      <c r="D65" s="41" t="s">
        <v>1815</v>
      </c>
    </row>
    <row r="66" spans="1:4" ht="15.75" customHeight="1" x14ac:dyDescent="0.25">
      <c r="A66" s="40">
        <v>65</v>
      </c>
      <c r="B66" s="41" t="s">
        <v>1816</v>
      </c>
      <c r="C66" s="41" t="str">
        <f ca="1">VLOOKUP(B66,lists!A$2:B1000,2)</f>
        <v>Скорость роста концентрации этилена абсолютная, месяц</v>
      </c>
      <c r="D66" s="41" t="s">
        <v>1817</v>
      </c>
    </row>
    <row r="67" spans="1:4" ht="15.75" customHeight="1" x14ac:dyDescent="0.25">
      <c r="A67" s="40">
        <v>66</v>
      </c>
      <c r="B67" s="41" t="s">
        <v>1818</v>
      </c>
      <c r="C67" s="41" t="str">
        <f ca="1">VLOOKUP(B67,lists!A$2:B1000,2)</f>
        <v>Скорость роста концентрации ацетилена абсолютная, месяц</v>
      </c>
      <c r="D67" s="41" t="s">
        <v>1819</v>
      </c>
    </row>
    <row r="68" spans="1:4" ht="15.75" customHeight="1" x14ac:dyDescent="0.25">
      <c r="A68" s="40">
        <v>67</v>
      </c>
      <c r="B68" s="41" t="s">
        <v>1820</v>
      </c>
      <c r="C68" s="41" t="str">
        <f ca="1">VLOOKUP(B68,lists!A$2:B1000,2)</f>
        <v>Скорость роста концентрации водорода абсолютная, год</v>
      </c>
      <c r="D68" s="41" t="s">
        <v>1821</v>
      </c>
    </row>
    <row r="69" spans="1:4" ht="15.75" customHeight="1" x14ac:dyDescent="0.25">
      <c r="A69" s="40">
        <v>68</v>
      </c>
      <c r="B69" s="41" t="s">
        <v>1822</v>
      </c>
      <c r="C69" s="41" t="str">
        <f ca="1">VLOOKUP(B69,lists!A$2:B1000,2)</f>
        <v>Скорость роста концентрации оксида углерода абсолютная, год</v>
      </c>
      <c r="D69" s="41" t="s">
        <v>1823</v>
      </c>
    </row>
    <row r="70" spans="1:4" ht="15.75" customHeight="1" x14ac:dyDescent="0.25">
      <c r="A70" s="40">
        <v>69</v>
      </c>
      <c r="B70" s="41" t="s">
        <v>1824</v>
      </c>
      <c r="C70" s="41" t="str">
        <f ca="1">VLOOKUP(B70,lists!A$2:B1000,2)</f>
        <v>Скорость роста концентрации диоксида углерода абсолютная, год</v>
      </c>
      <c r="D70" s="41" t="s">
        <v>1825</v>
      </c>
    </row>
    <row r="71" spans="1:4" ht="15.75" customHeight="1" x14ac:dyDescent="0.25">
      <c r="A71" s="40">
        <v>70</v>
      </c>
      <c r="B71" s="41" t="s">
        <v>1826</v>
      </c>
      <c r="C71" s="41" t="str">
        <f ca="1">VLOOKUP(B71,lists!A$2:B1000,2)</f>
        <v>Скорость роста концентрации метана абсолютная, год</v>
      </c>
      <c r="D71" s="41" t="s">
        <v>1827</v>
      </c>
    </row>
    <row r="72" spans="1:4" ht="15.75" customHeight="1" x14ac:dyDescent="0.25">
      <c r="A72" s="40">
        <v>71</v>
      </c>
      <c r="B72" s="41" t="s">
        <v>1828</v>
      </c>
      <c r="C72" s="41" t="str">
        <f ca="1">VLOOKUP(B72,lists!A$2:B1000,2)</f>
        <v>Скорость роста концентрации этана абсолютная, год</v>
      </c>
      <c r="D72" s="41" t="s">
        <v>1829</v>
      </c>
    </row>
    <row r="73" spans="1:4" ht="15.75" customHeight="1" x14ac:dyDescent="0.25">
      <c r="A73" s="40">
        <v>72</v>
      </c>
      <c r="B73" s="41" t="s">
        <v>1830</v>
      </c>
      <c r="C73" s="41" t="str">
        <f ca="1">VLOOKUP(B73,lists!A$2:B1000,2)</f>
        <v>Скорость роста концентрации этилена абсолютная, год</v>
      </c>
      <c r="D73" s="41" t="s">
        <v>1831</v>
      </c>
    </row>
    <row r="74" spans="1:4" ht="15.75" customHeight="1" x14ac:dyDescent="0.25">
      <c r="A74" s="40">
        <v>73</v>
      </c>
      <c r="B74" s="41" t="s">
        <v>1832</v>
      </c>
      <c r="C74" s="41" t="str">
        <f ca="1">VLOOKUP(B74,lists!A$2:B1000,2)</f>
        <v>Скорость роста концентрации ацетилена абсолютная, год</v>
      </c>
      <c r="D74" s="41" t="s">
        <v>1833</v>
      </c>
    </row>
    <row r="75" spans="1:4" ht="15.75" customHeight="1" x14ac:dyDescent="0.25">
      <c r="A75" s="40">
        <v>74</v>
      </c>
      <c r="B75" s="41" t="s">
        <v>1834</v>
      </c>
      <c r="C75" s="41" t="str">
        <f ca="1">VLOOKUP(B75,lists!A$2:B1000,2)</f>
        <v>Скорость роста концентрации водорода относительная, сутки</v>
      </c>
      <c r="D75" s="41" t="s">
        <v>1835</v>
      </c>
    </row>
    <row r="76" spans="1:4" ht="15.75" customHeight="1" x14ac:dyDescent="0.25">
      <c r="A76" s="40">
        <v>75</v>
      </c>
      <c r="B76" s="41" t="s">
        <v>1836</v>
      </c>
      <c r="C76" s="41" t="str">
        <f ca="1">VLOOKUP(B76,lists!A$2:B1000,2)</f>
        <v>Скорость роста концентрации оксида углерода относительная, сутки</v>
      </c>
      <c r="D76" s="41" t="s">
        <v>1837</v>
      </c>
    </row>
    <row r="77" spans="1:4" ht="15.75" customHeight="1" x14ac:dyDescent="0.25">
      <c r="A77" s="40">
        <v>76</v>
      </c>
      <c r="B77" s="41" t="s">
        <v>1838</v>
      </c>
      <c r="C77" s="41" t="str">
        <f ca="1">VLOOKUP(B77,lists!A$2:B1000,2)</f>
        <v>Скорость роста концентрации диоксида углерода относительная, сутки</v>
      </c>
      <c r="D77" s="41" t="s">
        <v>1839</v>
      </c>
    </row>
    <row r="78" spans="1:4" ht="15.75" customHeight="1" x14ac:dyDescent="0.25">
      <c r="A78" s="40">
        <v>77</v>
      </c>
      <c r="B78" s="41" t="s">
        <v>1840</v>
      </c>
      <c r="C78" s="41" t="str">
        <f ca="1">VLOOKUP(B78,lists!A$2:B1000,2)</f>
        <v>Скорость роста концентрации метана относительная, сутки</v>
      </c>
      <c r="D78" s="41" t="s">
        <v>1841</v>
      </c>
    </row>
    <row r="79" spans="1:4" ht="15.75" customHeight="1" x14ac:dyDescent="0.25">
      <c r="A79" s="40">
        <v>78</v>
      </c>
      <c r="B79" s="41" t="s">
        <v>1842</v>
      </c>
      <c r="C79" s="41" t="str">
        <f ca="1">VLOOKUP(B79,lists!A$2:B1000,2)</f>
        <v>Скорость роста концентрации этана относительная, сутки</v>
      </c>
      <c r="D79" s="41" t="s">
        <v>1843</v>
      </c>
    </row>
    <row r="80" spans="1:4" ht="15.75" customHeight="1" x14ac:dyDescent="0.25">
      <c r="A80" s="40">
        <v>79</v>
      </c>
      <c r="B80" s="41" t="s">
        <v>1844</v>
      </c>
      <c r="C80" s="41" t="str">
        <f ca="1">VLOOKUP(B80,lists!A$2:B1000,2)</f>
        <v>Скорость роста концентрации этилена относительная, сутки</v>
      </c>
      <c r="D80" s="41" t="s">
        <v>1845</v>
      </c>
    </row>
    <row r="81" spans="1:4" ht="15.75" customHeight="1" x14ac:dyDescent="0.25">
      <c r="A81" s="40">
        <v>80</v>
      </c>
      <c r="B81" s="41" t="s">
        <v>1846</v>
      </c>
      <c r="C81" s="41" t="str">
        <f ca="1">VLOOKUP(B81,lists!A$2:B1000,2)</f>
        <v>Скорость роста концентрации ацетилена относительная, сутки</v>
      </c>
      <c r="D81" s="41" t="s">
        <v>1847</v>
      </c>
    </row>
    <row r="82" spans="1:4" ht="15.75" customHeight="1" x14ac:dyDescent="0.25">
      <c r="A82" s="40">
        <v>81</v>
      </c>
      <c r="B82" s="41" t="s">
        <v>1848</v>
      </c>
      <c r="C82" s="41" t="str">
        <f ca="1">VLOOKUP(B82,lists!A$2:B1000,2)</f>
        <v>Скорость роста концентрации водорода относительная, неделя</v>
      </c>
      <c r="D82" s="41" t="s">
        <v>1849</v>
      </c>
    </row>
    <row r="83" spans="1:4" ht="15.75" customHeight="1" x14ac:dyDescent="0.25">
      <c r="A83" s="40">
        <v>82</v>
      </c>
      <c r="B83" s="41" t="s">
        <v>1850</v>
      </c>
      <c r="C83" s="41" t="str">
        <f ca="1">VLOOKUP(B83,lists!A$2:B1000,2)</f>
        <v>Скорость роста концентрации оксида углерода относительная, неделя</v>
      </c>
      <c r="D83" s="41" t="s">
        <v>1851</v>
      </c>
    </row>
    <row r="84" spans="1:4" ht="15.75" customHeight="1" x14ac:dyDescent="0.25">
      <c r="A84" s="40">
        <v>83</v>
      </c>
      <c r="B84" s="41" t="s">
        <v>1852</v>
      </c>
      <c r="C84" s="41" t="str">
        <f ca="1">VLOOKUP(B84,lists!A$2:B1000,2)</f>
        <v>Скорость роста концентрации диоксида углерода относительная, неделя</v>
      </c>
      <c r="D84" s="41" t="s">
        <v>1853</v>
      </c>
    </row>
    <row r="85" spans="1:4" ht="15.75" customHeight="1" x14ac:dyDescent="0.25">
      <c r="A85" s="40">
        <v>84</v>
      </c>
      <c r="B85" s="41" t="s">
        <v>1854</v>
      </c>
      <c r="C85" s="41" t="str">
        <f ca="1">VLOOKUP(B85,lists!A$2:B1000,2)</f>
        <v>Скорость роста концентрации метана относительная, неделя</v>
      </c>
      <c r="D85" s="41" t="s">
        <v>1855</v>
      </c>
    </row>
    <row r="86" spans="1:4" ht="15.75" customHeight="1" x14ac:dyDescent="0.25">
      <c r="A86" s="40">
        <v>85</v>
      </c>
      <c r="B86" s="41" t="s">
        <v>1856</v>
      </c>
      <c r="C86" s="41" t="str">
        <f ca="1">VLOOKUP(B86,lists!A$2:B1000,2)</f>
        <v>Скорость роста концентрации этана относительная, неделя</v>
      </c>
      <c r="D86" s="41" t="s">
        <v>1857</v>
      </c>
    </row>
    <row r="87" spans="1:4" ht="15.75" customHeight="1" x14ac:dyDescent="0.25">
      <c r="A87" s="40">
        <v>86</v>
      </c>
      <c r="B87" s="41" t="s">
        <v>1858</v>
      </c>
      <c r="C87" s="41" t="str">
        <f ca="1">VLOOKUP(B87,lists!A$2:B1000,2)</f>
        <v>Скорость роста концентрации этилена относительная, неделя</v>
      </c>
      <c r="D87" s="41" t="s">
        <v>1859</v>
      </c>
    </row>
    <row r="88" spans="1:4" ht="15.75" customHeight="1" x14ac:dyDescent="0.25">
      <c r="A88" s="40">
        <v>87</v>
      </c>
      <c r="B88" s="41" t="s">
        <v>1860</v>
      </c>
      <c r="C88" s="41" t="str">
        <f ca="1">VLOOKUP(B88,lists!A$2:B1000,2)</f>
        <v>Скорость роста концентрации ацетилена относительная, неделя</v>
      </c>
      <c r="D88" s="41" t="s">
        <v>1861</v>
      </c>
    </row>
    <row r="89" spans="1:4" ht="15.75" customHeight="1" x14ac:dyDescent="0.25">
      <c r="A89" s="40">
        <v>88</v>
      </c>
      <c r="B89" s="41" t="s">
        <v>1862</v>
      </c>
      <c r="C89" s="41" t="str">
        <f ca="1">VLOOKUP(B89,lists!A$2:B1000,2)</f>
        <v>Скорость роста концентрации водорода относительная, месяц</v>
      </c>
      <c r="D89" s="41" t="s">
        <v>1863</v>
      </c>
    </row>
    <row r="90" spans="1:4" ht="15.75" customHeight="1" x14ac:dyDescent="0.25">
      <c r="A90" s="40">
        <v>89</v>
      </c>
      <c r="B90" s="41" t="s">
        <v>1864</v>
      </c>
      <c r="C90" s="41" t="str">
        <f ca="1">VLOOKUP(B90,lists!A$2:B1000,2)</f>
        <v>Скорость роста концентрации оксида углерода относительная, месяц</v>
      </c>
      <c r="D90" s="41" t="s">
        <v>1865</v>
      </c>
    </row>
    <row r="91" spans="1:4" ht="15.75" customHeight="1" x14ac:dyDescent="0.25">
      <c r="A91" s="40">
        <v>90</v>
      </c>
      <c r="B91" s="41" t="s">
        <v>1866</v>
      </c>
      <c r="C91" s="41" t="str">
        <f ca="1">VLOOKUP(B91,lists!A$2:B1000,2)</f>
        <v>Скорость роста концентрации диоксида углерода относительная, месяц</v>
      </c>
      <c r="D91" s="41" t="s">
        <v>1867</v>
      </c>
    </row>
    <row r="92" spans="1:4" ht="15.75" customHeight="1" x14ac:dyDescent="0.25">
      <c r="A92" s="40">
        <v>91</v>
      </c>
      <c r="B92" s="41" t="s">
        <v>1868</v>
      </c>
      <c r="C92" s="41" t="str">
        <f ca="1">VLOOKUP(B92,lists!A$2:B1000,2)</f>
        <v>Скорость роста концентрации метана относительная, месяц</v>
      </c>
      <c r="D92" s="41" t="s">
        <v>1869</v>
      </c>
    </row>
    <row r="93" spans="1:4" ht="15.75" customHeight="1" x14ac:dyDescent="0.25">
      <c r="A93" s="40">
        <v>92</v>
      </c>
      <c r="B93" s="41" t="s">
        <v>1870</v>
      </c>
      <c r="C93" s="41" t="str">
        <f ca="1">VLOOKUP(B93,lists!A$2:B1000,2)</f>
        <v>Скорость роста концентрации этана относительная, месяц</v>
      </c>
      <c r="D93" s="41" t="s">
        <v>1871</v>
      </c>
    </row>
    <row r="94" spans="1:4" ht="15.75" customHeight="1" x14ac:dyDescent="0.25">
      <c r="A94" s="40">
        <v>93</v>
      </c>
      <c r="B94" s="41" t="s">
        <v>1872</v>
      </c>
      <c r="C94" s="41" t="str">
        <f ca="1">VLOOKUP(B94,lists!A$2:B1000,2)</f>
        <v>Скорость роста концентрации этилена относительная, месяц</v>
      </c>
      <c r="D94" s="41" t="s">
        <v>1873</v>
      </c>
    </row>
    <row r="95" spans="1:4" ht="15.75" customHeight="1" x14ac:dyDescent="0.25">
      <c r="A95" s="40">
        <v>94</v>
      </c>
      <c r="B95" s="41" t="s">
        <v>1874</v>
      </c>
      <c r="C95" s="41" t="str">
        <f ca="1">VLOOKUP(B95,lists!A$2:B1000,2)</f>
        <v>Скорость роста концентрации ацетилена относительная, месяц</v>
      </c>
      <c r="D95" s="41" t="s">
        <v>1875</v>
      </c>
    </row>
    <row r="96" spans="1:4" ht="15.75" customHeight="1" x14ac:dyDescent="0.25">
      <c r="A96" s="40">
        <v>95</v>
      </c>
      <c r="B96" s="41" t="s">
        <v>1876</v>
      </c>
      <c r="C96" s="41" t="str">
        <f ca="1">VLOOKUP(B96,lists!A$2:B1000,2)</f>
        <v>Скорость роста концентрации водорода относительная, год</v>
      </c>
      <c r="D96" s="41" t="s">
        <v>1877</v>
      </c>
    </row>
    <row r="97" spans="1:4" ht="15.75" customHeight="1" x14ac:dyDescent="0.25">
      <c r="A97" s="40">
        <v>96</v>
      </c>
      <c r="B97" s="41" t="s">
        <v>1878</v>
      </c>
      <c r="C97" s="41" t="str">
        <f ca="1">VLOOKUP(B97,lists!A$2:B1000,2)</f>
        <v>Скорость роста концентрации оксида углерода относительная, год</v>
      </c>
      <c r="D97" s="41" t="s">
        <v>1879</v>
      </c>
    </row>
    <row r="98" spans="1:4" ht="15.75" customHeight="1" x14ac:dyDescent="0.25">
      <c r="A98" s="40">
        <v>97</v>
      </c>
      <c r="B98" s="41" t="s">
        <v>1880</v>
      </c>
      <c r="C98" s="41" t="str">
        <f ca="1">VLOOKUP(B98,lists!A$2:B1000,2)</f>
        <v>Скорость роста концентрации диоксида углерода относительная, год</v>
      </c>
      <c r="D98" s="41" t="s">
        <v>1881</v>
      </c>
    </row>
    <row r="99" spans="1:4" ht="15.75" customHeight="1" x14ac:dyDescent="0.25">
      <c r="A99" s="40">
        <v>98</v>
      </c>
      <c r="B99" s="41" t="s">
        <v>1882</v>
      </c>
      <c r="C99" s="41" t="str">
        <f ca="1">VLOOKUP(B99,lists!A$2:B1000,2)</f>
        <v>Скорость роста концентрации метана относительная, год</v>
      </c>
      <c r="D99" s="41" t="s">
        <v>1883</v>
      </c>
    </row>
    <row r="100" spans="1:4" ht="15.75" customHeight="1" x14ac:dyDescent="0.25">
      <c r="A100" s="40">
        <v>99</v>
      </c>
      <c r="B100" s="41" t="s">
        <v>1884</v>
      </c>
      <c r="C100" s="41" t="str">
        <f ca="1">VLOOKUP(B100,lists!A$2:B1000,2)</f>
        <v>Скорость роста концентрации этана относительная, год</v>
      </c>
      <c r="D100" s="41" t="s">
        <v>1885</v>
      </c>
    </row>
    <row r="101" spans="1:4" ht="15.75" customHeight="1" x14ac:dyDescent="0.25">
      <c r="A101" s="40">
        <v>100</v>
      </c>
      <c r="B101" s="41" t="s">
        <v>1886</v>
      </c>
      <c r="C101" s="41" t="str">
        <f ca="1">VLOOKUP(B101,lists!A$2:B1000,2)</f>
        <v>Скорость роста концентрации этилена относительная, год</v>
      </c>
      <c r="D101" s="41" t="s">
        <v>1887</v>
      </c>
    </row>
    <row r="102" spans="1:4" ht="15.75" customHeight="1" x14ac:dyDescent="0.25">
      <c r="A102" s="40">
        <v>101</v>
      </c>
      <c r="B102" s="41" t="s">
        <v>1888</v>
      </c>
      <c r="C102" s="41" t="str">
        <f ca="1">VLOOKUP(B102,lists!A$2:B1000,2)</f>
        <v>Скорость роста концентрации ацетилена относительная, год</v>
      </c>
      <c r="D102" s="41" t="s">
        <v>1889</v>
      </c>
    </row>
    <row r="103" spans="1:4" ht="15.75" customHeight="1" x14ac:dyDescent="0.25">
      <c r="A103" s="40">
        <v>102</v>
      </c>
      <c r="B103" s="41" t="s">
        <v>1890</v>
      </c>
      <c r="C103" s="41" t="str">
        <f ca="1">VLOOKUP(B103,lists!A$2:B1000,2)</f>
        <v>Счётчик недопустимых по паузе перенапряжений</v>
      </c>
      <c r="D103" s="41" t="s">
        <v>953</v>
      </c>
    </row>
    <row r="104" spans="1:4" ht="15.75" customHeight="1" x14ac:dyDescent="0.25">
      <c r="A104" s="40">
        <v>103</v>
      </c>
      <c r="B104" s="41" t="s">
        <v>1891</v>
      </c>
      <c r="C104" s="41" t="str">
        <f ca="1">VLOOKUP(B104,lists!A$2:B1000,2)</f>
        <v>Счётчик недопустимых по паузе перенапряжений</v>
      </c>
      <c r="D104" s="41" t="s">
        <v>1892</v>
      </c>
    </row>
    <row r="105" spans="1:4" ht="15.75" customHeight="1" x14ac:dyDescent="0.25">
      <c r="A105" s="40">
        <v>104</v>
      </c>
      <c r="B105" s="41" t="s">
        <v>1893</v>
      </c>
      <c r="C105" s="41" t="str">
        <f ca="1">VLOOKUP(B105,lists!A$2:B1000,2)</f>
        <v>Счётчик недопустимых по паузе перенапряжений</v>
      </c>
      <c r="D105" s="41" t="s">
        <v>956</v>
      </c>
    </row>
    <row r="106" spans="1:4" ht="15.75" customHeight="1" x14ac:dyDescent="0.25">
      <c r="A106" s="40">
        <v>105</v>
      </c>
      <c r="B106" s="41" t="s">
        <v>1894</v>
      </c>
      <c r="C106" s="41" t="str">
        <f ca="1">VLOOKUP(B106,lists!A$2:B1000,2)</f>
        <v>Счётчик недопустимых по паузе перенапряжений</v>
      </c>
      <c r="D106" s="41" t="s">
        <v>1895</v>
      </c>
    </row>
    <row r="107" spans="1:4" ht="15.75" customHeight="1" x14ac:dyDescent="0.25">
      <c r="A107" s="40">
        <v>106</v>
      </c>
      <c r="B107" s="41" t="s">
        <v>1896</v>
      </c>
      <c r="C107" s="41" t="str">
        <f ca="1">VLOOKUP(B107,lists!A$2:B1000,2)</f>
        <v>Счётчик недопустимых по паузе перенапряжений</v>
      </c>
      <c r="D107" s="41" t="s">
        <v>934</v>
      </c>
    </row>
    <row r="108" spans="1:4" ht="15.75" customHeight="1" x14ac:dyDescent="0.25">
      <c r="A108" s="40">
        <v>107</v>
      </c>
      <c r="B108" s="41" t="s">
        <v>1897</v>
      </c>
      <c r="C108" s="41" t="str">
        <f ca="1">VLOOKUP(B108,lists!A$2:B1000,2)</f>
        <v>Скорость износа по Монтзингеру</v>
      </c>
      <c r="D108" s="41" t="s">
        <v>1898</v>
      </c>
    </row>
    <row r="109" spans="1:4" ht="15.75" customHeight="1" x14ac:dyDescent="0.25">
      <c r="A109" s="40">
        <v>108</v>
      </c>
      <c r="B109" s="41" t="s">
        <v>1899</v>
      </c>
      <c r="C109" s="41" t="str">
        <f ca="1">VLOOKUP(B109,lists!A$2:B1000,2)</f>
        <v>Скорость износа по Монзингеру с поправкой на влажность</v>
      </c>
      <c r="D109" s="41" t="s">
        <v>1900</v>
      </c>
    </row>
    <row r="110" spans="1:4" ht="15.75" customHeight="1" x14ac:dyDescent="0.25">
      <c r="A110" s="40">
        <v>109</v>
      </c>
      <c r="B110" s="41" t="s">
        <v>1901</v>
      </c>
      <c r="C110" s="41" t="str">
        <f ca="1">VLOOKUP(B110,lists!A$2:B1000,2)</f>
        <v>Счётчик недопустимых по паузе перенапряжений</v>
      </c>
      <c r="D110" s="41" t="s">
        <v>1902</v>
      </c>
    </row>
    <row r="111" spans="1:4" ht="15.75" customHeight="1" x14ac:dyDescent="0.25">
      <c r="A111" s="40">
        <v>110</v>
      </c>
      <c r="B111" s="41" t="s">
        <v>1903</v>
      </c>
      <c r="C111" s="41" t="str">
        <f ca="1">VLOOKUP(B111,lists!A$2:B1000,2)</f>
        <v>Счётчик недопустимых по паузе перенапряжений</v>
      </c>
      <c r="D111" s="41" t="s">
        <v>1904</v>
      </c>
    </row>
    <row r="112" spans="1:4" ht="15.75" customHeight="1" x14ac:dyDescent="0.25">
      <c r="A112" s="40">
        <v>111</v>
      </c>
      <c r="B112" s="41" t="s">
        <v>1905</v>
      </c>
      <c r="C112" s="41" t="str">
        <f ca="1">VLOOKUP(B112,lists!A$2:B1000,2)</f>
        <v>Счётчик недопустимых по паузе перенапряжений</v>
      </c>
      <c r="D112" s="41" t="s">
        <v>1906</v>
      </c>
    </row>
    <row r="113" spans="1:4" ht="15.75" customHeight="1" x14ac:dyDescent="0.25">
      <c r="A113" s="40">
        <v>112</v>
      </c>
      <c r="B113" s="41" t="s">
        <v>1907</v>
      </c>
      <c r="C113" s="41" t="str">
        <f ca="1">VLOOKUP(B113,lists!A$2:B1000,2)</f>
        <v>Счётчик недопустимых по паузе перенапряжений</v>
      </c>
      <c r="D113" s="41" t="s">
        <v>1908</v>
      </c>
    </row>
    <row r="114" spans="1:4" ht="15.75" customHeight="1" x14ac:dyDescent="0.25">
      <c r="A114" s="40">
        <v>113</v>
      </c>
      <c r="B114" s="41" t="s">
        <v>1909</v>
      </c>
      <c r="C114" s="41" t="str">
        <f ca="1">VLOOKUP(B114,lists!A$2:B1000,2)</f>
        <v>Счётчик недопустимых по паузе перенапряжений</v>
      </c>
      <c r="D114" s="41" t="s">
        <v>1910</v>
      </c>
    </row>
    <row r="115" spans="1:4" ht="15.75" customHeight="1" x14ac:dyDescent="0.25">
      <c r="A115" s="40">
        <v>114</v>
      </c>
      <c r="B115" s="41" t="s">
        <v>1911</v>
      </c>
      <c r="C115" s="41" t="str">
        <f ca="1">VLOOKUP(B115,lists!A$2:B1000,2)</f>
        <v>Счётчик недопустимых по паузе перенапряжений</v>
      </c>
      <c r="D115" s="41" t="s">
        <v>1912</v>
      </c>
    </row>
    <row r="116" spans="1:4" ht="15.75" customHeight="1" x14ac:dyDescent="0.25">
      <c r="A116" s="40">
        <v>115</v>
      </c>
      <c r="B116" s="41" t="s">
        <v>1913</v>
      </c>
      <c r="C116" s="41" t="str">
        <f ca="1">VLOOKUP(B116,lists!A$2:B1000,2)</f>
        <v>Счётчик недопустимых по паузе перенапряжений</v>
      </c>
      <c r="D116" s="41" t="s">
        <v>1914</v>
      </c>
    </row>
    <row r="117" spans="1:4" ht="15.75" customHeight="1" x14ac:dyDescent="0.25">
      <c r="A117" s="40">
        <v>116</v>
      </c>
      <c r="B117" s="41" t="s">
        <v>1915</v>
      </c>
      <c r="C117" s="41" t="str">
        <f ca="1">VLOOKUP(B117,lists!A$2:B1000,2)</f>
        <v>Счётчик недопустимых по паузе перенапряжений</v>
      </c>
      <c r="D117" s="41" t="s">
        <v>1916</v>
      </c>
    </row>
    <row r="118" spans="1:4" ht="15.75" customHeight="1" x14ac:dyDescent="0.25">
      <c r="A118" s="40">
        <v>117</v>
      </c>
      <c r="B118" s="41" t="s">
        <v>1917</v>
      </c>
      <c r="C118" s="41" t="str">
        <f ca="1">VLOOKUP(B118,lists!A$2:B1000,2)</f>
        <v>Счётчик недопустимых по паузе перенапряжений</v>
      </c>
      <c r="D118" s="41" t="s">
        <v>1918</v>
      </c>
    </row>
    <row r="119" spans="1:4" ht="15.75" customHeight="1" x14ac:dyDescent="0.25">
      <c r="A119" s="40">
        <v>118</v>
      </c>
      <c r="B119" s="41" t="s">
        <v>1919</v>
      </c>
      <c r="C119" s="41" t="str">
        <f ca="1">VLOOKUP(B119,lists!A$2:B1000,2)</f>
        <v>Счётчик недопустимых по паузе перенапряжений</v>
      </c>
      <c r="D119" s="41" t="s">
        <v>1920</v>
      </c>
    </row>
    <row r="120" spans="1:4" ht="15.75" customHeight="1" x14ac:dyDescent="0.25">
      <c r="A120" s="40">
        <v>119</v>
      </c>
      <c r="B120" s="41" t="s">
        <v>1921</v>
      </c>
      <c r="C120" s="41" t="str">
        <f ca="1">VLOOKUP(B120,lists!A$2:B1000,2)</f>
        <v>Счётчик недопустимых по паузе перенапряжений</v>
      </c>
      <c r="D120" s="41" t="s">
        <v>1922</v>
      </c>
    </row>
    <row r="121" spans="1:4" ht="15.75" customHeight="1" x14ac:dyDescent="0.25">
      <c r="A121" s="40">
        <v>120</v>
      </c>
      <c r="B121" s="41" t="s">
        <v>1923</v>
      </c>
      <c r="C121" s="41" t="str">
        <f ca="1">VLOOKUP(B121,lists!A$2:B1000,2)</f>
        <v>Счётчик недопустимых по паузе перенапряжений</v>
      </c>
      <c r="D121" s="41" t="s">
        <v>1924</v>
      </c>
    </row>
    <row r="122" spans="1:4" ht="15.75" customHeight="1" x14ac:dyDescent="0.25">
      <c r="A122" s="40">
        <v>121</v>
      </c>
      <c r="B122" s="41" t="s">
        <v>1925</v>
      </c>
      <c r="C122" s="41" t="str">
        <f ca="1">VLOOKUP(B122,lists!A$2:B1000,2)</f>
        <v>Счётчик недопустимых по паузе перенапряжений</v>
      </c>
      <c r="D122" s="41" t="s">
        <v>1926</v>
      </c>
    </row>
    <row r="123" spans="1:4" ht="15.75" customHeight="1" x14ac:dyDescent="0.25">
      <c r="A123" s="40">
        <v>122</v>
      </c>
      <c r="B123" s="41" t="s">
        <v>1927</v>
      </c>
      <c r="C123" s="41" t="str">
        <f ca="1">VLOOKUP(B123,lists!A$2:B1000,2)</f>
        <v>Счётчик недопустимых по паузе перенапряжений</v>
      </c>
      <c r="D123" s="41" t="s">
        <v>1928</v>
      </c>
    </row>
    <row r="124" spans="1:4" ht="15.75" customHeight="1" x14ac:dyDescent="0.25">
      <c r="A124" s="40">
        <v>123</v>
      </c>
      <c r="B124" s="41" t="s">
        <v>1929</v>
      </c>
      <c r="C124" s="41" t="str">
        <f ca="1">VLOOKUP(B124,lists!A$2:B1000,2)</f>
        <v>Счётчик недопустимых по паузе перенапряжений</v>
      </c>
      <c r="D124" s="41" t="s">
        <v>1930</v>
      </c>
    </row>
    <row r="125" spans="1:4" ht="15.75" customHeight="1" x14ac:dyDescent="0.25">
      <c r="A125" s="40">
        <v>124</v>
      </c>
      <c r="B125" s="41" t="s">
        <v>1931</v>
      </c>
      <c r="C125" s="41" t="str">
        <f ca="1">VLOOKUP(B125,lists!A$2:B1000,2)</f>
        <v>Счётчик недопустимых по паузе перенапряжений</v>
      </c>
      <c r="D125" s="41" t="s">
        <v>1932</v>
      </c>
    </row>
    <row r="126" spans="1:4" ht="15.75" customHeight="1" x14ac:dyDescent="0.25">
      <c r="A126" s="40">
        <v>125</v>
      </c>
      <c r="B126" s="41" t="s">
        <v>1933</v>
      </c>
      <c r="C126" s="41" t="str">
        <f ca="1">VLOOKUP(B126,lists!A$2:B1000,2)</f>
        <v>Счётчик недопустимых по паузе перенапряжений</v>
      </c>
      <c r="D126" s="41" t="s">
        <v>1934</v>
      </c>
    </row>
    <row r="127" spans="1:4" ht="15.75" customHeight="1" x14ac:dyDescent="0.25">
      <c r="A127" s="40">
        <v>126</v>
      </c>
      <c r="B127" s="41" t="s">
        <v>1935</v>
      </c>
      <c r="C127" s="41" t="str">
        <f ca="1">VLOOKUP(B127,lists!A$2:B1000,2)</f>
        <v>Счётчик недопустимых по паузе перенапряжений</v>
      </c>
      <c r="D127" s="41" t="s">
        <v>1936</v>
      </c>
    </row>
    <row r="128" spans="1:4" ht="15.75" customHeight="1" x14ac:dyDescent="0.25">
      <c r="A128" s="40">
        <v>127</v>
      </c>
      <c r="B128" s="41" t="s">
        <v>1937</v>
      </c>
      <c r="C128" s="41" t="str">
        <f ca="1">VLOOKUP(B128,lists!A$2:B1000,2)</f>
        <v>Счётчик недопустимых по паузе перенапряжений</v>
      </c>
      <c r="D128" s="41" t="s">
        <v>1938</v>
      </c>
    </row>
    <row r="129" spans="1:4" ht="15.75" customHeight="1" x14ac:dyDescent="0.25">
      <c r="A129" s="40">
        <v>128</v>
      </c>
      <c r="B129" s="41" t="s">
        <v>1939</v>
      </c>
      <c r="C129" s="41" t="str">
        <f ca="1">VLOOKUP(B129,lists!A$2:B1000,2)</f>
        <v>Счётчик недопустимых по паузе перенапряжений</v>
      </c>
      <c r="D129" s="41" t="s">
        <v>1940</v>
      </c>
    </row>
    <row r="130" spans="1:4" ht="15.75" customHeight="1" x14ac:dyDescent="0.25">
      <c r="A130" s="40">
        <v>129</v>
      </c>
      <c r="B130" s="41" t="s">
        <v>1941</v>
      </c>
      <c r="C130" s="41" t="str">
        <f ca="1">VLOOKUP(B130,lists!A$2:B1000,2)</f>
        <v>Счётчик недопустимых по паузе перенапряжений</v>
      </c>
      <c r="D130" s="41" t="s">
        <v>1942</v>
      </c>
    </row>
    <row r="131" spans="1:4" ht="15.75" customHeight="1" x14ac:dyDescent="0.25">
      <c r="A131" s="40">
        <v>130</v>
      </c>
      <c r="B131" s="41" t="s">
        <v>1943</v>
      </c>
      <c r="C131" s="41" t="str">
        <f ca="1">VLOOKUP(B131,lists!A$2:B1000,2)</f>
        <v>Счётчик недопустимых по паузе перенапряжений</v>
      </c>
      <c r="D131" s="41" t="s">
        <v>1944</v>
      </c>
    </row>
    <row r="132" spans="1:4" ht="15.75" customHeight="1" x14ac:dyDescent="0.25">
      <c r="A132" s="40">
        <v>131</v>
      </c>
      <c r="B132" s="41" t="s">
        <v>1945</v>
      </c>
      <c r="C132" s="41" t="str">
        <f ca="1">VLOOKUP(B132,lists!A$2:B1000,2)</f>
        <v>Счётчик недопустимых по паузе перенапряжений</v>
      </c>
      <c r="D132" s="41" t="s">
        <v>1946</v>
      </c>
    </row>
    <row r="133" spans="1:4" ht="15.75" customHeight="1" x14ac:dyDescent="0.25">
      <c r="A133" s="40">
        <v>132</v>
      </c>
      <c r="B133" s="41" t="s">
        <v>1947</v>
      </c>
      <c r="C133" s="41" t="str">
        <f ca="1">VLOOKUP(B133,lists!A$2:B1000,2)</f>
        <v>Счётчик недопустимых по паузе перенапряжений</v>
      </c>
      <c r="D133" s="41" t="s">
        <v>1948</v>
      </c>
    </row>
    <row r="134" spans="1:4" ht="15.75" customHeight="1" x14ac:dyDescent="0.25">
      <c r="A134" s="40">
        <v>133</v>
      </c>
      <c r="B134" s="41" t="s">
        <v>1949</v>
      </c>
      <c r="C134" s="41" t="str">
        <f ca="1">VLOOKUP(B134,lists!A$2:B1000,2)</f>
        <v>Счётчик недопустимых по паузе перенапряжений</v>
      </c>
      <c r="D134" s="41" t="s">
        <v>1950</v>
      </c>
    </row>
    <row r="135" spans="1:4" ht="15.75" customHeight="1" x14ac:dyDescent="0.25">
      <c r="A135" s="40">
        <v>134</v>
      </c>
      <c r="B135" s="41" t="s">
        <v>1951</v>
      </c>
      <c r="C135" s="41" t="str">
        <f ca="1">VLOOKUP(B135,lists!A$2:B1000,2)</f>
        <v>Счётчик недопустимых по паузе перенапряжений</v>
      </c>
      <c r="D135" s="41" t="s">
        <v>1952</v>
      </c>
    </row>
    <row r="136" spans="1:4" ht="15.75" customHeight="1" x14ac:dyDescent="0.25">
      <c r="A136" s="40">
        <v>135</v>
      </c>
      <c r="B136" s="41" t="s">
        <v>1953</v>
      </c>
      <c r="C136" s="41" t="str">
        <f ca="1">VLOOKUP(B136,lists!A$2:B1000,2)</f>
        <v>Счётчик недопустимых по паузе перенапряжений</v>
      </c>
      <c r="D136" s="41" t="s">
        <v>1954</v>
      </c>
    </row>
    <row r="137" spans="1:4" ht="15.75" customHeight="1" x14ac:dyDescent="0.25">
      <c r="A137" s="40">
        <v>136</v>
      </c>
      <c r="B137" s="41" t="s">
        <v>1955</v>
      </c>
      <c r="C137" s="41" t="str">
        <f ca="1">VLOOKUP(B137,lists!A$2:B1000,2)</f>
        <v>Счётчик недопустимых по паузе перенапряжений</v>
      </c>
      <c r="D137" s="41" t="s">
        <v>1956</v>
      </c>
    </row>
    <row r="138" spans="1:4" ht="15.75" customHeight="1" x14ac:dyDescent="0.25">
      <c r="A138" s="40">
        <v>137</v>
      </c>
      <c r="B138" s="41" t="s">
        <v>1957</v>
      </c>
      <c r="C138" s="41" t="str">
        <f ca="1">VLOOKUP(B138,lists!A$2:B1000,2)</f>
        <v>Счётчик недопустимых по паузе перенапряжений</v>
      </c>
      <c r="D138" s="41" t="s">
        <v>1958</v>
      </c>
    </row>
    <row r="139" spans="1:4" ht="15.75" customHeight="1" x14ac:dyDescent="0.25">
      <c r="A139" s="40">
        <v>138</v>
      </c>
      <c r="B139" s="41" t="s">
        <v>1959</v>
      </c>
      <c r="C139" s="41" t="str">
        <f ca="1">VLOOKUP(B139,lists!A$2:B1000,2)</f>
        <v>Счётчик недопустимых по паузе перенапряжений</v>
      </c>
      <c r="D139" s="41" t="s">
        <v>1960</v>
      </c>
    </row>
    <row r="140" spans="1:4" ht="15.75" customHeight="1" x14ac:dyDescent="0.25">
      <c r="A140" s="40">
        <v>139</v>
      </c>
      <c r="B140" s="41" t="s">
        <v>1961</v>
      </c>
      <c r="C140" s="41" t="str">
        <f ca="1">VLOOKUP(B140,lists!A$2:B1000,2)</f>
        <v>Счётчик недопустимых по паузе перенапряжений</v>
      </c>
      <c r="D140" s="41" t="s">
        <v>1962</v>
      </c>
    </row>
    <row r="141" spans="1:4" ht="15.75" customHeight="1" x14ac:dyDescent="0.25">
      <c r="A141" s="40">
        <v>140</v>
      </c>
      <c r="B141" s="41" t="s">
        <v>1963</v>
      </c>
      <c r="C141" s="41" t="str">
        <f ca="1">VLOOKUP(B141,lists!A$2:B1000,2)</f>
        <v>Счётчик недопустимых по паузе перенапряжений</v>
      </c>
      <c r="D141" s="41" t="s">
        <v>1964</v>
      </c>
    </row>
    <row r="142" spans="1:4" ht="15.75" customHeight="1" x14ac:dyDescent="0.25">
      <c r="A142" s="40">
        <v>141</v>
      </c>
      <c r="B142" s="41" t="s">
        <v>1965</v>
      </c>
      <c r="C142" s="41" t="str">
        <f ca="1">VLOOKUP(B142,lists!A$2:B1000,2)</f>
        <v>Счётчик недопустимых по паузе перенапряжений</v>
      </c>
      <c r="D142" s="41" t="s">
        <v>1966</v>
      </c>
    </row>
    <row r="143" spans="1:4" ht="15.75" customHeight="1" x14ac:dyDescent="0.25">
      <c r="A143" s="40">
        <v>142</v>
      </c>
      <c r="B143" s="41" t="s">
        <v>1967</v>
      </c>
      <c r="C143" s="41" t="str">
        <f ca="1">VLOOKUP(B143,lists!A$2:B1000,2)</f>
        <v>Счётчик недопустимых по паузе перенапряжений</v>
      </c>
      <c r="D143" s="41" t="s">
        <v>1968</v>
      </c>
    </row>
    <row r="144" spans="1:4" ht="15.75" customHeight="1" x14ac:dyDescent="0.25">
      <c r="A144" s="40">
        <v>143</v>
      </c>
      <c r="B144" s="41" t="s">
        <v>1969</v>
      </c>
      <c r="C144" s="41" t="str">
        <f ca="1">VLOOKUP(B144,lists!A$2:B1000,2)</f>
        <v>Счётчик недопустимых по паузе перенапряжений</v>
      </c>
      <c r="D144" s="41" t="s">
        <v>1970</v>
      </c>
    </row>
    <row r="145" spans="1:4" ht="15.75" customHeight="1" x14ac:dyDescent="0.25">
      <c r="A145" s="40">
        <v>144</v>
      </c>
      <c r="B145" s="41" t="s">
        <v>1971</v>
      </c>
      <c r="C145" s="41" t="str">
        <f ca="1">VLOOKUP(B145,lists!A$2:B1000,2)</f>
        <v>Счётчик недопустимых по паузе перенапряжений</v>
      </c>
      <c r="D145" s="41" t="s">
        <v>1972</v>
      </c>
    </row>
    <row r="146" spans="1:4" ht="15.75" customHeight="1" x14ac:dyDescent="0.25">
      <c r="A146" s="40">
        <v>145</v>
      </c>
      <c r="B146" s="41" t="s">
        <v>1973</v>
      </c>
      <c r="C146" s="41" t="str">
        <f ca="1">VLOOKUP(B146,lists!A$2:B1000,2)</f>
        <v>Счётчик недопустимых по паузе перенапряжений</v>
      </c>
      <c r="D146" s="41" t="s">
        <v>1974</v>
      </c>
    </row>
    <row r="147" spans="1:4" ht="15.75" customHeight="1" x14ac:dyDescent="0.25">
      <c r="A147" s="40">
        <v>146</v>
      </c>
      <c r="B147" s="41" t="s">
        <v>1975</v>
      </c>
      <c r="C147" s="41" t="str">
        <f ca="1">VLOOKUP(B147,lists!A$2:B1000,2)</f>
        <v>Счётчик недопустимых по паузе перенапряжений</v>
      </c>
      <c r="D147" s="41" t="s">
        <v>1976</v>
      </c>
    </row>
    <row r="148" spans="1:4" ht="15.75" customHeight="1" x14ac:dyDescent="0.25">
      <c r="A148" s="40">
        <v>147</v>
      </c>
      <c r="B148" s="41" t="s">
        <v>1977</v>
      </c>
      <c r="C148" s="41" t="str">
        <f ca="1">VLOOKUP(B148,lists!A$2:B1000,2)</f>
        <v>Счётчик недопустимых по паузе перенапряжений</v>
      </c>
      <c r="D148" s="41" t="s">
        <v>1978</v>
      </c>
    </row>
    <row r="149" spans="1:4" ht="15.75" customHeight="1" x14ac:dyDescent="0.25">
      <c r="A149" s="40">
        <v>148</v>
      </c>
      <c r="B149" s="41" t="s">
        <v>1979</v>
      </c>
      <c r="C149" s="41" t="str">
        <f ca="1">VLOOKUP(B149,lists!A$2:B1000,2)</f>
        <v>Счётчик недопустимых по паузе перенапряжений</v>
      </c>
      <c r="D149" s="41" t="s">
        <v>1980</v>
      </c>
    </row>
    <row r="150" spans="1:4" ht="15.75" customHeight="1" x14ac:dyDescent="0.25">
      <c r="A150" s="40">
        <v>149</v>
      </c>
      <c r="B150" s="41" t="s">
        <v>1981</v>
      </c>
      <c r="C150" s="41" t="str">
        <f ca="1">VLOOKUP(B150,lists!A$2:B1000,2)</f>
        <v>Счётчик недопустимых по паузе перенапряжений</v>
      </c>
      <c r="D150" s="41" t="s">
        <v>1982</v>
      </c>
    </row>
    <row r="151" spans="1:4" ht="15.75" customHeight="1" x14ac:dyDescent="0.25">
      <c r="A151" s="40">
        <v>150</v>
      </c>
      <c r="B151" s="41" t="s">
        <v>1983</v>
      </c>
      <c r="C151" s="41" t="str">
        <f ca="1">VLOOKUP(B151,lists!A$2:B1000,2)</f>
        <v>Счётчик недопустимых по паузе перенапряжений</v>
      </c>
      <c r="D151" s="41" t="s">
        <v>1984</v>
      </c>
    </row>
    <row r="152" spans="1:4" ht="15.75" customHeight="1" x14ac:dyDescent="0.25">
      <c r="A152" s="40">
        <v>151</v>
      </c>
      <c r="B152" s="41" t="s">
        <v>1985</v>
      </c>
      <c r="C152" s="41" t="str">
        <f ca="1">VLOOKUP(B152,lists!A$2:B1000,2)</f>
        <v>Счётчик недопустимых по паузе перенапряжений</v>
      </c>
      <c r="D152" s="41" t="s">
        <v>1986</v>
      </c>
    </row>
    <row r="153" spans="1:4" ht="15.75" customHeight="1" x14ac:dyDescent="0.25">
      <c r="A153" s="40">
        <v>152</v>
      </c>
      <c r="B153" s="41" t="s">
        <v>1987</v>
      </c>
      <c r="C153" s="41" t="str">
        <f ca="1">VLOOKUP(B153,lists!A$2:B1000,2)</f>
        <v>Счётчик недопустимых по паузе перенапряжений</v>
      </c>
      <c r="D153" s="41" t="s">
        <v>1988</v>
      </c>
    </row>
    <row r="154" spans="1:4" ht="15.75" customHeight="1" x14ac:dyDescent="0.25">
      <c r="A154" s="40">
        <v>153</v>
      </c>
      <c r="B154" s="41" t="s">
        <v>1989</v>
      </c>
      <c r="C154" s="41" t="str">
        <f ca="1">VLOOKUP(B154,lists!A$2:B1000,2)</f>
        <v>Счётчик недопустимых по паузе перенапряжений</v>
      </c>
      <c r="D154" s="41" t="s">
        <v>1990</v>
      </c>
    </row>
    <row r="155" spans="1:4" ht="15.75" customHeight="1" x14ac:dyDescent="0.25">
      <c r="A155" s="40">
        <v>154</v>
      </c>
      <c r="B155" s="41" t="s">
        <v>1991</v>
      </c>
      <c r="C155" s="41" t="str">
        <f ca="1">VLOOKUP(B155,lists!A$2:B1000,2)</f>
        <v>Счётчик недопустимых по паузе перенапряжений</v>
      </c>
      <c r="D155" s="41" t="s">
        <v>1992</v>
      </c>
    </row>
    <row r="156" spans="1:4" ht="15.75" customHeight="1" x14ac:dyDescent="0.25">
      <c r="A156" s="40">
        <v>155</v>
      </c>
      <c r="B156" s="41" t="s">
        <v>1993</v>
      </c>
      <c r="C156" s="41" t="str">
        <f ca="1">VLOOKUP(B156,lists!A$2:B1000,2)</f>
        <v>Счётчик недопустимых по паузе перенапряжений</v>
      </c>
      <c r="D156" s="41" t="s">
        <v>1994</v>
      </c>
    </row>
    <row r="157" spans="1:4" ht="15.75" customHeight="1" x14ac:dyDescent="0.25">
      <c r="A157" s="40">
        <v>156</v>
      </c>
      <c r="B157" s="41" t="s">
        <v>1995</v>
      </c>
      <c r="C157" s="41" t="str">
        <f ca="1">VLOOKUP(B157,lists!A$2:B1000,2)</f>
        <v>Счётчик недопустимых по паузе перенапряжений</v>
      </c>
      <c r="D157" s="41" t="s">
        <v>1996</v>
      </c>
    </row>
    <row r="158" spans="1:4" ht="15.75" customHeight="1" x14ac:dyDescent="0.25">
      <c r="A158" s="40">
        <v>157</v>
      </c>
      <c r="B158" s="41" t="s">
        <v>1997</v>
      </c>
      <c r="C158" s="41" t="str">
        <f ca="1">VLOOKUP(B158,lists!A$2:B1000,2)</f>
        <v>Счётчик недопустимых по паузе перенапряжений</v>
      </c>
      <c r="D158" s="41" t="s">
        <v>1998</v>
      </c>
    </row>
    <row r="159" spans="1:4" ht="15.75" customHeight="1" x14ac:dyDescent="0.25">
      <c r="A159" s="40">
        <v>158</v>
      </c>
      <c r="B159" s="41" t="s">
        <v>1999</v>
      </c>
      <c r="C159" s="41" t="str">
        <f ca="1">VLOOKUP(B159,lists!A$2:B1000,2)</f>
        <v>Счётчик недопустимых по паузе перенапряжений</v>
      </c>
      <c r="D159" s="41" t="s">
        <v>2000</v>
      </c>
    </row>
    <row r="160" spans="1:4" ht="15.75" customHeight="1" x14ac:dyDescent="0.25">
      <c r="A160" s="40">
        <v>159</v>
      </c>
      <c r="B160" s="41" t="s">
        <v>2001</v>
      </c>
      <c r="C160" s="41" t="str">
        <f ca="1">VLOOKUP(B160,lists!A$2:B1000,2)</f>
        <v>Счётчик недопустимых по паузе перенапряжений</v>
      </c>
      <c r="D160" s="41" t="s">
        <v>2002</v>
      </c>
    </row>
    <row r="161" spans="1:4" ht="15.75" customHeight="1" x14ac:dyDescent="0.25">
      <c r="A161" s="40">
        <v>160</v>
      </c>
      <c r="B161" s="41" t="s">
        <v>2003</v>
      </c>
      <c r="C161" s="41" t="str">
        <f ca="1">VLOOKUP(B161,lists!A$2:B1000,2)</f>
        <v>Счётчик недопустимых по паузе перенапряжений</v>
      </c>
      <c r="D161" s="41" t="s">
        <v>2004</v>
      </c>
    </row>
    <row r="162" spans="1:4" ht="15.75" customHeight="1" x14ac:dyDescent="0.25">
      <c r="A162" s="40">
        <v>161</v>
      </c>
      <c r="B162" s="41" t="s">
        <v>2005</v>
      </c>
      <c r="C162" s="41" t="str">
        <f ca="1">VLOOKUP(B162,lists!A$2:B1000,2)</f>
        <v>Счётчик недопустимых по паузе перенапряжений</v>
      </c>
      <c r="D162" s="41" t="s">
        <v>2006</v>
      </c>
    </row>
    <row r="163" spans="1:4" ht="15.75" customHeight="1" x14ac:dyDescent="0.25">
      <c r="A163" s="40">
        <v>162</v>
      </c>
      <c r="B163" s="41" t="s">
        <v>2007</v>
      </c>
      <c r="C163" s="41" t="str">
        <f ca="1">VLOOKUP(B163,lists!A$2:B1000,2)</f>
        <v>Счётчик недопустимых по паузе перенапряжений</v>
      </c>
      <c r="D163" s="41" t="s">
        <v>2008</v>
      </c>
    </row>
    <row r="164" spans="1:4" ht="15.75" customHeight="1" x14ac:dyDescent="0.25">
      <c r="A164" s="40">
        <v>163</v>
      </c>
      <c r="B164" s="41" t="s">
        <v>2009</v>
      </c>
      <c r="C164" s="41" t="str">
        <f ca="1">VLOOKUP(B164,lists!A$2:B1000,2)</f>
        <v>Счётчик недопустимых по паузе перенапряжений</v>
      </c>
      <c r="D164" s="41" t="s">
        <v>2010</v>
      </c>
    </row>
    <row r="165" spans="1:4" ht="15.75" customHeight="1" x14ac:dyDescent="0.25">
      <c r="A165" s="40">
        <v>164</v>
      </c>
      <c r="B165" s="41" t="s">
        <v>2011</v>
      </c>
      <c r="C165" s="41" t="str">
        <f ca="1">VLOOKUP(B165,lists!A$2:B1000,2)</f>
        <v>Счётчик недопустимых по паузе перенапряжений</v>
      </c>
      <c r="D165" s="41" t="s">
        <v>2012</v>
      </c>
    </row>
    <row r="166" spans="1:4" ht="15.75" customHeight="1" x14ac:dyDescent="0.25">
      <c r="A166" s="40">
        <v>165</v>
      </c>
      <c r="B166" s="41" t="s">
        <v>2013</v>
      </c>
      <c r="C166" s="41" t="str">
        <f ca="1">VLOOKUP(B166,lists!A$2:B1000,2)</f>
        <v>Счётчик недопустимых по паузе перенапряжений</v>
      </c>
      <c r="D166" s="41" t="s">
        <v>2014</v>
      </c>
    </row>
    <row r="167" spans="1:4" ht="15.75" customHeight="1" x14ac:dyDescent="0.25">
      <c r="A167" s="40">
        <v>166</v>
      </c>
      <c r="B167" s="41" t="s">
        <v>2015</v>
      </c>
      <c r="C167" s="41" t="str">
        <f ca="1">VLOOKUP(B167,lists!A$2:B1000,2)</f>
        <v>Счётчик недопустимых по паузе перенапряжений</v>
      </c>
      <c r="D167" s="41" t="s">
        <v>2016</v>
      </c>
    </row>
    <row r="168" spans="1:4" ht="15.75" customHeight="1" x14ac:dyDescent="0.25">
      <c r="A168" s="40">
        <v>167</v>
      </c>
      <c r="B168" s="41" t="s">
        <v>2017</v>
      </c>
      <c r="C168" s="41" t="str">
        <f ca="1">VLOOKUP(B168,lists!A$2:B1000,2)</f>
        <v>Счётчик недопустимых по паузе перенапряжений</v>
      </c>
      <c r="D168" s="41" t="s">
        <v>2018</v>
      </c>
    </row>
    <row r="169" spans="1:4" ht="15.75" customHeight="1" x14ac:dyDescent="0.25">
      <c r="A169" s="40">
        <v>168</v>
      </c>
      <c r="B169" s="41" t="s">
        <v>2019</v>
      </c>
      <c r="C169" s="41" t="str">
        <f ca="1">VLOOKUP(B169,lists!A$2:B1000,2)</f>
        <v>Концентрация водорода относительно ДЗ</v>
      </c>
      <c r="D169" s="41" t="s">
        <v>2020</v>
      </c>
    </row>
    <row r="170" spans="1:4" ht="15.75" customHeight="1" x14ac:dyDescent="0.25">
      <c r="A170" s="40">
        <v>169</v>
      </c>
      <c r="B170" s="41" t="s">
        <v>2021</v>
      </c>
      <c r="C170" s="41" t="str">
        <f ca="1">VLOOKUP(B170,lists!A$2:B1000,2)</f>
        <v>Концентрация оксида углерода относительно ДЗ</v>
      </c>
      <c r="D170" s="41" t="s">
        <v>2022</v>
      </c>
    </row>
    <row r="171" spans="1:4" ht="15.75" customHeight="1" x14ac:dyDescent="0.25">
      <c r="A171" s="40">
        <v>170</v>
      </c>
      <c r="B171" s="41" t="s">
        <v>2023</v>
      </c>
      <c r="C171" s="41" t="str">
        <f ca="1">VLOOKUP(B171,lists!A$2:B1000,2)</f>
        <v>Концентрация диоксида углерода относительно ДЗ</v>
      </c>
      <c r="D171" s="41" t="s">
        <v>2024</v>
      </c>
    </row>
    <row r="172" spans="1:4" ht="15.75" customHeight="1" x14ac:dyDescent="0.25">
      <c r="A172" s="40">
        <v>171</v>
      </c>
      <c r="B172" s="41" t="s">
        <v>2025</v>
      </c>
      <c r="C172" s="41" t="str">
        <f ca="1">VLOOKUP(B172,lists!A$2:B1000,2)</f>
        <v>Концентрация метана относительно ДЗ</v>
      </c>
      <c r="D172" s="41" t="s">
        <v>2026</v>
      </c>
    </row>
    <row r="173" spans="1:4" ht="15.75" customHeight="1" x14ac:dyDescent="0.25">
      <c r="A173" s="40">
        <v>172</v>
      </c>
      <c r="B173" s="41" t="s">
        <v>2027</v>
      </c>
      <c r="C173" s="41" t="str">
        <f ca="1">VLOOKUP(B173,lists!A$2:B1000,2)</f>
        <v>Концентрация этилена относительно ДЗ</v>
      </c>
      <c r="D173" s="41" t="s">
        <v>2028</v>
      </c>
    </row>
    <row r="174" spans="1:4" ht="15.75" customHeight="1" x14ac:dyDescent="0.25">
      <c r="A174" s="40">
        <v>173</v>
      </c>
      <c r="B174" s="41" t="s">
        <v>2029</v>
      </c>
      <c r="C174" s="41" t="str">
        <f ca="1">VLOOKUP(B174,lists!A$2:B1000,2)</f>
        <v>Концентрация этана относительно ДЗ</v>
      </c>
      <c r="D174" s="41" t="s">
        <v>2030</v>
      </c>
    </row>
    <row r="175" spans="1:4" ht="15.75" customHeight="1" x14ac:dyDescent="0.25">
      <c r="A175" s="40">
        <v>174</v>
      </c>
      <c r="B175" s="41" t="s">
        <v>2031</v>
      </c>
      <c r="C175" s="41" t="str">
        <f ca="1">VLOOKUP(B175,lists!A$2:B1000,2)</f>
        <v>Концентрация ацетилена относительно ДЗ</v>
      </c>
      <c r="D175" s="41" t="s">
        <v>2032</v>
      </c>
    </row>
    <row r="176" spans="1:4" ht="15.75" customHeight="1" x14ac:dyDescent="0.25">
      <c r="A176" s="40">
        <v>175</v>
      </c>
      <c r="B176" s="41" t="s">
        <v>2033</v>
      </c>
      <c r="C176" s="41" t="str">
        <f ca="1">VLOOKUP(B176,lists!A$2:B1000,2)</f>
        <v>Концентрация водорода относительно ПДЗ</v>
      </c>
      <c r="D176" s="41" t="s">
        <v>2034</v>
      </c>
    </row>
    <row r="177" spans="1:4" ht="15.75" customHeight="1" x14ac:dyDescent="0.25">
      <c r="A177" s="40">
        <v>176</v>
      </c>
      <c r="B177" s="41" t="s">
        <v>2035</v>
      </c>
      <c r="C177" s="41" t="str">
        <f ca="1">VLOOKUP(B177,lists!A$2:B1000,2)</f>
        <v>Концентрация оксида углерода относительно ПДЗ</v>
      </c>
      <c r="D177" s="41" t="s">
        <v>2036</v>
      </c>
    </row>
    <row r="178" spans="1:4" ht="15.75" customHeight="1" x14ac:dyDescent="0.25">
      <c r="A178" s="40">
        <v>177</v>
      </c>
      <c r="B178" s="41" t="s">
        <v>2037</v>
      </c>
      <c r="C178" s="41" t="str">
        <f ca="1">VLOOKUP(B178,lists!A$2:B1000,2)</f>
        <v>Концентрация диоксида углерода относительно ПДЗ</v>
      </c>
      <c r="D178" s="41" t="s">
        <v>2038</v>
      </c>
    </row>
    <row r="179" spans="1:4" ht="15.75" customHeight="1" x14ac:dyDescent="0.25">
      <c r="A179" s="40">
        <v>178</v>
      </c>
      <c r="B179" s="41" t="s">
        <v>2039</v>
      </c>
      <c r="C179" s="41" t="str">
        <f ca="1">VLOOKUP(B179,lists!A$2:B1000,2)</f>
        <v>Концентрация метана относительно ПДЗ</v>
      </c>
      <c r="D179" s="41" t="s">
        <v>2040</v>
      </c>
    </row>
    <row r="180" spans="1:4" ht="15.75" customHeight="1" x14ac:dyDescent="0.25">
      <c r="A180" s="40">
        <v>179</v>
      </c>
      <c r="B180" s="41" t="s">
        <v>2041</v>
      </c>
      <c r="C180" s="41" t="str">
        <f ca="1">VLOOKUP(B180,lists!A$2:B1000,2)</f>
        <v>Концентрация этилена относительно ПДЗ</v>
      </c>
      <c r="D180" s="41" t="s">
        <v>2042</v>
      </c>
    </row>
    <row r="181" spans="1:4" ht="15.75" customHeight="1" x14ac:dyDescent="0.25">
      <c r="A181" s="40">
        <v>180</v>
      </c>
      <c r="B181" s="41" t="s">
        <v>2043</v>
      </c>
      <c r="C181" s="41" t="str">
        <f ca="1">VLOOKUP(B181,lists!A$2:B1000,2)</f>
        <v>Концентрация этана относительно ПДЗ</v>
      </c>
      <c r="D181" s="41" t="s">
        <v>2044</v>
      </c>
    </row>
    <row r="182" spans="1:4" ht="15.75" customHeight="1" x14ac:dyDescent="0.25">
      <c r="A182" s="40">
        <v>181</v>
      </c>
      <c r="B182" s="41" t="s">
        <v>2045</v>
      </c>
      <c r="C182" s="41" t="str">
        <f ca="1">VLOOKUP(B182,lists!A$2:B1000,2)</f>
        <v>Концентрация ацетилена относительно ПДЗ</v>
      </c>
      <c r="D182" s="41" t="s">
        <v>2046</v>
      </c>
    </row>
    <row r="183" spans="1:4" ht="15.75" customHeight="1" x14ac:dyDescent="0.25">
      <c r="A183" s="40">
        <v>182</v>
      </c>
      <c r="B183" s="41" t="s">
        <v>2047</v>
      </c>
      <c r="C183" s="41" t="str">
        <f ca="1">VLOOKUP(B183,lists!A$2:B1000,2)</f>
        <v>Счётчик недопустимых по паузе перенапряжений</v>
      </c>
      <c r="D183" s="41" t="s">
        <v>2048</v>
      </c>
    </row>
    <row r="184" spans="1:4" ht="15.75" customHeight="1" x14ac:dyDescent="0.25">
      <c r="A184" s="40">
        <v>183</v>
      </c>
      <c r="B184" s="41" t="s">
        <v>2049</v>
      </c>
      <c r="C184" s="41" t="str">
        <f ca="1">VLOOKUP(B184,lists!A$2:B1000,2)</f>
        <v>Счётчик недопустимых по паузе перенапряжений</v>
      </c>
      <c r="D184" s="41" t="s">
        <v>2050</v>
      </c>
    </row>
    <row r="185" spans="1:4" ht="15.75" customHeight="1" x14ac:dyDescent="0.25">
      <c r="A185" s="40">
        <v>184</v>
      </c>
      <c r="B185" s="41" t="s">
        <v>2051</v>
      </c>
      <c r="C185" s="41" t="str">
        <f ca="1">VLOOKUP(B185,lists!A$2:B1000,2)</f>
        <v>Счётчик недопустимых по паузе перенапряжений</v>
      </c>
      <c r="D185" s="41" t="s">
        <v>2052</v>
      </c>
    </row>
    <row r="186" spans="1:4" ht="15.75" customHeight="1" x14ac:dyDescent="0.25">
      <c r="A186" s="40">
        <v>185</v>
      </c>
      <c r="B186" s="41" t="s">
        <v>2053</v>
      </c>
      <c r="C186" s="41" t="str">
        <f ca="1">VLOOKUP(B186,lists!A$2:B1000,2)</f>
        <v>Счётчик недопустимых по паузе перенапряжений</v>
      </c>
      <c r="D186" s="41" t="s">
        <v>2054</v>
      </c>
    </row>
    <row r="187" spans="1:4" ht="15.75" customHeight="1" x14ac:dyDescent="0.25">
      <c r="A187" s="40">
        <v>186</v>
      </c>
      <c r="B187" s="41" t="s">
        <v>2055</v>
      </c>
      <c r="C187" s="41" t="str">
        <f ca="1">VLOOKUP(B187,lists!A$2:B1000,2)</f>
        <v>Счётчик недопустимых по паузе перенапряжений</v>
      </c>
      <c r="D187" s="41" t="s">
        <v>2056</v>
      </c>
    </row>
    <row r="188" spans="1:4" ht="15.75" customHeight="1" x14ac:dyDescent="0.25">
      <c r="A188" s="40">
        <v>187</v>
      </c>
      <c r="B188" s="41" t="s">
        <v>2057</v>
      </c>
      <c r="C188" s="41" t="str">
        <f ca="1">VLOOKUP(B188,lists!A$2:B1000,2)</f>
        <v>Счётчик недопустимых по паузе перенапряжений</v>
      </c>
      <c r="D188" s="41" t="s">
        <v>2058</v>
      </c>
    </row>
    <row r="189" spans="1:4" ht="15.75" customHeight="1" x14ac:dyDescent="0.25">
      <c r="A189" s="40">
        <v>188</v>
      </c>
      <c r="B189" s="41" t="s">
        <v>2059</v>
      </c>
      <c r="C189" s="41" t="str">
        <f ca="1">VLOOKUP(B189,lists!A$2:B1000,2)</f>
        <v>Счётчик недопустимых по паузе перенапряжений</v>
      </c>
      <c r="D189" s="41" t="s">
        <v>2060</v>
      </c>
    </row>
    <row r="190" spans="1:4" ht="15.75" customHeight="1" x14ac:dyDescent="0.25">
      <c r="A190" s="40">
        <v>189</v>
      </c>
      <c r="B190" s="41" t="s">
        <v>2061</v>
      </c>
      <c r="C190" s="41" t="str">
        <f ca="1">VLOOKUP(B190,lists!A$2:B1000,2)</f>
        <v>Отношение пар газов: ацетилен/этилен</v>
      </c>
      <c r="D190" s="42" t="s">
        <v>2062</v>
      </c>
    </row>
    <row r="191" spans="1:4" ht="15.75" customHeight="1" x14ac:dyDescent="0.25">
      <c r="A191" s="40">
        <v>190</v>
      </c>
      <c r="B191" s="41" t="s">
        <v>2063</v>
      </c>
      <c r="C191" s="41" t="str">
        <f ca="1">VLOOKUP(B191,lists!A$2:B1000,2)</f>
        <v>Отношение пар газов: метан/водород</v>
      </c>
      <c r="D191" s="42" t="s">
        <v>2064</v>
      </c>
    </row>
    <row r="192" spans="1:4" ht="15.75" customHeight="1" x14ac:dyDescent="0.25">
      <c r="A192" s="40">
        <v>191</v>
      </c>
      <c r="B192" s="41" t="s">
        <v>2065</v>
      </c>
      <c r="C192" s="41" t="str">
        <f ca="1">VLOOKUP(B192,lists!A$2:B1000,2)</f>
        <v>Отношение пар газов: этилен/этан</v>
      </c>
      <c r="D192" s="42" t="s">
        <v>2066</v>
      </c>
    </row>
    <row r="193" spans="1:4" ht="15.75" customHeight="1" x14ac:dyDescent="0.25">
      <c r="A193" s="40">
        <v>192</v>
      </c>
      <c r="B193" s="41" t="s">
        <v>2067</v>
      </c>
      <c r="C193" s="41" t="str">
        <f ca="1">VLOOKUP(B193,lists!A$2:B1000,2)</f>
        <v>Отношение пар газов: ацетилен/этан</v>
      </c>
      <c r="D193" s="42" t="s">
        <v>2068</v>
      </c>
    </row>
    <row r="194" spans="1:4" ht="15.75" customHeight="1" x14ac:dyDescent="0.25">
      <c r="A194" s="40">
        <v>193</v>
      </c>
      <c r="B194" s="41" t="s">
        <v>2069</v>
      </c>
      <c r="C194" s="41" t="str">
        <f ca="1">VLOOKUP(B194,lists!A$2:B1000,2)</f>
        <v>Отношение пар газов: оксид углерода/диоксид углерода</v>
      </c>
      <c r="D194" s="42" t="s">
        <v>2070</v>
      </c>
    </row>
    <row r="195" spans="1:4" ht="15.75" customHeight="1" x14ac:dyDescent="0.25">
      <c r="A195" s="40">
        <v>194</v>
      </c>
      <c r="B195" s="41" t="s">
        <v>2071</v>
      </c>
      <c r="C195" s="41" t="str">
        <f ca="1">VLOOKUP(B195,lists!A$2:B1000,2)</f>
        <v>Минимальное значение отношения пар газов co2/co</v>
      </c>
      <c r="D195" s="42" t="s">
        <v>2072</v>
      </c>
    </row>
    <row r="196" spans="1:4" ht="15.75" customHeight="1" x14ac:dyDescent="0.25">
      <c r="A196" s="40">
        <v>195</v>
      </c>
      <c r="B196" s="41" t="s">
        <v>2073</v>
      </c>
      <c r="C196" s="41" t="str">
        <f ca="1">VLOOKUP(B196,lists!A$2:B1000,2)</f>
        <v>Максимальное значения отношения пар газов co2/co</v>
      </c>
      <c r="D196" s="42" t="s">
        <v>2072</v>
      </c>
    </row>
    <row r="197" spans="1:4" ht="15.75" customHeight="1" x14ac:dyDescent="0.25">
      <c r="A197" s="40">
        <v>196</v>
      </c>
      <c r="B197" s="41" t="s">
        <v>2074</v>
      </c>
      <c r="C197" s="41" t="str">
        <f ca="1">VLOOKUP(B197,lists!A$2:B1000,2)</f>
        <v>Минимальное значение отношения пар газов co2/co, ручное</v>
      </c>
      <c r="D197" s="42" t="s">
        <v>2075</v>
      </c>
    </row>
    <row r="198" spans="1:4" ht="15.75" customHeight="1" x14ac:dyDescent="0.25">
      <c r="A198" s="40">
        <v>197</v>
      </c>
      <c r="B198" s="41" t="s">
        <v>2076</v>
      </c>
      <c r="C198" s="41" t="str">
        <f ca="1">VLOOKUP(B198,lists!A$2:B1000,2)</f>
        <v>Максимальное значения отношения пар газов co2/co, ручное</v>
      </c>
      <c r="D198" s="42" t="s">
        <v>2077</v>
      </c>
    </row>
    <row r="199" spans="1:4" ht="15.75" customHeight="1" x14ac:dyDescent="0.25">
      <c r="A199" s="40">
        <v>198</v>
      </c>
      <c r="B199" s="41" t="s">
        <v>2078</v>
      </c>
      <c r="C199" s="41" t="str">
        <f ca="1">VLOOKUP(B199,lists!A$2:B1000,2)</f>
        <v>Счётчик недопустимых по паузе перенапряжений</v>
      </c>
      <c r="D199" s="41"/>
    </row>
    <row r="200" spans="1:4" ht="15.75" customHeight="1" x14ac:dyDescent="0.25">
      <c r="A200" s="40">
        <v>199</v>
      </c>
      <c r="B200" s="41" t="s">
        <v>2079</v>
      </c>
      <c r="C200" s="41" t="str">
        <f ca="1">VLOOKUP(B200,lists!A$2:B1000,2)</f>
        <v>Счётчик недопустимых по паузе перенапряжений</v>
      </c>
      <c r="D200" s="41"/>
    </row>
    <row r="201" spans="1:4" ht="15.75" customHeight="1" x14ac:dyDescent="0.25">
      <c r="A201" s="40">
        <v>200</v>
      </c>
      <c r="B201" s="41" t="s">
        <v>2080</v>
      </c>
      <c r="C201" s="41" t="str">
        <f ca="1">VLOOKUP(B201,lists!A$2:B1000,2)</f>
        <v>Счётчик недопустимых по паузе перенапряжений</v>
      </c>
      <c r="D201" s="41"/>
    </row>
    <row r="202" spans="1:4" ht="15.75" customHeight="1" x14ac:dyDescent="0.25">
      <c r="A202" s="40">
        <v>201</v>
      </c>
      <c r="B202" s="41" t="s">
        <v>2081</v>
      </c>
      <c r="C202" s="41" t="str">
        <f ca="1">VLOOKUP(B202,lists!A$2:B1000,2)</f>
        <v>Счётчик недопустимых по паузе перенапряжений</v>
      </c>
      <c r="D202" s="41"/>
    </row>
    <row r="203" spans="1:4" ht="15.75" customHeight="1" x14ac:dyDescent="0.25">
      <c r="A203" s="40">
        <v>202</v>
      </c>
      <c r="B203" s="41" t="s">
        <v>2082</v>
      </c>
      <c r="C203" s="41" t="str">
        <f ca="1">VLOOKUP(B203,lists!A$2:B1000,2)</f>
        <v>Счётчик недопустимых по паузе перенапряжений</v>
      </c>
      <c r="D203" s="41"/>
    </row>
    <row r="204" spans="1:4" ht="15.75" customHeight="1" x14ac:dyDescent="0.25">
      <c r="A204" s="40">
        <v>203</v>
      </c>
      <c r="B204" s="41" t="s">
        <v>2083</v>
      </c>
      <c r="C204" s="41" t="str">
        <f ca="1">VLOOKUP(B204,lists!A$2:B1000,2)</f>
        <v>Счётчик недопустимых по паузе перенапряжений</v>
      </c>
      <c r="D204" s="41"/>
    </row>
    <row r="205" spans="1:4" ht="15.75" customHeight="1" x14ac:dyDescent="0.25">
      <c r="A205" s="40">
        <v>204</v>
      </c>
      <c r="B205" s="41" t="s">
        <v>2084</v>
      </c>
      <c r="C205" s="41" t="str">
        <f ca="1">VLOOKUP(B205,lists!A$2:B1000,2)</f>
        <v>Счётчик недопустимых по паузе перенапряжений</v>
      </c>
      <c r="D205" s="41"/>
    </row>
    <row r="206" spans="1:4" ht="15.75" customHeight="1" x14ac:dyDescent="0.25">
      <c r="A206" s="40">
        <v>205</v>
      </c>
      <c r="B206" s="41" t="s">
        <v>2085</v>
      </c>
      <c r="C206" s="41" t="str">
        <f ca="1">VLOOKUP(B206,lists!A$2:B1000,2)</f>
        <v>Счётчик недопустимых по паузе перенапряжений</v>
      </c>
      <c r="D206" s="41"/>
    </row>
    <row r="207" spans="1:4" ht="15.75" customHeight="1" x14ac:dyDescent="0.25">
      <c r="A207" s="40">
        <v>206</v>
      </c>
      <c r="B207" s="41" t="s">
        <v>2086</v>
      </c>
      <c r="C207" s="41" t="str">
        <f ca="1">VLOOKUP(B207,lists!A$2:B1000,2)</f>
        <v>Счётчик недопустимых по паузе перенапряжений</v>
      </c>
      <c r="D207" s="41"/>
    </row>
    <row r="208" spans="1:4" ht="15.75" customHeight="1" x14ac:dyDescent="0.25">
      <c r="A208" s="40">
        <v>207</v>
      </c>
      <c r="B208" s="41" t="s">
        <v>2087</v>
      </c>
      <c r="C208" s="41" t="str">
        <f ca="1">VLOOKUP(B208,lists!A$2:B1000,2)</f>
        <v>Счётчик недопустимых по паузе перенапряжений</v>
      </c>
      <c r="D208" s="41"/>
    </row>
    <row r="209" spans="1:4" ht="15.75" customHeight="1" x14ac:dyDescent="0.25">
      <c r="A209" s="40">
        <v>208</v>
      </c>
      <c r="B209" s="41" t="s">
        <v>2088</v>
      </c>
      <c r="C209" s="41" t="str">
        <f ca="1">VLOOKUP(B209,lists!A$2:B1000,2)</f>
        <v>Счётчик недопустимых по паузе перенапряжений</v>
      </c>
      <c r="D209" s="41"/>
    </row>
    <row r="210" spans="1:4" ht="15.75" customHeight="1" x14ac:dyDescent="0.25">
      <c r="A210" s="40">
        <v>209</v>
      </c>
      <c r="B210" s="41" t="s">
        <v>2089</v>
      </c>
      <c r="C210" s="41" t="str">
        <f ca="1">VLOOKUP(B210,lists!A$2:B1000,2)</f>
        <v>Счётчик недопустимых по паузе перенапряжений</v>
      </c>
      <c r="D210" s="41"/>
    </row>
    <row r="211" spans="1:4" ht="15.75" customHeight="1" x14ac:dyDescent="0.25">
      <c r="A211" s="40">
        <v>210</v>
      </c>
      <c r="B211" s="41" t="s">
        <v>2090</v>
      </c>
      <c r="C211" s="41" t="str">
        <f ca="1">VLOOKUP(B211,lists!A$2:B1000,2)</f>
        <v>Счётчик недопустимых по паузе перенапряжений</v>
      </c>
      <c r="D211" s="41"/>
    </row>
    <row r="212" spans="1:4" ht="15.75" customHeight="1" x14ac:dyDescent="0.25">
      <c r="A212" s="40">
        <v>211</v>
      </c>
      <c r="B212" s="41" t="s">
        <v>2091</v>
      </c>
      <c r="C212" s="41" t="str">
        <f ca="1">VLOOKUP(B212,lists!A$2:B1000,2)</f>
        <v>Счётчик недопустимых по паузе перенапряжений</v>
      </c>
      <c r="D212" s="41"/>
    </row>
    <row r="213" spans="1:4" ht="15.75" customHeight="1" x14ac:dyDescent="0.25">
      <c r="A213" s="40">
        <v>212</v>
      </c>
      <c r="B213" s="41" t="s">
        <v>2092</v>
      </c>
      <c r="C213" s="41" t="str">
        <f ca="1">VLOOKUP(B213,lists!A$2:B1000,2)</f>
        <v>Счётчик недопустимых по паузе перенапряжений</v>
      </c>
      <c r="D213" s="41"/>
    </row>
    <row r="214" spans="1:4" ht="15.75" customHeight="1" x14ac:dyDescent="0.25">
      <c r="A214" s="40">
        <v>213</v>
      </c>
      <c r="B214" s="41" t="s">
        <v>2093</v>
      </c>
      <c r="C214" s="41" t="str">
        <f ca="1">VLOOKUP(B214,lists!A$2:B1000,2)</f>
        <v>Счётчик недопустимых по паузе перенапряжений</v>
      </c>
      <c r="D214" s="41"/>
    </row>
    <row r="215" spans="1:4" ht="15.75" customHeight="1" x14ac:dyDescent="0.25">
      <c r="A215" s="40">
        <v>214</v>
      </c>
      <c r="B215" s="41" t="s">
        <v>2094</v>
      </c>
      <c r="C215" s="41" t="str">
        <f ca="1">VLOOKUP(B215,lists!A$2:B1000,2)</f>
        <v>Счётчик недопустимых по паузе перенапряжений</v>
      </c>
      <c r="D215" s="41"/>
    </row>
    <row r="216" spans="1:4" ht="15.75" customHeight="1" x14ac:dyDescent="0.25">
      <c r="A216" s="40">
        <v>215</v>
      </c>
      <c r="B216" s="41" t="s">
        <v>2095</v>
      </c>
      <c r="C216" s="41" t="str">
        <f ca="1">VLOOKUP(B216,lists!A$2:B1000,2)</f>
        <v>Счётчик недопустимых по паузе перенапряжений</v>
      </c>
      <c r="D216" s="41"/>
    </row>
    <row r="217" spans="1:4" ht="15.75" customHeight="1" x14ac:dyDescent="0.25">
      <c r="A217" s="40">
        <v>216</v>
      </c>
      <c r="B217" s="41" t="s">
        <v>2096</v>
      </c>
      <c r="C217" s="41" t="str">
        <f ca="1">VLOOKUP(B217,lists!A$2:B1000,2)</f>
        <v>Счётчик недопустимых по паузе перенапряжений</v>
      </c>
      <c r="D217" s="41"/>
    </row>
    <row r="218" spans="1:4" ht="15.75" customHeight="1" x14ac:dyDescent="0.25">
      <c r="A218" s="40">
        <v>217</v>
      </c>
      <c r="B218" s="41" t="s">
        <v>2097</v>
      </c>
      <c r="C218" s="41" t="str">
        <f ca="1">VLOOKUP(B218,lists!A$2:B1000,2)</f>
        <v>Счётчик недопустимых по паузе перенапряжений</v>
      </c>
      <c r="D218" s="41"/>
    </row>
    <row r="219" spans="1:4" ht="15.75" customHeight="1" x14ac:dyDescent="0.25">
      <c r="A219" s="40">
        <v>218</v>
      </c>
      <c r="B219" s="41" t="s">
        <v>2098</v>
      </c>
      <c r="C219" s="41" t="str">
        <f ca="1">VLOOKUP(B219,lists!A$2:B1000,2)</f>
        <v>Счётчик недопустимых по паузе перенапряжений</v>
      </c>
      <c r="D219" s="41"/>
    </row>
    <row r="220" spans="1:4" ht="15.75" customHeight="1" x14ac:dyDescent="0.25">
      <c r="A220" s="40">
        <v>219</v>
      </c>
      <c r="B220" s="41" t="s">
        <v>2099</v>
      </c>
      <c r="C220" s="41" t="str">
        <f ca="1">VLOOKUP(B220,lists!A$2:B1000,2)</f>
        <v>ДЗ концентрации оксида углерода</v>
      </c>
      <c r="D220" s="13" t="s">
        <v>2100</v>
      </c>
    </row>
    <row r="221" spans="1:4" ht="15.75" customHeight="1" x14ac:dyDescent="0.25">
      <c r="A221" s="40">
        <v>220</v>
      </c>
      <c r="B221" s="41" t="s">
        <v>2101</v>
      </c>
      <c r="C221" s="41" t="str">
        <f ca="1">VLOOKUP(B221,lists!A$2:B1000,2)</f>
        <v>ДЗ концентрации диоксида углерода</v>
      </c>
      <c r="D221" s="9" t="s">
        <v>2102</v>
      </c>
    </row>
    <row r="222" spans="1:4" ht="15.75" customHeight="1" x14ac:dyDescent="0.25">
      <c r="A222" s="40">
        <v>221</v>
      </c>
      <c r="B222" s="41" t="s">
        <v>2103</v>
      </c>
      <c r="C222" s="41" t="str">
        <f ca="1">VLOOKUP(B222,lists!A$2:B1000,2)</f>
        <v>ДЗ концентрации метана</v>
      </c>
      <c r="D222" s="9" t="s">
        <v>2104</v>
      </c>
    </row>
    <row r="223" spans="1:4" ht="15.75" customHeight="1" x14ac:dyDescent="0.25">
      <c r="A223" s="40">
        <v>222</v>
      </c>
      <c r="B223" s="41" t="s">
        <v>2105</v>
      </c>
      <c r="C223" s="41" t="str">
        <f ca="1">VLOOKUP(B223,lists!A$2:B1000,2)</f>
        <v>ДЗ концентрации этана</v>
      </c>
      <c r="D223" s="9" t="s">
        <v>2106</v>
      </c>
    </row>
    <row r="224" spans="1:4" ht="15.75" customHeight="1" x14ac:dyDescent="0.25">
      <c r="A224" s="40">
        <v>223</v>
      </c>
      <c r="B224" s="41" t="s">
        <v>2107</v>
      </c>
      <c r="C224" s="41" t="str">
        <f ca="1">VLOOKUP(B224,lists!A$2:B1000,2)</f>
        <v>ДЗ концентрации этилена</v>
      </c>
      <c r="D224" s="9" t="s">
        <v>2108</v>
      </c>
    </row>
    <row r="225" spans="1:4" ht="15.75" customHeight="1" x14ac:dyDescent="0.25">
      <c r="A225" s="40">
        <v>224</v>
      </c>
      <c r="B225" s="41" t="s">
        <v>2109</v>
      </c>
      <c r="C225" s="41" t="str">
        <f ca="1">VLOOKUP(B225,lists!A$2:B1000,2)</f>
        <v>ДЗ концентрации ацетилена</v>
      </c>
      <c r="D225" s="9" t="s">
        <v>2110</v>
      </c>
    </row>
    <row r="226" spans="1:4" ht="15.75" customHeight="1" x14ac:dyDescent="0.25">
      <c r="A226" s="40">
        <v>225</v>
      </c>
      <c r="B226" s="41" t="s">
        <v>2111</v>
      </c>
      <c r="C226" s="41" t="str">
        <f ca="1">VLOOKUP(B226,lists!A$2:B1000,2)</f>
        <v>ДЗ концентрации водорода</v>
      </c>
      <c r="D226" s="9" t="s">
        <v>2112</v>
      </c>
    </row>
    <row r="227" spans="1:4" ht="15.75" customHeight="1" x14ac:dyDescent="0.25">
      <c r="A227" s="40">
        <v>226</v>
      </c>
      <c r="B227" s="41" t="s">
        <v>2113</v>
      </c>
      <c r="C227" s="41" t="str">
        <f ca="1">VLOOKUP(B227,lists!A$2:B1000,2)</f>
        <v>ПДЗ концентрации оксида углерода</v>
      </c>
      <c r="D227" s="9" t="s">
        <v>2114</v>
      </c>
    </row>
    <row r="228" spans="1:4" ht="15.75" customHeight="1" x14ac:dyDescent="0.25">
      <c r="A228" s="40">
        <v>227</v>
      </c>
      <c r="B228" s="41" t="s">
        <v>2115</v>
      </c>
      <c r="C228" s="41" t="str">
        <f ca="1">VLOOKUP(B228,lists!A$2:B1000,2)</f>
        <v>ПДЗ концентрации диоксида углерода</v>
      </c>
      <c r="D228" s="9" t="s">
        <v>2116</v>
      </c>
    </row>
    <row r="229" spans="1:4" ht="15.75" customHeight="1" x14ac:dyDescent="0.25">
      <c r="A229" s="40">
        <v>228</v>
      </c>
      <c r="B229" s="41" t="s">
        <v>2117</v>
      </c>
      <c r="C229" s="41" t="str">
        <f ca="1">VLOOKUP(B229,lists!A$2:B1000,2)</f>
        <v>ПДЗ концентрации метана</v>
      </c>
      <c r="D229" s="9" t="s">
        <v>2118</v>
      </c>
    </row>
    <row r="230" spans="1:4" ht="15.75" customHeight="1" x14ac:dyDescent="0.25">
      <c r="A230" s="40">
        <v>229</v>
      </c>
      <c r="B230" s="41" t="s">
        <v>2119</v>
      </c>
      <c r="C230" s="41" t="str">
        <f ca="1">VLOOKUP(B230,lists!A$2:B1000,2)</f>
        <v>ПДЗ концентрации этана</v>
      </c>
      <c r="D230" s="9" t="s">
        <v>2120</v>
      </c>
    </row>
    <row r="231" spans="1:4" ht="15.75" customHeight="1" x14ac:dyDescent="0.25">
      <c r="A231" s="40">
        <v>230</v>
      </c>
      <c r="B231" s="41" t="s">
        <v>2121</v>
      </c>
      <c r="C231" s="41" t="str">
        <f ca="1">VLOOKUP(B231,lists!A$2:B1000,2)</f>
        <v>ПДЗ концентрации этилена</v>
      </c>
      <c r="D231" s="9" t="s">
        <v>2122</v>
      </c>
    </row>
    <row r="232" spans="1:4" ht="15.75" customHeight="1" x14ac:dyDescent="0.25">
      <c r="A232" s="40">
        <v>231</v>
      </c>
      <c r="B232" s="41" t="s">
        <v>2123</v>
      </c>
      <c r="C232" s="41" t="str">
        <f ca="1">VLOOKUP(B232,lists!A$2:B1000,2)</f>
        <v>ПДЗ концентрации ацетилена</v>
      </c>
      <c r="D232" s="41" t="s">
        <v>2124</v>
      </c>
    </row>
    <row r="233" spans="1:4" ht="15.75" customHeight="1" x14ac:dyDescent="0.25">
      <c r="A233" s="40">
        <v>232</v>
      </c>
      <c r="B233" s="41" t="s">
        <v>2125</v>
      </c>
      <c r="C233" s="41" t="str">
        <f ca="1">VLOOKUP(B233,lists!A$2:B1000,2)</f>
        <v>ПДЗ концентрации водорода</v>
      </c>
      <c r="D233" s="43" t="s">
        <v>2126</v>
      </c>
    </row>
    <row r="234" spans="1:4" ht="15.75" customHeight="1" x14ac:dyDescent="0.25">
      <c r="A234" s="40">
        <v>233</v>
      </c>
      <c r="B234" s="41" t="s">
        <v>2127</v>
      </c>
      <c r="C234" s="41" t="str">
        <f ca="1">VLOOKUP(B234,lists!A$2:B1000,2)</f>
        <v>ДЗ концентрации водорода ручное</v>
      </c>
      <c r="D234" s="9" t="s">
        <v>2128</v>
      </c>
    </row>
    <row r="235" spans="1:4" ht="15.75" customHeight="1" x14ac:dyDescent="0.25">
      <c r="A235" s="40">
        <v>234</v>
      </c>
      <c r="B235" s="41" t="s">
        <v>2129</v>
      </c>
      <c r="C235" s="41" t="str">
        <f ca="1">VLOOKUP(B235,lists!A$2:B1000,2)</f>
        <v>ДЗ концентрации оксида углерода ручное</v>
      </c>
      <c r="D235" s="13" t="s">
        <v>2130</v>
      </c>
    </row>
    <row r="236" spans="1:4" ht="15.75" customHeight="1" x14ac:dyDescent="0.25">
      <c r="A236" s="40">
        <v>235</v>
      </c>
      <c r="B236" s="41" t="s">
        <v>2131</v>
      </c>
      <c r="C236" s="41" t="str">
        <f ca="1">VLOOKUP(B236,lists!A$2:B1000,2)</f>
        <v>ДЗ концентрации диоксида углерода ручное</v>
      </c>
      <c r="D236" s="9" t="s">
        <v>2132</v>
      </c>
    </row>
    <row r="237" spans="1:4" ht="15.75" customHeight="1" x14ac:dyDescent="0.25">
      <c r="A237" s="40">
        <v>236</v>
      </c>
      <c r="B237" s="41" t="s">
        <v>2133</v>
      </c>
      <c r="C237" s="41" t="str">
        <f ca="1">VLOOKUP(B237,lists!A$2:B1000,2)</f>
        <v>ДЗ концентрации метана ручное</v>
      </c>
      <c r="D237" s="9" t="s">
        <v>2134</v>
      </c>
    </row>
    <row r="238" spans="1:4" ht="15.75" customHeight="1" x14ac:dyDescent="0.25">
      <c r="A238" s="40">
        <v>237</v>
      </c>
      <c r="B238" s="41" t="s">
        <v>2135</v>
      </c>
      <c r="C238" s="41" t="str">
        <f ca="1">VLOOKUP(B238,lists!A$2:B1000,2)</f>
        <v>ДЗ концентрации этана ручное</v>
      </c>
      <c r="D238" s="13" t="s">
        <v>2136</v>
      </c>
    </row>
    <row r="239" spans="1:4" ht="15.75" customHeight="1" x14ac:dyDescent="0.25">
      <c r="A239" s="40">
        <v>238</v>
      </c>
      <c r="B239" s="41" t="s">
        <v>2137</v>
      </c>
      <c r="C239" s="41" t="str">
        <f ca="1">VLOOKUP(B239,lists!A$2:B1000,2)</f>
        <v>ДЗ концентрации этилена ручное</v>
      </c>
      <c r="D239" s="9" t="s">
        <v>2138</v>
      </c>
    </row>
    <row r="240" spans="1:4" ht="15.75" customHeight="1" x14ac:dyDescent="0.25">
      <c r="A240" s="40">
        <v>239</v>
      </c>
      <c r="B240" s="41" t="s">
        <v>2139</v>
      </c>
      <c r="C240" s="41" t="str">
        <f ca="1">VLOOKUP(B240,lists!A$2:B1000,2)</f>
        <v>ДЗ концентрации ацетилена ручное</v>
      </c>
      <c r="D240" s="9" t="s">
        <v>2140</v>
      </c>
    </row>
    <row r="241" spans="1:4" ht="15.75" customHeight="1" x14ac:dyDescent="0.25">
      <c r="A241" s="40">
        <v>240</v>
      </c>
      <c r="B241" s="41" t="s">
        <v>2141</v>
      </c>
      <c r="C241" s="41" t="str">
        <f ca="1">VLOOKUP(B241,lists!A$2:B1000,2)</f>
        <v>ДЗ концентрации горючих газов и водорода ручное</v>
      </c>
      <c r="D241" s="41"/>
    </row>
    <row r="242" spans="1:4" ht="15.75" customHeight="1" x14ac:dyDescent="0.25">
      <c r="A242" s="40">
        <v>241</v>
      </c>
      <c r="B242" s="41" t="s">
        <v>2142</v>
      </c>
      <c r="C242" s="41" t="str">
        <f ca="1">VLOOKUP(B242,lists!A$2:B1000,2)</f>
        <v>ПДЗ концентрации водорода ручное</v>
      </c>
      <c r="D242" s="9" t="s">
        <v>2143</v>
      </c>
    </row>
    <row r="243" spans="1:4" ht="15.75" customHeight="1" x14ac:dyDescent="0.25">
      <c r="A243" s="40">
        <v>242</v>
      </c>
      <c r="B243" s="41" t="s">
        <v>2144</v>
      </c>
      <c r="C243" s="41" t="str">
        <f ca="1">VLOOKUP(B243,lists!A$2:B1000,2)</f>
        <v>ПДЗ концентрации оксида углерода ручное</v>
      </c>
      <c r="D243" s="9" t="s">
        <v>2145</v>
      </c>
    </row>
    <row r="244" spans="1:4" ht="15.75" customHeight="1" x14ac:dyDescent="0.25">
      <c r="A244" s="40">
        <v>243</v>
      </c>
      <c r="B244" s="41" t="s">
        <v>2146</v>
      </c>
      <c r="C244" s="41" t="str">
        <f ca="1">VLOOKUP(B244,lists!A$2:B1000,2)</f>
        <v>ПДЗ концентрации диоксида углерода ручное</v>
      </c>
      <c r="D244" s="9" t="s">
        <v>2147</v>
      </c>
    </row>
    <row r="245" spans="1:4" ht="15.75" customHeight="1" x14ac:dyDescent="0.25">
      <c r="A245" s="40">
        <v>244</v>
      </c>
      <c r="B245" s="41" t="s">
        <v>2148</v>
      </c>
      <c r="C245" s="41" t="str">
        <f ca="1">VLOOKUP(B245,lists!A$2:B1000,2)</f>
        <v>ПДЗ концентрации метана ручное</v>
      </c>
      <c r="D245" s="9" t="s">
        <v>2149</v>
      </c>
    </row>
    <row r="246" spans="1:4" ht="15.75" customHeight="1" x14ac:dyDescent="0.25">
      <c r="A246" s="40">
        <v>245</v>
      </c>
      <c r="B246" s="41" t="s">
        <v>2150</v>
      </c>
      <c r="C246" s="41" t="str">
        <f ca="1">VLOOKUP(B246,lists!A$2:B1000,2)</f>
        <v>ПДЗ концентрации этана ручное</v>
      </c>
      <c r="D246" s="41" t="s">
        <v>2120</v>
      </c>
    </row>
    <row r="247" spans="1:4" ht="15.75" customHeight="1" x14ac:dyDescent="0.25">
      <c r="A247" s="40">
        <v>246</v>
      </c>
      <c r="B247" s="41" t="s">
        <v>2151</v>
      </c>
      <c r="C247" s="41" t="str">
        <f ca="1">VLOOKUP(B247,lists!A$2:B1000,2)</f>
        <v>ПДЗ концентрации этилена ручное</v>
      </c>
      <c r="D247" s="13" t="s">
        <v>2152</v>
      </c>
    </row>
    <row r="248" spans="1:4" ht="15.75" customHeight="1" x14ac:dyDescent="0.25">
      <c r="A248" s="40">
        <v>247</v>
      </c>
      <c r="B248" s="41" t="s">
        <v>2153</v>
      </c>
      <c r="C248" s="41" t="str">
        <f ca="1">VLOOKUP(B248,lists!A$2:B1000,2)</f>
        <v>ПДЗ концентрации ацетилена ручное</v>
      </c>
      <c r="D248" s="9" t="s">
        <v>2154</v>
      </c>
    </row>
    <row r="249" spans="1:4" ht="15.75" customHeight="1" x14ac:dyDescent="0.25">
      <c r="A249" s="40">
        <v>248</v>
      </c>
      <c r="B249" s="41" t="s">
        <v>2155</v>
      </c>
      <c r="C249" s="41" t="str">
        <f ca="1">VLOOKUP(B249,lists!A$2:B1000,2)</f>
        <v>ПДЗ концентрации горючих газов и водорода ручное</v>
      </c>
      <c r="D249" s="41"/>
    </row>
    <row r="250" spans="1:4" ht="15.75" customHeight="1" x14ac:dyDescent="0.25">
      <c r="A250" s="40">
        <v>249</v>
      </c>
      <c r="B250" s="41" t="s">
        <v>2156</v>
      </c>
      <c r="C250" s="41" t="str">
        <f ca="1">VLOOKUP(B250,lists!A$2:B1000,2)</f>
        <v>ДЗ скорости роста концентрации водорода абсолютной, сутки</v>
      </c>
      <c r="D250" s="9" t="s">
        <v>2157</v>
      </c>
    </row>
    <row r="251" spans="1:4" ht="15.75" customHeight="1" x14ac:dyDescent="0.25">
      <c r="A251" s="40">
        <v>250</v>
      </c>
      <c r="B251" s="41" t="s">
        <v>2158</v>
      </c>
      <c r="C251" s="41" t="str">
        <f ca="1">VLOOKUP(B251,lists!A$2:B1000,2)</f>
        <v>ДЗ скорости роста концентрации оксида углерода абсолютной, сутки</v>
      </c>
      <c r="D251" s="41"/>
    </row>
    <row r="252" spans="1:4" ht="15.75" customHeight="1" x14ac:dyDescent="0.25">
      <c r="A252" s="40">
        <v>251</v>
      </c>
      <c r="B252" s="41" t="s">
        <v>2159</v>
      </c>
      <c r="C252" s="41" t="str">
        <f ca="1">VLOOKUP(B252,lists!A$2:B1000,2)</f>
        <v>ДЗ скорости роста концентрации диоксида углерода абсолютной, сутки</v>
      </c>
      <c r="D252" s="41"/>
    </row>
    <row r="253" spans="1:4" ht="15.75" customHeight="1" x14ac:dyDescent="0.25">
      <c r="A253" s="40">
        <v>252</v>
      </c>
      <c r="B253" s="41" t="s">
        <v>2160</v>
      </c>
      <c r="C253" s="41" t="str">
        <f ca="1">VLOOKUP(B253,lists!A$2:B1000,2)</f>
        <v>ДЗ скорости роста концентрации метана абсолютной, сутки</v>
      </c>
      <c r="D253" s="9" t="s">
        <v>2161</v>
      </c>
    </row>
    <row r="254" spans="1:4" ht="15.75" customHeight="1" x14ac:dyDescent="0.25">
      <c r="A254" s="40">
        <v>253</v>
      </c>
      <c r="B254" s="41" t="s">
        <v>2162</v>
      </c>
      <c r="C254" s="41" t="str">
        <f ca="1">VLOOKUP(B254,lists!A$2:B1000,2)</f>
        <v>ДЗ скорости роста концентрации этана абсолютной, сутки</v>
      </c>
      <c r="D254" s="9" t="s">
        <v>2163</v>
      </c>
    </row>
    <row r="255" spans="1:4" ht="15.75" customHeight="1" x14ac:dyDescent="0.25">
      <c r="A255" s="40">
        <v>254</v>
      </c>
      <c r="B255" s="41" t="s">
        <v>2164</v>
      </c>
      <c r="C255" s="41" t="str">
        <f ca="1">VLOOKUP(B255,lists!A$2:B1000,2)</f>
        <v>ДЗ скорости роста концентрации этилена абсолютной, сутки</v>
      </c>
      <c r="D255" s="9" t="s">
        <v>2165</v>
      </c>
    </row>
    <row r="256" spans="1:4" ht="15.75" customHeight="1" x14ac:dyDescent="0.25">
      <c r="A256" s="40">
        <v>255</v>
      </c>
      <c r="B256" s="41" t="s">
        <v>2166</v>
      </c>
      <c r="C256" s="41" t="str">
        <f ca="1">VLOOKUP(B256,lists!A$2:B1000,2)</f>
        <v>ДЗ скорости роста концентрации ацетилена абсолютной, сутки</v>
      </c>
      <c r="D256" s="9" t="s">
        <v>2167</v>
      </c>
    </row>
    <row r="257" spans="1:4" ht="15.75" customHeight="1" x14ac:dyDescent="0.25">
      <c r="A257" s="40">
        <v>256</v>
      </c>
      <c r="B257" s="41" t="s">
        <v>2168</v>
      </c>
      <c r="C257" s="41" t="str">
        <f ca="1">VLOOKUP(B257,lists!A$2:B1000,2)</f>
        <v>ДЗ скорости роста концентрации водорода абсолютной, неделя</v>
      </c>
      <c r="D257" s="9" t="s">
        <v>2169</v>
      </c>
    </row>
    <row r="258" spans="1:4" ht="15.75" customHeight="1" x14ac:dyDescent="0.25">
      <c r="A258" s="40">
        <v>257</v>
      </c>
      <c r="B258" s="41" t="s">
        <v>2170</v>
      </c>
      <c r="C258" s="41" t="str">
        <f ca="1">VLOOKUP(B258,lists!A$2:B1000,2)</f>
        <v>ДЗ скорости роста концентрации оксида углерода абсолютной, неделя</v>
      </c>
      <c r="D258" s="41"/>
    </row>
    <row r="259" spans="1:4" ht="15.75" customHeight="1" x14ac:dyDescent="0.25">
      <c r="A259" s="40">
        <v>258</v>
      </c>
      <c r="B259" s="41" t="s">
        <v>2171</v>
      </c>
      <c r="C259" s="41" t="str">
        <f ca="1">VLOOKUP(B259,lists!A$2:B1000,2)</f>
        <v>ДЗ скорости роста концентрации диоксида углерода абсолютной, неделя</v>
      </c>
      <c r="D259" s="41"/>
    </row>
    <row r="260" spans="1:4" ht="15.75" customHeight="1" x14ac:dyDescent="0.25">
      <c r="A260" s="40">
        <v>259</v>
      </c>
      <c r="B260" s="41" t="s">
        <v>2172</v>
      </c>
      <c r="C260" s="41" t="str">
        <f ca="1">VLOOKUP(B260,lists!A$2:B1000,2)</f>
        <v>ДЗ скорости роста концентрации метана абсолютной, неделя</v>
      </c>
      <c r="D260" s="9" t="s">
        <v>2173</v>
      </c>
    </row>
    <row r="261" spans="1:4" ht="15.75" customHeight="1" x14ac:dyDescent="0.25">
      <c r="A261" s="40">
        <v>260</v>
      </c>
      <c r="B261" s="41" t="s">
        <v>2174</v>
      </c>
      <c r="C261" s="41" t="str">
        <f ca="1">VLOOKUP(B261,lists!A$2:B1000,2)</f>
        <v>ДЗ скорости роста концентрации этана абсолютной, неделя</v>
      </c>
      <c r="D261" s="9" t="s">
        <v>2175</v>
      </c>
    </row>
    <row r="262" spans="1:4" ht="15.75" customHeight="1" x14ac:dyDescent="0.25">
      <c r="A262" s="40">
        <v>261</v>
      </c>
      <c r="B262" s="41" t="s">
        <v>2176</v>
      </c>
      <c r="C262" s="41" t="str">
        <f ca="1">VLOOKUP(B262,lists!A$2:B1000,2)</f>
        <v>ДЗ скорости роста концентрации этилена абсолютной, неделя</v>
      </c>
      <c r="D262" s="9" t="s">
        <v>2177</v>
      </c>
    </row>
    <row r="263" spans="1:4" ht="15.75" customHeight="1" x14ac:dyDescent="0.25">
      <c r="A263" s="40">
        <v>262</v>
      </c>
      <c r="B263" s="41" t="s">
        <v>2178</v>
      </c>
      <c r="C263" s="41" t="str">
        <f ca="1">VLOOKUP(B263,lists!A$2:B1000,2)</f>
        <v>ДЗ скорости роста концентрации ацетилена абсолютной, неделя</v>
      </c>
      <c r="D263" s="9" t="s">
        <v>2179</v>
      </c>
    </row>
    <row r="264" spans="1:4" ht="15.75" customHeight="1" x14ac:dyDescent="0.25">
      <c r="A264" s="40">
        <v>263</v>
      </c>
      <c r="B264" s="41" t="s">
        <v>2180</v>
      </c>
      <c r="C264" s="41" t="str">
        <f ca="1">VLOOKUP(B264,lists!A$2:B1000,2)</f>
        <v>ДЗ скорости роста концентрации водорода абсолютной, месяц</v>
      </c>
      <c r="D264" s="13" t="s">
        <v>2181</v>
      </c>
    </row>
    <row r="265" spans="1:4" ht="15.75" customHeight="1" x14ac:dyDescent="0.25">
      <c r="A265" s="40">
        <v>264</v>
      </c>
      <c r="B265" s="41" t="s">
        <v>2182</v>
      </c>
      <c r="C265" s="41" t="str">
        <f ca="1">VLOOKUP(B265,lists!A$2:B1000,2)</f>
        <v>ДЗ скорости роста концентрации оксида углерода абсолютной, месяц</v>
      </c>
      <c r="D265" s="41"/>
    </row>
    <row r="266" spans="1:4" ht="15.75" customHeight="1" x14ac:dyDescent="0.25">
      <c r="A266" s="40">
        <v>265</v>
      </c>
      <c r="B266" s="41" t="s">
        <v>2183</v>
      </c>
      <c r="C266" s="41" t="str">
        <f ca="1">VLOOKUP(B266,lists!A$2:B1000,2)</f>
        <v>ДЗ скорости роста концентрации диоксида углерода абсолютной, месяц</v>
      </c>
      <c r="D266" s="41"/>
    </row>
    <row r="267" spans="1:4" ht="15.75" customHeight="1" x14ac:dyDescent="0.25">
      <c r="A267" s="40">
        <v>266</v>
      </c>
      <c r="B267" s="41" t="s">
        <v>2184</v>
      </c>
      <c r="C267" s="41" t="str">
        <f ca="1">VLOOKUP(B267,lists!A$2:B1000,2)</f>
        <v>ДЗ скорости роста концентрации метана абсолютной, месяц</v>
      </c>
      <c r="D267" s="9" t="s">
        <v>2185</v>
      </c>
    </row>
    <row r="268" spans="1:4" ht="15.75" customHeight="1" x14ac:dyDescent="0.25">
      <c r="A268" s="40">
        <v>267</v>
      </c>
      <c r="B268" s="41" t="s">
        <v>2186</v>
      </c>
      <c r="C268" s="41" t="str">
        <f ca="1">VLOOKUP(B268,lists!A$2:B1000,2)</f>
        <v>ДЗ скорости роста концентрации этана абсолютной, месяц</v>
      </c>
      <c r="D268" s="9" t="s">
        <v>2187</v>
      </c>
    </row>
    <row r="269" spans="1:4" ht="15.75" customHeight="1" x14ac:dyDescent="0.25">
      <c r="A269" s="40">
        <v>268</v>
      </c>
      <c r="B269" s="41" t="s">
        <v>2188</v>
      </c>
      <c r="C269" s="41" t="str">
        <f ca="1">VLOOKUP(B269,lists!A$2:B1000,2)</f>
        <v>ДЗ скорости роста концентрации этилена абсолютной, месяц</v>
      </c>
      <c r="D269" s="9" t="s">
        <v>2189</v>
      </c>
    </row>
    <row r="270" spans="1:4" ht="15.75" customHeight="1" x14ac:dyDescent="0.25">
      <c r="A270" s="40">
        <v>269</v>
      </c>
      <c r="B270" s="41" t="s">
        <v>2190</v>
      </c>
      <c r="C270" s="41" t="str">
        <f ca="1">VLOOKUP(B270,lists!A$2:B1000,2)</f>
        <v>ДЗ скорости роста концентрации ацетилена абсолютной, месяц</v>
      </c>
      <c r="D270" s="9" t="s">
        <v>2191</v>
      </c>
    </row>
    <row r="271" spans="1:4" ht="15.75" customHeight="1" x14ac:dyDescent="0.25">
      <c r="A271" s="40">
        <v>270</v>
      </c>
      <c r="B271" s="41" t="s">
        <v>2192</v>
      </c>
      <c r="C271" s="41" t="str">
        <f ca="1">VLOOKUP(B271,lists!A$2:B1000,2)</f>
        <v>ДЗ скорости роста концентрации водорода абсолютной, год</v>
      </c>
      <c r="D271" s="9" t="s">
        <v>2193</v>
      </c>
    </row>
    <row r="272" spans="1:4" ht="15.75" customHeight="1" x14ac:dyDescent="0.25">
      <c r="A272" s="40">
        <v>271</v>
      </c>
      <c r="B272" s="41" t="s">
        <v>2194</v>
      </c>
      <c r="C272" s="41" t="str">
        <f ca="1">VLOOKUP(B272,lists!A$2:B1000,2)</f>
        <v>ДЗ скорости роста концентрации оксида углерода абсолютной, год</v>
      </c>
      <c r="D272" s="41"/>
    </row>
    <row r="273" spans="1:4" ht="15.75" customHeight="1" x14ac:dyDescent="0.25">
      <c r="A273" s="40">
        <v>272</v>
      </c>
      <c r="B273" s="41" t="s">
        <v>2195</v>
      </c>
      <c r="C273" s="41" t="str">
        <f ca="1">VLOOKUP(B273,lists!A$2:B1000,2)</f>
        <v>ДЗ скорости роста концентрации диоксида углерода абсолютной, год</v>
      </c>
      <c r="D273" s="41"/>
    </row>
    <row r="274" spans="1:4" ht="15.75" customHeight="1" x14ac:dyDescent="0.25">
      <c r="A274" s="40">
        <v>273</v>
      </c>
      <c r="B274" s="41" t="s">
        <v>2196</v>
      </c>
      <c r="C274" s="41" t="str">
        <f ca="1">VLOOKUP(B274,lists!A$2:B1000,2)</f>
        <v>ДЗ скорости роста концентрации метана абсолютной, год</v>
      </c>
      <c r="D274" s="9" t="s">
        <v>2197</v>
      </c>
    </row>
    <row r="275" spans="1:4" ht="15.75" customHeight="1" x14ac:dyDescent="0.25">
      <c r="A275" s="40">
        <v>274</v>
      </c>
      <c r="B275" s="41" t="s">
        <v>2198</v>
      </c>
      <c r="C275" s="41" t="str">
        <f ca="1">VLOOKUP(B275,lists!A$2:B1000,2)</f>
        <v>ДЗ скорости роста концентрации этана абсолютной, год</v>
      </c>
      <c r="D275" s="9" t="s">
        <v>2199</v>
      </c>
    </row>
    <row r="276" spans="1:4" ht="15.75" customHeight="1" x14ac:dyDescent="0.25">
      <c r="A276" s="40">
        <v>275</v>
      </c>
      <c r="B276" s="41" t="s">
        <v>2200</v>
      </c>
      <c r="C276" s="41" t="str">
        <f ca="1">VLOOKUP(B276,lists!A$2:B1000,2)</f>
        <v>ДЗ скорости роста концентрации этилена абсолютной, год</v>
      </c>
      <c r="D276" s="9" t="s">
        <v>2201</v>
      </c>
    </row>
    <row r="277" spans="1:4" ht="15.75" customHeight="1" x14ac:dyDescent="0.25">
      <c r="A277" s="40">
        <v>276</v>
      </c>
      <c r="B277" s="41" t="s">
        <v>2202</v>
      </c>
      <c r="C277" s="41" t="str">
        <f ca="1">VLOOKUP(B277,lists!A$2:B1000,2)</f>
        <v>ДЗ скорости роста концентрации ацетилена абсолютной, год</v>
      </c>
      <c r="D277" s="9" t="s">
        <v>2203</v>
      </c>
    </row>
    <row r="278" spans="1:4" ht="15.75" customHeight="1" x14ac:dyDescent="0.25">
      <c r="A278" s="40">
        <v>277</v>
      </c>
      <c r="B278" s="41" t="s">
        <v>2204</v>
      </c>
      <c r="C278" s="41" t="str">
        <f ca="1">VLOOKUP(B278,lists!A$2:B1000,2)</f>
        <v>ДЗ скорости роста концентрации водорода относительной, сутки</v>
      </c>
      <c r="D278" s="44" t="s">
        <v>2205</v>
      </c>
    </row>
    <row r="279" spans="1:4" ht="15.75" customHeight="1" x14ac:dyDescent="0.25">
      <c r="A279" s="40">
        <v>278</v>
      </c>
      <c r="B279" s="41" t="s">
        <v>2206</v>
      </c>
      <c r="C279" s="41" t="str">
        <f ca="1">VLOOKUP(B279,lists!A$2:B1000,2)</f>
        <v>ДЗ скорости роста концентрации оксида углерода относительной, сутки</v>
      </c>
      <c r="D279" s="9" t="s">
        <v>2207</v>
      </c>
    </row>
    <row r="280" spans="1:4" ht="15.75" customHeight="1" x14ac:dyDescent="0.25">
      <c r="A280" s="40">
        <v>279</v>
      </c>
      <c r="B280" s="41" t="s">
        <v>2208</v>
      </c>
      <c r="C280" s="41" t="str">
        <f ca="1">VLOOKUP(B280,lists!A$2:B1000,2)</f>
        <v>ДЗ скорости роста концентрации диоксида углерода относительной, сутки</v>
      </c>
      <c r="D280" s="9" t="s">
        <v>2209</v>
      </c>
    </row>
    <row r="281" spans="1:4" ht="15.75" customHeight="1" x14ac:dyDescent="0.25">
      <c r="A281" s="40">
        <v>280</v>
      </c>
      <c r="B281" s="41" t="s">
        <v>2210</v>
      </c>
      <c r="C281" s="41" t="str">
        <f ca="1">VLOOKUP(B281,lists!A$2:B1000,2)</f>
        <v>ДЗ скорости роста концентрации метана относительной, сутки</v>
      </c>
      <c r="D281" s="9" t="s">
        <v>2211</v>
      </c>
    </row>
    <row r="282" spans="1:4" ht="15.75" customHeight="1" x14ac:dyDescent="0.25">
      <c r="A282" s="40">
        <v>281</v>
      </c>
      <c r="B282" s="41" t="s">
        <v>2212</v>
      </c>
      <c r="C282" s="41" t="str">
        <f ca="1">VLOOKUP(B282,lists!A$2:B1000,2)</f>
        <v>ДЗ скорости роста концентрации этана относительной, сутки</v>
      </c>
      <c r="D282" s="9" t="s">
        <v>2213</v>
      </c>
    </row>
    <row r="283" spans="1:4" ht="15.75" customHeight="1" x14ac:dyDescent="0.25">
      <c r="A283" s="40">
        <v>282</v>
      </c>
      <c r="B283" s="41" t="s">
        <v>2214</v>
      </c>
      <c r="C283" s="41" t="str">
        <f ca="1">VLOOKUP(B283,lists!A$2:B1000,2)</f>
        <v>ДЗ скорости роста концентрации этилена относительной, сутки</v>
      </c>
      <c r="D283" s="9" t="s">
        <v>2215</v>
      </c>
    </row>
    <row r="284" spans="1:4" ht="15.75" customHeight="1" x14ac:dyDescent="0.25">
      <c r="A284" s="40">
        <v>283</v>
      </c>
      <c r="B284" s="41" t="s">
        <v>2216</v>
      </c>
      <c r="C284" s="41" t="str">
        <f ca="1">VLOOKUP(B284,lists!A$2:B1000,2)</f>
        <v>ДЗ скорости роста концентрации ацетилена относительной, сутки</v>
      </c>
      <c r="D284" s="9" t="s">
        <v>2217</v>
      </c>
    </row>
    <row r="285" spans="1:4" ht="15.75" customHeight="1" x14ac:dyDescent="0.25">
      <c r="A285" s="40">
        <v>284</v>
      </c>
      <c r="B285" s="41" t="s">
        <v>2218</v>
      </c>
      <c r="C285" s="41" t="str">
        <f ca="1">VLOOKUP(B285,lists!A$2:B1000,2)</f>
        <v>ДЗ скорости роста концентрации водорода относительной, неделя</v>
      </c>
      <c r="D285" s="9" t="s">
        <v>2219</v>
      </c>
    </row>
    <row r="286" spans="1:4" ht="15.75" customHeight="1" x14ac:dyDescent="0.25">
      <c r="A286" s="40">
        <v>285</v>
      </c>
      <c r="B286" s="41" t="s">
        <v>2220</v>
      </c>
      <c r="C286" s="41" t="str">
        <f ca="1">VLOOKUP(B286,lists!A$2:B1000,2)</f>
        <v>ДЗ скорости роста концентрации оксида углерода относительной, неделя</v>
      </c>
      <c r="D286" s="9" t="s">
        <v>2221</v>
      </c>
    </row>
    <row r="287" spans="1:4" ht="15.75" customHeight="1" x14ac:dyDescent="0.25">
      <c r="A287" s="40">
        <v>286</v>
      </c>
      <c r="B287" s="41" t="s">
        <v>2222</v>
      </c>
      <c r="C287" s="41" t="str">
        <f ca="1">VLOOKUP(B287,lists!A$2:B1000,2)</f>
        <v>ДЗ скорости роста концентрации диоксида углерода относительной, неделя</v>
      </c>
      <c r="D287" s="41" t="s">
        <v>2223</v>
      </c>
    </row>
    <row r="288" spans="1:4" ht="15.75" customHeight="1" x14ac:dyDescent="0.25">
      <c r="A288" s="40">
        <v>287</v>
      </c>
      <c r="B288" s="41" t="s">
        <v>2224</v>
      </c>
      <c r="C288" s="41" t="str">
        <f ca="1">VLOOKUP(B288,lists!A$2:B1000,2)</f>
        <v>ДЗ скорости роста концентрации метана относительной, неделя</v>
      </c>
      <c r="D288" s="9" t="s">
        <v>2225</v>
      </c>
    </row>
    <row r="289" spans="1:4" ht="15.75" customHeight="1" x14ac:dyDescent="0.25">
      <c r="A289" s="40">
        <v>288</v>
      </c>
      <c r="B289" s="41" t="s">
        <v>2226</v>
      </c>
      <c r="C289" s="41" t="str">
        <f ca="1">VLOOKUP(B289,lists!A$2:B1000,2)</f>
        <v>ДЗ скорости роста концентрации этана относительной, неделя</v>
      </c>
      <c r="D289" s="9" t="s">
        <v>2227</v>
      </c>
    </row>
    <row r="290" spans="1:4" ht="15.75" customHeight="1" x14ac:dyDescent="0.25">
      <c r="A290" s="40">
        <v>289</v>
      </c>
      <c r="B290" s="41" t="s">
        <v>2228</v>
      </c>
      <c r="C290" s="41" t="str">
        <f ca="1">VLOOKUP(B290,lists!A$2:B1000,2)</f>
        <v>ДЗ скорости роста концентрации этилена относительной, неделя</v>
      </c>
      <c r="D290" s="9" t="s">
        <v>2229</v>
      </c>
    </row>
    <row r="291" spans="1:4" ht="15.75" customHeight="1" x14ac:dyDescent="0.25">
      <c r="A291" s="40">
        <v>290</v>
      </c>
      <c r="B291" s="41" t="s">
        <v>2230</v>
      </c>
      <c r="C291" s="41" t="str">
        <f ca="1">VLOOKUP(B291,lists!A$2:B1000,2)</f>
        <v>ДЗ скорости роста концентрации ацетилена относительной, неделя</v>
      </c>
      <c r="D291" s="9" t="s">
        <v>2231</v>
      </c>
    </row>
    <row r="292" spans="1:4" ht="15.75" customHeight="1" x14ac:dyDescent="0.25">
      <c r="A292" s="40">
        <v>291</v>
      </c>
      <c r="B292" s="41" t="s">
        <v>2232</v>
      </c>
      <c r="C292" s="41" t="str">
        <f ca="1">VLOOKUP(B292,lists!A$2:B1000,2)</f>
        <v>ДЗ скорости роста концентрации водорода относительной, месяц</v>
      </c>
      <c r="D292" s="9" t="s">
        <v>2233</v>
      </c>
    </row>
    <row r="293" spans="1:4" ht="15.75" customHeight="1" x14ac:dyDescent="0.25">
      <c r="A293" s="40">
        <v>292</v>
      </c>
      <c r="B293" s="41" t="s">
        <v>2234</v>
      </c>
      <c r="C293" s="41" t="str">
        <f ca="1">VLOOKUP(B293,lists!A$2:B1000,2)</f>
        <v>ДЗ скорости роста концентрации оксида углерода относительной, месяц</v>
      </c>
      <c r="D293" s="9" t="s">
        <v>2235</v>
      </c>
    </row>
    <row r="294" spans="1:4" ht="15.75" customHeight="1" x14ac:dyDescent="0.25">
      <c r="A294" s="40">
        <v>293</v>
      </c>
      <c r="B294" s="41" t="s">
        <v>2236</v>
      </c>
      <c r="C294" s="41" t="str">
        <f ca="1">VLOOKUP(B294,lists!A$2:B1000,2)</f>
        <v>ДЗ скорости роста концентрации диоксида углерода относительной, месяц</v>
      </c>
      <c r="D294" s="9" t="s">
        <v>2237</v>
      </c>
    </row>
    <row r="295" spans="1:4" ht="15.75" customHeight="1" x14ac:dyDescent="0.25">
      <c r="A295" s="40">
        <v>294</v>
      </c>
      <c r="B295" s="41" t="s">
        <v>2238</v>
      </c>
      <c r="C295" s="41" t="str">
        <f ca="1">VLOOKUP(B295,lists!A$2:B1000,2)</f>
        <v>ДЗ скорости роста концентрации метана относительной, месяц</v>
      </c>
      <c r="D295" s="9" t="s">
        <v>2239</v>
      </c>
    </row>
    <row r="296" spans="1:4" ht="15.75" customHeight="1" x14ac:dyDescent="0.25">
      <c r="A296" s="40">
        <v>295</v>
      </c>
      <c r="B296" s="41" t="s">
        <v>2240</v>
      </c>
      <c r="C296" s="41" t="str">
        <f ca="1">VLOOKUP(B296,lists!A$2:B1000,2)</f>
        <v>ДЗ скорости роста концентрации этана относительной, месяц</v>
      </c>
      <c r="D296" s="9" t="s">
        <v>2241</v>
      </c>
    </row>
    <row r="297" spans="1:4" ht="15.75" customHeight="1" x14ac:dyDescent="0.25">
      <c r="A297" s="40">
        <v>296</v>
      </c>
      <c r="B297" s="41" t="s">
        <v>2242</v>
      </c>
      <c r="C297" s="41" t="str">
        <f ca="1">VLOOKUP(B297,lists!A$2:B1000,2)</f>
        <v>ДЗ скорости роста концентрации этилена относительной, месяц</v>
      </c>
      <c r="D297" s="9" t="s">
        <v>2243</v>
      </c>
    </row>
    <row r="298" spans="1:4" ht="15.75" customHeight="1" x14ac:dyDescent="0.25">
      <c r="A298" s="40">
        <v>297</v>
      </c>
      <c r="B298" s="41" t="s">
        <v>2244</v>
      </c>
      <c r="C298" s="41" t="str">
        <f ca="1">VLOOKUP(B298,lists!A$2:B1000,2)</f>
        <v>ДЗ скорости роста концентрации ацетилена относительной, месяц</v>
      </c>
      <c r="D298" s="9" t="s">
        <v>2245</v>
      </c>
    </row>
    <row r="299" spans="1:4" ht="15.75" customHeight="1" x14ac:dyDescent="0.25">
      <c r="A299" s="40">
        <v>298</v>
      </c>
      <c r="B299" s="41" t="s">
        <v>2246</v>
      </c>
      <c r="C299" s="41" t="str">
        <f ca="1">VLOOKUP(B299,lists!A$2:B1000,2)</f>
        <v>ДЗ скорости роста концентрации водорода относительной, год</v>
      </c>
      <c r="D299" s="13" t="s">
        <v>2247</v>
      </c>
    </row>
    <row r="300" spans="1:4" ht="15.75" customHeight="1" x14ac:dyDescent="0.25">
      <c r="A300" s="40">
        <v>299</v>
      </c>
      <c r="B300" s="41" t="s">
        <v>2248</v>
      </c>
      <c r="C300" s="41" t="str">
        <f ca="1">VLOOKUP(B300,lists!A$2:B1000,2)</f>
        <v>ДЗ скорости роста концентрации оксида углерода относительной, год</v>
      </c>
      <c r="D300" s="9" t="s">
        <v>2249</v>
      </c>
    </row>
    <row r="301" spans="1:4" ht="15.75" customHeight="1" x14ac:dyDescent="0.25">
      <c r="A301" s="40">
        <v>300</v>
      </c>
      <c r="B301" s="41" t="s">
        <v>2250</v>
      </c>
      <c r="C301" s="41" t="str">
        <f ca="1">VLOOKUP(B301,lists!A$2:B1000,2)</f>
        <v>ДЗ скорости роста концентрации диоксида углерода относительной, год</v>
      </c>
      <c r="D301" s="9" t="s">
        <v>2251</v>
      </c>
    </row>
    <row r="302" spans="1:4" ht="15.75" customHeight="1" x14ac:dyDescent="0.25">
      <c r="A302" s="40">
        <v>301</v>
      </c>
      <c r="B302" s="41" t="s">
        <v>2252</v>
      </c>
      <c r="C302" s="41" t="str">
        <f ca="1">VLOOKUP(B302,lists!A$2:B1000,2)</f>
        <v>ДЗ скорости роста концентрации метана относительной, год</v>
      </c>
      <c r="D302" s="9" t="s">
        <v>2253</v>
      </c>
    </row>
    <row r="303" spans="1:4" ht="15.75" customHeight="1" x14ac:dyDescent="0.25">
      <c r="A303" s="40">
        <v>302</v>
      </c>
      <c r="B303" s="41" t="s">
        <v>2254</v>
      </c>
      <c r="C303" s="41" t="str">
        <f ca="1">VLOOKUP(B303,lists!A$2:B1000,2)</f>
        <v>ДЗ скорости роста концентрации этана относительной, год</v>
      </c>
      <c r="D303" s="9" t="s">
        <v>2255</v>
      </c>
    </row>
    <row r="304" spans="1:4" ht="15.75" customHeight="1" x14ac:dyDescent="0.25">
      <c r="A304" s="40">
        <v>303</v>
      </c>
      <c r="B304" s="41" t="s">
        <v>2256</v>
      </c>
      <c r="C304" s="41" t="str">
        <f ca="1">VLOOKUP(B304,lists!A$2:B1000,2)</f>
        <v>ДЗ скорости роста концентрации этилена относительной, год</v>
      </c>
      <c r="D304" s="9" t="s">
        <v>2257</v>
      </c>
    </row>
    <row r="305" spans="1:4" ht="15.75" customHeight="1" x14ac:dyDescent="0.25">
      <c r="A305" s="40">
        <v>304</v>
      </c>
      <c r="B305" s="41" t="s">
        <v>2258</v>
      </c>
      <c r="C305" s="41" t="str">
        <f ca="1">VLOOKUP(B305,lists!A$2:B1000,2)</f>
        <v>ДЗ скорости роста концентрации ацетилена относительной, год</v>
      </c>
      <c r="D305" s="9" t="s">
        <v>2259</v>
      </c>
    </row>
    <row r="306" spans="1:4" ht="15.75" customHeight="1" x14ac:dyDescent="0.25">
      <c r="A306" s="40">
        <v>305</v>
      </c>
      <c r="B306" s="41" t="s">
        <v>2260</v>
      </c>
      <c r="C306" s="41" t="str">
        <f ca="1">VLOOKUP(B306,lists!A$2:B1000,2)</f>
        <v>ПДЗ скорости роста концентрации водорода абсолютной, сутки</v>
      </c>
      <c r="D306" s="9" t="s">
        <v>2261</v>
      </c>
    </row>
    <row r="307" spans="1:4" ht="15.75" customHeight="1" x14ac:dyDescent="0.25">
      <c r="A307" s="40">
        <v>306</v>
      </c>
      <c r="B307" s="41" t="s">
        <v>2262</v>
      </c>
      <c r="C307" s="41" t="str">
        <f ca="1">VLOOKUP(B307,lists!A$2:B1000,2)</f>
        <v>ПДЗ скорости роста концентрации оксида углерода абсолютной, сутки</v>
      </c>
      <c r="D307" s="9" t="s">
        <v>2263</v>
      </c>
    </row>
    <row r="308" spans="1:4" ht="15.75" customHeight="1" x14ac:dyDescent="0.25">
      <c r="A308" s="40">
        <v>307</v>
      </c>
      <c r="B308" s="41" t="s">
        <v>2264</v>
      </c>
      <c r="C308" s="41" t="str">
        <f ca="1">VLOOKUP(B308,lists!A$2:B1000,2)</f>
        <v>ПДЗ скорости роста концентрации диоксида углерода абсолютной, сутки</v>
      </c>
      <c r="D308" s="9" t="s">
        <v>2265</v>
      </c>
    </row>
    <row r="309" spans="1:4" ht="15.75" customHeight="1" x14ac:dyDescent="0.25">
      <c r="A309" s="40">
        <v>308</v>
      </c>
      <c r="B309" s="41" t="s">
        <v>2266</v>
      </c>
      <c r="C309" s="41" t="str">
        <f ca="1">VLOOKUP(B309,lists!A$2:B1000,2)</f>
        <v>ПДЗ скорости роста концентрации метана абсолютной, сутки</v>
      </c>
      <c r="D309" s="9" t="s">
        <v>2267</v>
      </c>
    </row>
    <row r="310" spans="1:4" ht="15.75" customHeight="1" x14ac:dyDescent="0.25">
      <c r="A310" s="40">
        <v>309</v>
      </c>
      <c r="B310" s="41" t="s">
        <v>2268</v>
      </c>
      <c r="C310" s="41" t="str">
        <f ca="1">VLOOKUP(B310,lists!A$2:B1000,2)</f>
        <v>ПДЗ скорости роста концентрации этана абсолютной, сутки</v>
      </c>
      <c r="D310" s="9" t="s">
        <v>2269</v>
      </c>
    </row>
    <row r="311" spans="1:4" ht="15.75" customHeight="1" x14ac:dyDescent="0.25">
      <c r="A311" s="40">
        <v>310</v>
      </c>
      <c r="B311" s="41" t="s">
        <v>2270</v>
      </c>
      <c r="C311" s="41" t="str">
        <f ca="1">VLOOKUP(B311,lists!A$2:B1000,2)</f>
        <v>ПДЗ скорости роста концентрации этилена абсолютной, сутки</v>
      </c>
      <c r="D311" s="9" t="s">
        <v>2271</v>
      </c>
    </row>
    <row r="312" spans="1:4" ht="15.75" customHeight="1" x14ac:dyDescent="0.25">
      <c r="A312" s="40">
        <v>311</v>
      </c>
      <c r="B312" s="41" t="s">
        <v>2272</v>
      </c>
      <c r="C312" s="41" t="str">
        <f ca="1">VLOOKUP(B312,lists!A$2:B1000,2)</f>
        <v>ПДЗ скорости роста концентрации ацетилена абсолютной, сутки</v>
      </c>
      <c r="D312" s="9" t="s">
        <v>2273</v>
      </c>
    </row>
    <row r="313" spans="1:4" ht="15.75" customHeight="1" x14ac:dyDescent="0.25">
      <c r="A313" s="40">
        <v>312</v>
      </c>
      <c r="B313" s="41" t="s">
        <v>2274</v>
      </c>
      <c r="C313" s="41" t="str">
        <f ca="1">VLOOKUP(B313,lists!A$2:B1000,2)</f>
        <v>ПДЗ скорости роста концентрации водорода абсолютной, неделя</v>
      </c>
      <c r="D313" s="9" t="s">
        <v>2275</v>
      </c>
    </row>
    <row r="314" spans="1:4" ht="15.75" customHeight="1" x14ac:dyDescent="0.25">
      <c r="A314" s="40">
        <v>313</v>
      </c>
      <c r="B314" s="41" t="s">
        <v>2276</v>
      </c>
      <c r="C314" s="41" t="str">
        <f ca="1">VLOOKUP(B314,lists!A$2:B1000,2)</f>
        <v>ПДЗ скорости роста концентрации оксида углерода абсолютной, неделя</v>
      </c>
      <c r="D314" s="9" t="s">
        <v>2277</v>
      </c>
    </row>
    <row r="315" spans="1:4" ht="15.75" customHeight="1" x14ac:dyDescent="0.25">
      <c r="A315" s="40">
        <v>314</v>
      </c>
      <c r="B315" s="41" t="s">
        <v>2278</v>
      </c>
      <c r="C315" s="41" t="str">
        <f ca="1">VLOOKUP(B315,lists!A$2:B1000,2)</f>
        <v>ПДЗ скорости роста концентрации диоксида углерода абсолютной, неделя</v>
      </c>
      <c r="D315" s="9" t="s">
        <v>2279</v>
      </c>
    </row>
    <row r="316" spans="1:4" ht="15.75" customHeight="1" x14ac:dyDescent="0.25">
      <c r="A316" s="40">
        <v>315</v>
      </c>
      <c r="B316" s="41" t="s">
        <v>2280</v>
      </c>
      <c r="C316" s="41" t="str">
        <f ca="1">VLOOKUP(B316,lists!A$2:B1000,2)</f>
        <v>ПДЗ скорости роста концентрации метана абсолютной, неделя</v>
      </c>
      <c r="D316" s="9" t="s">
        <v>2281</v>
      </c>
    </row>
    <row r="317" spans="1:4" ht="15.75" customHeight="1" x14ac:dyDescent="0.25">
      <c r="A317" s="40">
        <v>316</v>
      </c>
      <c r="B317" s="41" t="s">
        <v>2282</v>
      </c>
      <c r="C317" s="41" t="str">
        <f ca="1">VLOOKUP(B317,lists!A$2:B1000,2)</f>
        <v>ПДЗ скорости роста концентрации этана абсолютной, неделя</v>
      </c>
      <c r="D317" s="9" t="s">
        <v>2283</v>
      </c>
    </row>
    <row r="318" spans="1:4" ht="15.75" customHeight="1" x14ac:dyDescent="0.25">
      <c r="A318" s="40">
        <v>317</v>
      </c>
      <c r="B318" s="41" t="s">
        <v>2284</v>
      </c>
      <c r="C318" s="41" t="str">
        <f ca="1">VLOOKUP(B318,lists!A$2:B1000,2)</f>
        <v>ПДЗ скорости роста концентрации этилена абсолютной, неделя</v>
      </c>
      <c r="D318" s="9" t="s">
        <v>2285</v>
      </c>
    </row>
    <row r="319" spans="1:4" ht="15.75" customHeight="1" x14ac:dyDescent="0.25">
      <c r="A319" s="40">
        <v>318</v>
      </c>
      <c r="B319" s="41" t="s">
        <v>2286</v>
      </c>
      <c r="C319" s="41" t="str">
        <f ca="1">VLOOKUP(B319,lists!A$2:B1000,2)</f>
        <v>ПДЗ скорости роста концентрации ацетилена абсолютной, неделя</v>
      </c>
      <c r="D319" s="9" t="s">
        <v>2287</v>
      </c>
    </row>
    <row r="320" spans="1:4" ht="15.75" customHeight="1" x14ac:dyDescent="0.25">
      <c r="A320" s="40">
        <v>319</v>
      </c>
      <c r="B320" s="41" t="s">
        <v>2288</v>
      </c>
      <c r="C320" s="41" t="str">
        <f ca="1">VLOOKUP(B320,lists!A$2:B1000,2)</f>
        <v>ПДЗ скорости роста концентрации водорода абсолютной, месяц</v>
      </c>
      <c r="D320" s="9" t="s">
        <v>2289</v>
      </c>
    </row>
    <row r="321" spans="1:4" ht="15.75" customHeight="1" x14ac:dyDescent="0.25">
      <c r="A321" s="40">
        <v>320</v>
      </c>
      <c r="B321" s="41" t="s">
        <v>2290</v>
      </c>
      <c r="C321" s="41" t="str">
        <f ca="1">VLOOKUP(B321,lists!A$2:B1000,2)</f>
        <v>ПДЗ скорости роста концентрации оксида углерода абсолютной, месяц</v>
      </c>
      <c r="D321" s="9" t="s">
        <v>2291</v>
      </c>
    </row>
    <row r="322" spans="1:4" ht="15.75" customHeight="1" x14ac:dyDescent="0.25">
      <c r="A322" s="40">
        <v>321</v>
      </c>
      <c r="B322" s="41" t="s">
        <v>2292</v>
      </c>
      <c r="C322" s="41" t="str">
        <f ca="1">VLOOKUP(B322,lists!A$2:B1000,2)</f>
        <v>ПДЗ скорости роста концентрации диоксида углерода абсолютной, месяц</v>
      </c>
      <c r="D322" s="9" t="s">
        <v>2293</v>
      </c>
    </row>
    <row r="323" spans="1:4" ht="15.75" customHeight="1" x14ac:dyDescent="0.25">
      <c r="A323" s="40">
        <v>322</v>
      </c>
      <c r="B323" s="41" t="s">
        <v>2294</v>
      </c>
      <c r="C323" s="41" t="str">
        <f ca="1">VLOOKUP(B323,lists!A$2:B1000,2)</f>
        <v>ПДЗ скорости роста концентрации метана абсолютной, месяц</v>
      </c>
      <c r="D323" s="9" t="s">
        <v>2295</v>
      </c>
    </row>
    <row r="324" spans="1:4" ht="15.75" customHeight="1" x14ac:dyDescent="0.25">
      <c r="A324" s="40">
        <v>323</v>
      </c>
      <c r="B324" s="41" t="s">
        <v>2296</v>
      </c>
      <c r="C324" s="41" t="str">
        <f ca="1">VLOOKUP(B324,lists!A$2:B1000,2)</f>
        <v>ПДЗ скорости роста концентрации этана абсолютной, месяц</v>
      </c>
      <c r="D324" s="9" t="s">
        <v>2297</v>
      </c>
    </row>
    <row r="325" spans="1:4" ht="15.75" customHeight="1" x14ac:dyDescent="0.25">
      <c r="A325" s="40">
        <v>324</v>
      </c>
      <c r="B325" s="41" t="s">
        <v>2298</v>
      </c>
      <c r="C325" s="41" t="str">
        <f ca="1">VLOOKUP(B325,lists!A$2:B1000,2)</f>
        <v>ПДЗ скорости роста концентрации этилена абсолютной, месяц</v>
      </c>
      <c r="D325" s="9" t="s">
        <v>2299</v>
      </c>
    </row>
    <row r="326" spans="1:4" ht="15.75" customHeight="1" x14ac:dyDescent="0.25">
      <c r="A326" s="40">
        <v>325</v>
      </c>
      <c r="B326" s="41" t="s">
        <v>2300</v>
      </c>
      <c r="C326" s="41" t="str">
        <f ca="1">VLOOKUP(B326,lists!A$2:B1000,2)</f>
        <v>ПДЗ скорости роста концентрации ацетилена абсолютной, месяц</v>
      </c>
      <c r="D326" s="9" t="s">
        <v>2301</v>
      </c>
    </row>
    <row r="327" spans="1:4" ht="15.75" customHeight="1" x14ac:dyDescent="0.25">
      <c r="A327" s="40">
        <v>326</v>
      </c>
      <c r="B327" s="41" t="s">
        <v>2302</v>
      </c>
      <c r="C327" s="41" t="str">
        <f ca="1">VLOOKUP(B327,lists!A$2:B1000,2)</f>
        <v>ПДЗ скорости роста концентрации водорода абсолютной, год</v>
      </c>
      <c r="D327" s="9" t="s">
        <v>2303</v>
      </c>
    </row>
    <row r="328" spans="1:4" ht="15.75" customHeight="1" x14ac:dyDescent="0.25">
      <c r="A328" s="40">
        <v>327</v>
      </c>
      <c r="B328" s="41" t="s">
        <v>2304</v>
      </c>
      <c r="C328" s="41" t="str">
        <f ca="1">VLOOKUP(B328,lists!A$2:B1000,2)</f>
        <v>ПДЗ скорости роста концентрации оксида углерода абсолютной, год</v>
      </c>
      <c r="D328" s="9" t="s">
        <v>2305</v>
      </c>
    </row>
    <row r="329" spans="1:4" ht="15.75" customHeight="1" x14ac:dyDescent="0.25">
      <c r="A329" s="40">
        <v>328</v>
      </c>
      <c r="B329" s="41" t="s">
        <v>2306</v>
      </c>
      <c r="C329" s="41" t="str">
        <f ca="1">VLOOKUP(B329,lists!A$2:B1000,2)</f>
        <v>ПДЗ скорости роста концентрации диоксида углерода абсолютной, год</v>
      </c>
      <c r="D329" s="9" t="s">
        <v>2307</v>
      </c>
    </row>
    <row r="330" spans="1:4" ht="15.75" customHeight="1" x14ac:dyDescent="0.25">
      <c r="A330" s="40">
        <v>329</v>
      </c>
      <c r="B330" s="41" t="s">
        <v>2308</v>
      </c>
      <c r="C330" s="41" t="str">
        <f ca="1">VLOOKUP(B330,lists!A$2:B1000,2)</f>
        <v>ПДЗ скорости роста концентрации метана абсолютной, год</v>
      </c>
      <c r="D330" s="9" t="s">
        <v>2309</v>
      </c>
    </row>
    <row r="331" spans="1:4" ht="15.75" customHeight="1" x14ac:dyDescent="0.25">
      <c r="A331" s="40">
        <v>330</v>
      </c>
      <c r="B331" s="41" t="s">
        <v>2310</v>
      </c>
      <c r="C331" s="41" t="str">
        <f ca="1">VLOOKUP(B331,lists!A$2:B1000,2)</f>
        <v>ПДЗ скорости роста концентрации этана абсолютной, год</v>
      </c>
      <c r="D331" s="9" t="s">
        <v>2311</v>
      </c>
    </row>
    <row r="332" spans="1:4" ht="15.75" customHeight="1" x14ac:dyDescent="0.25">
      <c r="A332" s="40">
        <v>331</v>
      </c>
      <c r="B332" s="41" t="s">
        <v>2312</v>
      </c>
      <c r="C332" s="41" t="str">
        <f ca="1">VLOOKUP(B332,lists!A$2:B1000,2)</f>
        <v>ПДЗ скорости роста концентрации этилена абсолютной, год</v>
      </c>
      <c r="D332" s="9" t="s">
        <v>2313</v>
      </c>
    </row>
    <row r="333" spans="1:4" ht="15.75" customHeight="1" x14ac:dyDescent="0.25">
      <c r="A333" s="40">
        <v>332</v>
      </c>
      <c r="B333" s="41" t="s">
        <v>2314</v>
      </c>
      <c r="C333" s="41" t="str">
        <f ca="1">VLOOKUP(B333,lists!A$2:B1000,2)</f>
        <v>ПДЗ скорости роста концентрации ацетилена абсолютной, год</v>
      </c>
      <c r="D333" s="9" t="s">
        <v>2315</v>
      </c>
    </row>
    <row r="334" spans="1:4" ht="15.75" customHeight="1" x14ac:dyDescent="0.25">
      <c r="A334" s="40">
        <v>333</v>
      </c>
      <c r="B334" s="41" t="s">
        <v>2316</v>
      </c>
      <c r="C334" s="41" t="str">
        <f ca="1">VLOOKUP(B334,lists!A$2:B1000,2)</f>
        <v>ПДЗ скорости роста концентрации водорода относительной, сутки</v>
      </c>
      <c r="D334" s="9" t="s">
        <v>2317</v>
      </c>
    </row>
    <row r="335" spans="1:4" ht="15.75" customHeight="1" x14ac:dyDescent="0.25">
      <c r="A335" s="40">
        <v>334</v>
      </c>
      <c r="B335" s="41" t="s">
        <v>2318</v>
      </c>
      <c r="C335" s="41" t="str">
        <f ca="1">VLOOKUP(B335,lists!A$2:B1000,2)</f>
        <v>ПДЗ скорости роста концентрации оксида углерода относительной, сутки</v>
      </c>
      <c r="D335" s="9" t="s">
        <v>2319</v>
      </c>
    </row>
    <row r="336" spans="1:4" ht="15.75" customHeight="1" x14ac:dyDescent="0.25">
      <c r="A336" s="40">
        <v>335</v>
      </c>
      <c r="B336" s="41" t="s">
        <v>2320</v>
      </c>
      <c r="C336" s="41" t="str">
        <f ca="1">VLOOKUP(B336,lists!A$2:B1000,2)</f>
        <v>ПДЗ скорости роста концентрации диоксида углерода относительной, сутки</v>
      </c>
      <c r="D336" s="9" t="s">
        <v>2321</v>
      </c>
    </row>
    <row r="337" spans="1:4" ht="15.75" customHeight="1" x14ac:dyDescent="0.25">
      <c r="A337" s="40">
        <v>336</v>
      </c>
      <c r="B337" s="41" t="s">
        <v>2322</v>
      </c>
      <c r="C337" s="41" t="str">
        <f ca="1">VLOOKUP(B337,lists!A$2:B1000,2)</f>
        <v>ПДЗ скорости роста концентрации метана относительной, сутки</v>
      </c>
      <c r="D337" s="9" t="s">
        <v>2323</v>
      </c>
    </row>
    <row r="338" spans="1:4" ht="15.75" customHeight="1" x14ac:dyDescent="0.25">
      <c r="A338" s="40">
        <v>337</v>
      </c>
      <c r="B338" s="41" t="s">
        <v>2324</v>
      </c>
      <c r="C338" s="41" t="str">
        <f ca="1">VLOOKUP(B338,lists!A$2:B1000,2)</f>
        <v>ПДЗ скорости роста концентрации этана относительной, сутки</v>
      </c>
      <c r="D338" s="9" t="s">
        <v>2325</v>
      </c>
    </row>
    <row r="339" spans="1:4" ht="15.75" customHeight="1" x14ac:dyDescent="0.25">
      <c r="A339" s="40">
        <v>338</v>
      </c>
      <c r="B339" s="41" t="s">
        <v>2326</v>
      </c>
      <c r="C339" s="41" t="str">
        <f ca="1">VLOOKUP(B339,lists!A$2:B1000,2)</f>
        <v>ПДЗ скорости роста концентрации этилена относительной, сутки</v>
      </c>
      <c r="D339" s="9" t="s">
        <v>2327</v>
      </c>
    </row>
    <row r="340" spans="1:4" ht="15.75" customHeight="1" x14ac:dyDescent="0.25">
      <c r="A340" s="40">
        <v>339</v>
      </c>
      <c r="B340" s="41" t="s">
        <v>2328</v>
      </c>
      <c r="C340" s="41" t="str">
        <f ca="1">VLOOKUP(B340,lists!A$2:B1000,2)</f>
        <v>ПДЗ скорости роста концентрации ацетилена относительной, сутки</v>
      </c>
      <c r="D340" s="9" t="s">
        <v>2329</v>
      </c>
    </row>
    <row r="341" spans="1:4" ht="15.75" customHeight="1" x14ac:dyDescent="0.25">
      <c r="A341" s="40">
        <v>340</v>
      </c>
      <c r="B341" s="41" t="s">
        <v>2330</v>
      </c>
      <c r="C341" s="41" t="str">
        <f ca="1">VLOOKUP(B341,lists!A$2:B1000,2)</f>
        <v>ПДЗ скорости роста концентрации водорода относительной, неделя</v>
      </c>
      <c r="D341" s="9" t="s">
        <v>2331</v>
      </c>
    </row>
    <row r="342" spans="1:4" ht="15.75" customHeight="1" x14ac:dyDescent="0.25">
      <c r="A342" s="40">
        <v>341</v>
      </c>
      <c r="B342" s="41" t="s">
        <v>2332</v>
      </c>
      <c r="C342" s="41" t="str">
        <f ca="1">VLOOKUP(B342,lists!A$2:B1000,2)</f>
        <v>ПДЗ скорости роста концентрации оксида углерода относительной, неделя</v>
      </c>
      <c r="D342" s="9" t="s">
        <v>2333</v>
      </c>
    </row>
    <row r="343" spans="1:4" ht="15.75" customHeight="1" x14ac:dyDescent="0.25">
      <c r="A343" s="40">
        <v>342</v>
      </c>
      <c r="B343" s="41" t="s">
        <v>2334</v>
      </c>
      <c r="C343" s="41" t="str">
        <f ca="1">VLOOKUP(B343,lists!A$2:B1000,2)</f>
        <v>ПДЗ скорости роста концентрации диоксида углерода относительной, неделя</v>
      </c>
      <c r="D343" s="9" t="s">
        <v>2335</v>
      </c>
    </row>
    <row r="344" spans="1:4" ht="15.75" customHeight="1" x14ac:dyDescent="0.25">
      <c r="A344" s="40">
        <v>343</v>
      </c>
      <c r="B344" s="41" t="s">
        <v>2336</v>
      </c>
      <c r="C344" s="41" t="str">
        <f ca="1">VLOOKUP(B344,lists!A$2:B1000,2)</f>
        <v>ПДЗ скорости роста концентрации метана относительной, неделя</v>
      </c>
      <c r="D344" s="9" t="s">
        <v>2337</v>
      </c>
    </row>
    <row r="345" spans="1:4" ht="15.75" customHeight="1" x14ac:dyDescent="0.25">
      <c r="A345" s="40">
        <v>344</v>
      </c>
      <c r="B345" s="41" t="s">
        <v>2338</v>
      </c>
      <c r="C345" s="41" t="str">
        <f ca="1">VLOOKUP(B345,lists!A$2:B1000,2)</f>
        <v>ПДЗ скорости роста концентрации этана относительной, неделя</v>
      </c>
      <c r="D345" s="9" t="s">
        <v>2339</v>
      </c>
    </row>
    <row r="346" spans="1:4" ht="15.75" customHeight="1" x14ac:dyDescent="0.25">
      <c r="A346" s="40">
        <v>345</v>
      </c>
      <c r="B346" s="41" t="s">
        <v>2340</v>
      </c>
      <c r="C346" s="41" t="str">
        <f ca="1">VLOOKUP(B346,lists!A$2:B1000,2)</f>
        <v>ПДЗ скорости роста концентрации этилена относительной, неделя</v>
      </c>
      <c r="D346" s="9" t="s">
        <v>2341</v>
      </c>
    </row>
    <row r="347" spans="1:4" ht="15.75" customHeight="1" x14ac:dyDescent="0.25">
      <c r="A347" s="40">
        <v>346</v>
      </c>
      <c r="B347" s="41" t="s">
        <v>2342</v>
      </c>
      <c r="C347" s="41" t="str">
        <f ca="1">VLOOKUP(B347,lists!A$2:B1000,2)</f>
        <v>ПДЗ скорости роста концентрации ацетилена относительной, неделя</v>
      </c>
      <c r="D347" s="9" t="s">
        <v>2343</v>
      </c>
    </row>
    <row r="348" spans="1:4" ht="15.75" customHeight="1" x14ac:dyDescent="0.25">
      <c r="A348" s="40">
        <v>347</v>
      </c>
      <c r="B348" s="41" t="s">
        <v>2344</v>
      </c>
      <c r="C348" s="41" t="str">
        <f ca="1">VLOOKUP(B348,lists!A$2:B1000,2)</f>
        <v>ПДЗ скорости роста концентрации водорода относительной, месяц</v>
      </c>
      <c r="D348" s="9" t="s">
        <v>2345</v>
      </c>
    </row>
    <row r="349" spans="1:4" ht="15.75" customHeight="1" x14ac:dyDescent="0.25">
      <c r="A349" s="40">
        <v>348</v>
      </c>
      <c r="B349" s="41" t="s">
        <v>2346</v>
      </c>
      <c r="C349" s="41" t="str">
        <f ca="1">VLOOKUP(B349,lists!A$2:B1000,2)</f>
        <v>ПДЗ скорости роста концентрации оксида углерода относительной, месяц</v>
      </c>
      <c r="D349" s="9" t="s">
        <v>2347</v>
      </c>
    </row>
    <row r="350" spans="1:4" ht="15.75" customHeight="1" x14ac:dyDescent="0.25">
      <c r="A350" s="40">
        <v>349</v>
      </c>
      <c r="B350" s="41" t="s">
        <v>2348</v>
      </c>
      <c r="C350" s="41" t="str">
        <f ca="1">VLOOKUP(B350,lists!A$2:B1000,2)</f>
        <v>ПДЗ скорости роста концентрации диоксида углерода относительной, месяц</v>
      </c>
      <c r="D350" s="9" t="s">
        <v>2349</v>
      </c>
    </row>
    <row r="351" spans="1:4" ht="15.75" customHeight="1" x14ac:dyDescent="0.25">
      <c r="A351" s="40">
        <v>350</v>
      </c>
      <c r="B351" s="41" t="s">
        <v>2350</v>
      </c>
      <c r="C351" s="41" t="str">
        <f ca="1">VLOOKUP(B351,lists!A$2:B1000,2)</f>
        <v>ПДЗ скорости роста концентрации метана относительной, месяц</v>
      </c>
      <c r="D351" s="9" t="s">
        <v>2351</v>
      </c>
    </row>
    <row r="352" spans="1:4" ht="15.75" customHeight="1" x14ac:dyDescent="0.25">
      <c r="A352" s="40">
        <v>351</v>
      </c>
      <c r="B352" s="41" t="s">
        <v>2352</v>
      </c>
      <c r="C352" s="41" t="str">
        <f ca="1">VLOOKUP(B352,lists!A$2:B1000,2)</f>
        <v>ПДЗ скорости роста концентрации этана относительной, месяц</v>
      </c>
      <c r="D352" s="9" t="s">
        <v>2353</v>
      </c>
    </row>
    <row r="353" spans="1:4" ht="15.75" customHeight="1" x14ac:dyDescent="0.25">
      <c r="A353" s="40">
        <v>352</v>
      </c>
      <c r="B353" s="41" t="s">
        <v>2354</v>
      </c>
      <c r="C353" s="41" t="str">
        <f ca="1">VLOOKUP(B353,lists!A$2:B1000,2)</f>
        <v>ПДЗ скорости роста концентрации этилена относительной, месяц</v>
      </c>
      <c r="D353" s="9" t="s">
        <v>2355</v>
      </c>
    </row>
    <row r="354" spans="1:4" ht="15.75" customHeight="1" x14ac:dyDescent="0.25">
      <c r="A354" s="40">
        <v>353</v>
      </c>
      <c r="B354" s="41" t="s">
        <v>2356</v>
      </c>
      <c r="C354" s="41" t="str">
        <f ca="1">VLOOKUP(B354,lists!A$2:B1000,2)</f>
        <v>ПДЗ скорости роста концентрации ацетилена относительной, месяц</v>
      </c>
      <c r="D354" s="9" t="s">
        <v>2357</v>
      </c>
    </row>
    <row r="355" spans="1:4" ht="15.75" customHeight="1" x14ac:dyDescent="0.25">
      <c r="A355" s="40">
        <v>354</v>
      </c>
      <c r="B355" s="41" t="s">
        <v>2358</v>
      </c>
      <c r="C355" s="41" t="str">
        <f ca="1">VLOOKUP(B355,lists!A$2:B1000,2)</f>
        <v>ПДЗ скорости роста концентрации водорода относительной, год</v>
      </c>
      <c r="D355" s="41" t="s">
        <v>2359</v>
      </c>
    </row>
    <row r="356" spans="1:4" ht="15.75" customHeight="1" x14ac:dyDescent="0.25">
      <c r="A356" s="40">
        <v>355</v>
      </c>
      <c r="B356" s="41" t="s">
        <v>2360</v>
      </c>
      <c r="C356" s="41" t="str">
        <f ca="1">VLOOKUP(B356,lists!A$2:B1000,2)</f>
        <v>ПДЗ скорости роста концентрации оксида углерода относительной, год</v>
      </c>
      <c r="D356" s="9" t="s">
        <v>2361</v>
      </c>
    </row>
    <row r="357" spans="1:4" ht="15.75" customHeight="1" x14ac:dyDescent="0.25">
      <c r="A357" s="40">
        <v>356</v>
      </c>
      <c r="B357" s="41" t="s">
        <v>2362</v>
      </c>
      <c r="C357" s="41" t="str">
        <f ca="1">VLOOKUP(B357,lists!A$2:B1000,2)</f>
        <v>ПДЗ скорости роста концентрации диоксида углерода относительной, год</v>
      </c>
      <c r="D357" s="9" t="s">
        <v>2363</v>
      </c>
    </row>
    <row r="358" spans="1:4" ht="15.75" customHeight="1" x14ac:dyDescent="0.25">
      <c r="A358" s="40">
        <v>357</v>
      </c>
      <c r="B358" s="41" t="s">
        <v>2364</v>
      </c>
      <c r="C358" s="41" t="str">
        <f ca="1">VLOOKUP(B358,lists!A$2:B1000,2)</f>
        <v>ПДЗ скорости роста концентрации метана относительной, год</v>
      </c>
      <c r="D358" s="9" t="s">
        <v>2365</v>
      </c>
    </row>
    <row r="359" spans="1:4" ht="15.75" customHeight="1" x14ac:dyDescent="0.25">
      <c r="A359" s="40">
        <v>358</v>
      </c>
      <c r="B359" s="41" t="s">
        <v>2366</v>
      </c>
      <c r="C359" s="41" t="str">
        <f ca="1">VLOOKUP(B359,lists!A$2:B1000,2)</f>
        <v>ПДЗ скорости роста концентрации этана относительной, год</v>
      </c>
      <c r="D359" s="9" t="s">
        <v>2367</v>
      </c>
    </row>
    <row r="360" spans="1:4" ht="15.75" customHeight="1" x14ac:dyDescent="0.25">
      <c r="A360" s="40">
        <v>359</v>
      </c>
      <c r="B360" s="41" t="s">
        <v>2368</v>
      </c>
      <c r="C360" s="41" t="str">
        <f ca="1">VLOOKUP(B360,lists!A$2:B1000,2)</f>
        <v>ПДЗ скорости роста концентрации этилена относительной, год</v>
      </c>
      <c r="D360" s="9" t="s">
        <v>2369</v>
      </c>
    </row>
    <row r="361" spans="1:4" ht="15.75" customHeight="1" x14ac:dyDescent="0.25">
      <c r="A361" s="40">
        <v>360</v>
      </c>
      <c r="B361" s="41" t="s">
        <v>2370</v>
      </c>
      <c r="C361" s="41" t="str">
        <f ca="1">VLOOKUP(B361,lists!A$2:B1000,2)</f>
        <v>ПДЗ скорости роста концентрации ацетилена относительной, год</v>
      </c>
      <c r="D361" s="9" t="s">
        <v>2371</v>
      </c>
    </row>
    <row r="362" spans="1:4" ht="15.75" customHeight="1" x14ac:dyDescent="0.25">
      <c r="A362" s="40">
        <v>361</v>
      </c>
      <c r="B362" s="41" t="s">
        <v>2372</v>
      </c>
      <c r="C362" s="41" t="str">
        <f ca="1">VLOOKUP(B362,lists!A$2:B1000,2)</f>
        <v>ДЗ скорости роста концентрации водорода абсолютной, сутки, ручное</v>
      </c>
      <c r="D362" s="13" t="s">
        <v>2373</v>
      </c>
    </row>
    <row r="363" spans="1:4" ht="15.75" customHeight="1" x14ac:dyDescent="0.25">
      <c r="A363" s="40">
        <v>362</v>
      </c>
      <c r="B363" s="41" t="s">
        <v>2374</v>
      </c>
      <c r="C363" s="41" t="str">
        <f ca="1">VLOOKUP(B363,lists!A$2:B1000,2)</f>
        <v>ДЗ скорости роста концентрации оксида углерода абсолютной, сутки, ручное</v>
      </c>
      <c r="D363" s="41"/>
    </row>
    <row r="364" spans="1:4" ht="15.75" customHeight="1" x14ac:dyDescent="0.25">
      <c r="A364" s="40">
        <v>363</v>
      </c>
      <c r="B364" s="41" t="s">
        <v>2375</v>
      </c>
      <c r="C364" s="41" t="str">
        <f ca="1">VLOOKUP(B364,lists!A$2:B1000,2)</f>
        <v>ДЗ скорости роста концентрации диоксида углерода абсолютной, сутки, ручное</v>
      </c>
      <c r="D364" s="41"/>
    </row>
    <row r="365" spans="1:4" ht="15.75" customHeight="1" x14ac:dyDescent="0.25">
      <c r="A365" s="40">
        <v>364</v>
      </c>
      <c r="B365" s="41" t="s">
        <v>2376</v>
      </c>
      <c r="C365" s="41" t="str">
        <f ca="1">VLOOKUP(B365,lists!A$2:B1000,2)</f>
        <v>ДЗ скорости роста концентрации метана абсолютной, сутки, ручное</v>
      </c>
      <c r="D365" s="41" t="s">
        <v>2377</v>
      </c>
    </row>
    <row r="366" spans="1:4" ht="15.75" customHeight="1" x14ac:dyDescent="0.25">
      <c r="A366" s="40">
        <v>365</v>
      </c>
      <c r="B366" s="41" t="s">
        <v>2378</v>
      </c>
      <c r="C366" s="41" t="str">
        <f ca="1">VLOOKUP(B366,lists!A$2:B1000,2)</f>
        <v>ДЗ скорости роста концентрации этана абсолютной, сутки, ручное</v>
      </c>
      <c r="D366" s="9" t="s">
        <v>2379</v>
      </c>
    </row>
    <row r="367" spans="1:4" ht="15.75" customHeight="1" x14ac:dyDescent="0.25">
      <c r="A367" s="40">
        <v>366</v>
      </c>
      <c r="B367" s="41" t="s">
        <v>2380</v>
      </c>
      <c r="C367" s="41" t="str">
        <f ca="1">VLOOKUP(B367,lists!A$2:B1000,2)</f>
        <v>ДЗ скорости роста концентрации этилена абсолютной, сутки, ручное</v>
      </c>
      <c r="D367" s="9" t="s">
        <v>2381</v>
      </c>
    </row>
    <row r="368" spans="1:4" ht="15.75" customHeight="1" x14ac:dyDescent="0.25">
      <c r="A368" s="40">
        <v>367</v>
      </c>
      <c r="B368" s="41" t="s">
        <v>2382</v>
      </c>
      <c r="C368" s="41" t="str">
        <f ca="1">VLOOKUP(B368,lists!A$2:B1000,2)</f>
        <v>ДЗ скорости роста концентрации ацетилена абсолютной, сутки, ручное</v>
      </c>
      <c r="D368" s="9" t="s">
        <v>2383</v>
      </c>
    </row>
    <row r="369" spans="1:4" ht="15.75" customHeight="1" x14ac:dyDescent="0.25">
      <c r="A369" s="40">
        <v>368</v>
      </c>
      <c r="B369" s="41" t="s">
        <v>2384</v>
      </c>
      <c r="C369" s="41" t="str">
        <f ca="1">VLOOKUP(B369,lists!A$2:B1000,2)</f>
        <v>ДЗ скорости роста концентрации водорода абсолютной, неделя, ручное</v>
      </c>
      <c r="D369" s="41"/>
    </row>
    <row r="370" spans="1:4" ht="15.75" customHeight="1" x14ac:dyDescent="0.25">
      <c r="A370" s="40">
        <v>369</v>
      </c>
      <c r="B370" s="41" t="s">
        <v>2385</v>
      </c>
      <c r="C370" s="41" t="str">
        <f ca="1">VLOOKUP(B370,lists!A$2:B1000,2)</f>
        <v>ДЗ скорости роста концентрации оксида углерода абсолютной, неделя, ручное</v>
      </c>
      <c r="D370" s="41"/>
    </row>
    <row r="371" spans="1:4" ht="15.75" customHeight="1" x14ac:dyDescent="0.25">
      <c r="A371" s="40">
        <v>370</v>
      </c>
      <c r="B371" s="41" t="s">
        <v>2386</v>
      </c>
      <c r="C371" s="41" t="str">
        <f ca="1">VLOOKUP(B371,lists!A$2:B1000,2)</f>
        <v>ДЗ скорости роста концентрации диоксида углерода абсолютной, неделя, ручное</v>
      </c>
      <c r="D371" s="41"/>
    </row>
    <row r="372" spans="1:4" ht="15.75" customHeight="1" x14ac:dyDescent="0.25">
      <c r="A372" s="40">
        <v>371</v>
      </c>
      <c r="B372" s="41" t="s">
        <v>2387</v>
      </c>
      <c r="C372" s="41" t="str">
        <f ca="1">VLOOKUP(B372,lists!A$2:B1000,2)</f>
        <v>ДЗ скорости роста концентрации метана абсолютной, неделя, ручное</v>
      </c>
      <c r="D372" s="41"/>
    </row>
    <row r="373" spans="1:4" ht="15.75" customHeight="1" x14ac:dyDescent="0.25">
      <c r="A373" s="40">
        <v>372</v>
      </c>
      <c r="B373" s="41" t="s">
        <v>2388</v>
      </c>
      <c r="C373" s="41" t="str">
        <f ca="1">VLOOKUP(B373,lists!A$2:B1000,2)</f>
        <v>ДЗ скорости роста концентрации этана абсолютной, неделя, ручное</v>
      </c>
      <c r="D373" s="41"/>
    </row>
    <row r="374" spans="1:4" ht="15.75" customHeight="1" x14ac:dyDescent="0.25">
      <c r="A374" s="40">
        <v>373</v>
      </c>
      <c r="B374" s="41" t="s">
        <v>2389</v>
      </c>
      <c r="C374" s="41" t="str">
        <f ca="1">VLOOKUP(B374,lists!A$2:B1000,2)</f>
        <v>ДЗ скорости роста концентрации этилена абсолютной, неделя, ручное</v>
      </c>
      <c r="D374" s="41"/>
    </row>
    <row r="375" spans="1:4" ht="15.75" customHeight="1" x14ac:dyDescent="0.25">
      <c r="A375" s="40">
        <v>374</v>
      </c>
      <c r="B375" s="41" t="s">
        <v>2390</v>
      </c>
      <c r="C375" s="41" t="str">
        <f ca="1">VLOOKUP(B375,lists!A$2:B1000,2)</f>
        <v>ДЗ скорости роста концентрации ацетилена абсолютной, неделя, ручное</v>
      </c>
      <c r="D375" s="41"/>
    </row>
    <row r="376" spans="1:4" ht="15.75" customHeight="1" x14ac:dyDescent="0.25">
      <c r="A376" s="40">
        <v>375</v>
      </c>
      <c r="B376" s="41" t="s">
        <v>2391</v>
      </c>
      <c r="C376" s="41" t="str">
        <f ca="1">VLOOKUP(B376,lists!A$2:B1000,2)</f>
        <v>ДЗ скорости роста концентрации водорода абсолютной, месяц, ручное</v>
      </c>
      <c r="D376" s="9" t="s">
        <v>2181</v>
      </c>
    </row>
    <row r="377" spans="1:4" ht="15.75" customHeight="1" x14ac:dyDescent="0.25">
      <c r="A377" s="40">
        <v>376</v>
      </c>
      <c r="B377" s="41" t="s">
        <v>2392</v>
      </c>
      <c r="C377" s="41" t="str">
        <f ca="1">VLOOKUP(B377,lists!A$2:B1000,2)</f>
        <v>ДЗ скорости роста концентрации оксида углерода абсолютной, месяц, ручное</v>
      </c>
      <c r="D377" s="41"/>
    </row>
    <row r="378" spans="1:4" ht="15.75" customHeight="1" x14ac:dyDescent="0.25">
      <c r="A378" s="40">
        <v>377</v>
      </c>
      <c r="B378" s="41" t="s">
        <v>2393</v>
      </c>
      <c r="C378" s="41" t="str">
        <f ca="1">VLOOKUP(B378,lists!A$2:B1000,2)</f>
        <v>ДЗ скорости роста концентрации диоксида углерода абсолютной, месяц, ручное</v>
      </c>
      <c r="D378" s="41"/>
    </row>
    <row r="379" spans="1:4" ht="15.75" customHeight="1" x14ac:dyDescent="0.25">
      <c r="A379" s="40">
        <v>378</v>
      </c>
      <c r="B379" s="41" t="s">
        <v>2394</v>
      </c>
      <c r="C379" s="41" t="str">
        <f ca="1">VLOOKUP(B379,lists!A$2:B1000,2)</f>
        <v>ДЗ скорости роста концентрации метана абсолютной, месяц, ручное</v>
      </c>
      <c r="D379" s="41"/>
    </row>
    <row r="380" spans="1:4" ht="15.75" customHeight="1" x14ac:dyDescent="0.25">
      <c r="A380" s="40">
        <v>379</v>
      </c>
      <c r="B380" s="41" t="s">
        <v>2395</v>
      </c>
      <c r="C380" s="41" t="str">
        <f ca="1">VLOOKUP(B380,lists!A$2:B1000,2)</f>
        <v>ДЗ скорости роста концентрации этана абсолютной, месяц, ручное</v>
      </c>
      <c r="D380" s="41"/>
    </row>
    <row r="381" spans="1:4" ht="15.75" customHeight="1" x14ac:dyDescent="0.25">
      <c r="A381" s="40">
        <v>380</v>
      </c>
      <c r="B381" s="41" t="s">
        <v>2396</v>
      </c>
      <c r="C381" s="41" t="str">
        <f ca="1">VLOOKUP(B381,lists!A$2:B1000,2)</f>
        <v>ДЗ скорости роста концентрации этилена абсолютной, месяц, ручное</v>
      </c>
      <c r="D381" s="41"/>
    </row>
    <row r="382" spans="1:4" ht="15.75" customHeight="1" x14ac:dyDescent="0.25">
      <c r="A382" s="40">
        <v>381</v>
      </c>
      <c r="B382" s="41" t="s">
        <v>2397</v>
      </c>
      <c r="C382" s="41" t="str">
        <f ca="1">VLOOKUP(B382,lists!A$2:B1000,2)</f>
        <v>ДЗ скорости роста концентрации ацетилена абсолютной, месяц, ручное</v>
      </c>
      <c r="D382" s="9"/>
    </row>
    <row r="383" spans="1:4" ht="15.75" customHeight="1" x14ac:dyDescent="0.25">
      <c r="A383" s="40">
        <v>382</v>
      </c>
      <c r="B383" s="41" t="s">
        <v>2398</v>
      </c>
      <c r="C383" s="41" t="str">
        <f ca="1">VLOOKUP(B383,lists!A$2:B1000,2)</f>
        <v>ДЗ скорости роста концентрации водорода абсолютной, год, ручное</v>
      </c>
      <c r="D383" s="41"/>
    </row>
    <row r="384" spans="1:4" ht="15.75" customHeight="1" x14ac:dyDescent="0.25">
      <c r="A384" s="40">
        <v>383</v>
      </c>
      <c r="B384" s="41" t="s">
        <v>2399</v>
      </c>
      <c r="C384" s="41" t="str">
        <f ca="1">VLOOKUP(B384,lists!A$2:B1000,2)</f>
        <v>ДЗ скорости роста концентрации оксида углерода абсолютной, год, ручное</v>
      </c>
      <c r="D384" s="41"/>
    </row>
    <row r="385" spans="1:4" ht="15.75" customHeight="1" x14ac:dyDescent="0.25">
      <c r="A385" s="40">
        <v>384</v>
      </c>
      <c r="B385" s="41" t="s">
        <v>2400</v>
      </c>
      <c r="C385" s="41" t="str">
        <f ca="1">VLOOKUP(B385,lists!A$2:B1000,2)</f>
        <v>ДЗ скорости роста концентрации диоксида углерода абсолютной, год, ручное</v>
      </c>
      <c r="D385" s="41"/>
    </row>
    <row r="386" spans="1:4" ht="15.75" customHeight="1" x14ac:dyDescent="0.25">
      <c r="A386" s="40">
        <v>385</v>
      </c>
      <c r="B386" s="41" t="s">
        <v>2401</v>
      </c>
      <c r="C386" s="41" t="str">
        <f ca="1">VLOOKUP(B386,lists!A$2:B1000,2)</f>
        <v>ДЗ скорости роста концентрации метана абсолютной, год, ручное</v>
      </c>
      <c r="D386" s="41"/>
    </row>
    <row r="387" spans="1:4" ht="15.75" customHeight="1" x14ac:dyDescent="0.25">
      <c r="A387" s="40">
        <v>386</v>
      </c>
      <c r="B387" s="41" t="s">
        <v>2402</v>
      </c>
      <c r="C387" s="41" t="str">
        <f ca="1">VLOOKUP(B387,lists!A$2:B1000,2)</f>
        <v>ДЗ скорости роста концентрации этана абсолютной, год, ручное</v>
      </c>
      <c r="D387" s="41"/>
    </row>
    <row r="388" spans="1:4" ht="15.75" customHeight="1" x14ac:dyDescent="0.25">
      <c r="A388" s="40">
        <v>387</v>
      </c>
      <c r="B388" s="41" t="s">
        <v>2403</v>
      </c>
      <c r="C388" s="41" t="str">
        <f ca="1">VLOOKUP(B388,lists!A$2:B1000,2)</f>
        <v>ДЗ скорости роста концентрации этилена абсолютной, год, ручное</v>
      </c>
      <c r="D388" s="41"/>
    </row>
    <row r="389" spans="1:4" ht="15.75" customHeight="1" x14ac:dyDescent="0.25">
      <c r="A389" s="40">
        <v>388</v>
      </c>
      <c r="B389" s="41" t="s">
        <v>2404</v>
      </c>
      <c r="C389" s="41" t="str">
        <f ca="1">VLOOKUP(B389,lists!A$2:B1000,2)</f>
        <v>ДЗ скорости роста концентрации ацетилена абсолютной, год, ручное</v>
      </c>
      <c r="D389" s="41"/>
    </row>
    <row r="390" spans="1:4" ht="15.75" customHeight="1" x14ac:dyDescent="0.25">
      <c r="A390" s="40">
        <v>389</v>
      </c>
      <c r="B390" s="41" t="s">
        <v>2405</v>
      </c>
      <c r="C390" s="41" t="str">
        <f ca="1">VLOOKUP(B390,lists!A$2:B1000,2)</f>
        <v>ДЗ скорости роста концентрации водорода относительной, сутки, ручное</v>
      </c>
      <c r="D390" s="13" t="s">
        <v>2406</v>
      </c>
    </row>
    <row r="391" spans="1:4" ht="15.75" customHeight="1" x14ac:dyDescent="0.25">
      <c r="A391" s="40">
        <v>390</v>
      </c>
      <c r="B391" s="41" t="s">
        <v>2407</v>
      </c>
      <c r="C391" s="41" t="str">
        <f ca="1">VLOOKUP(B391,lists!A$2:B1000,2)</f>
        <v>ДЗ скорости роста концентрации оксида углерода относительной, сутки, ручное</v>
      </c>
      <c r="D391" s="9" t="s">
        <v>2408</v>
      </c>
    </row>
    <row r="392" spans="1:4" ht="15.75" customHeight="1" x14ac:dyDescent="0.25">
      <c r="A392" s="40">
        <v>391</v>
      </c>
      <c r="B392" s="41" t="s">
        <v>2409</v>
      </c>
      <c r="C392" s="41" t="str">
        <f ca="1">VLOOKUP(B392,lists!A$2:B1000,2)</f>
        <v>ДЗ скорости роста концентрации диоксида углерода относительной, сутки, ручное</v>
      </c>
      <c r="D392" s="9" t="s">
        <v>2410</v>
      </c>
    </row>
    <row r="393" spans="1:4" ht="15.75" customHeight="1" x14ac:dyDescent="0.25">
      <c r="A393" s="40">
        <v>392</v>
      </c>
      <c r="B393" s="41" t="s">
        <v>2411</v>
      </c>
      <c r="C393" s="41" t="str">
        <f ca="1">VLOOKUP(B393,lists!A$2:B1000,2)</f>
        <v>ДЗ скорости роста концентрации метана относительной, сутки, ручное</v>
      </c>
      <c r="D393" s="9" t="s">
        <v>2412</v>
      </c>
    </row>
    <row r="394" spans="1:4" ht="15.75" customHeight="1" x14ac:dyDescent="0.25">
      <c r="A394" s="40">
        <v>393</v>
      </c>
      <c r="B394" s="41" t="s">
        <v>2413</v>
      </c>
      <c r="C394" s="41" t="str">
        <f ca="1">VLOOKUP(B394,lists!A$2:B1000,2)</f>
        <v>ДЗ скорости роста концентрации этана относительной, сутки, ручное</v>
      </c>
      <c r="D394" s="9" t="s">
        <v>2414</v>
      </c>
    </row>
    <row r="395" spans="1:4" ht="15.75" customHeight="1" x14ac:dyDescent="0.25">
      <c r="A395" s="40">
        <v>394</v>
      </c>
      <c r="B395" s="41" t="s">
        <v>2415</v>
      </c>
      <c r="C395" s="41" t="str">
        <f ca="1">VLOOKUP(B395,lists!A$2:B1000,2)</f>
        <v>ДЗ скорости роста концентрации этилена относительной, сутки, ручное</v>
      </c>
      <c r="D395" s="9" t="s">
        <v>2416</v>
      </c>
    </row>
    <row r="396" spans="1:4" ht="15.75" customHeight="1" x14ac:dyDescent="0.25">
      <c r="A396" s="40">
        <v>395</v>
      </c>
      <c r="B396" s="41" t="s">
        <v>2417</v>
      </c>
      <c r="C396" s="41" t="str">
        <f ca="1">VLOOKUP(B396,lists!A$2:B1000,2)</f>
        <v>ДЗ скорости роста концентрации ацетилена относительной, сутки, ручное</v>
      </c>
      <c r="D396" s="9" t="s">
        <v>2418</v>
      </c>
    </row>
    <row r="397" spans="1:4" ht="15.75" customHeight="1" x14ac:dyDescent="0.25">
      <c r="A397" s="40">
        <v>396</v>
      </c>
      <c r="B397" s="41" t="s">
        <v>2419</v>
      </c>
      <c r="C397" s="41" t="str">
        <f ca="1">VLOOKUP(B397,lists!A$2:B1000,2)</f>
        <v>ДЗ скорости роста концентрации водорода относительной, неделя, ручное</v>
      </c>
      <c r="D397" s="13" t="s">
        <v>2420</v>
      </c>
    </row>
    <row r="398" spans="1:4" ht="15.75" customHeight="1" x14ac:dyDescent="0.25">
      <c r="A398" s="40">
        <v>397</v>
      </c>
      <c r="B398" s="41" t="s">
        <v>2421</v>
      </c>
      <c r="C398" s="41" t="str">
        <f ca="1">VLOOKUP(B398,lists!A$2:B1000,2)</f>
        <v>ДЗ скорости роста концентрации оксида углерода относительной, неделя, ручное</v>
      </c>
      <c r="D398" s="9" t="s">
        <v>2422</v>
      </c>
    </row>
    <row r="399" spans="1:4" ht="15.75" customHeight="1" x14ac:dyDescent="0.25">
      <c r="A399" s="40">
        <v>398</v>
      </c>
      <c r="B399" s="41" t="s">
        <v>2423</v>
      </c>
      <c r="C399" s="41" t="str">
        <f ca="1">VLOOKUP(B399,lists!A$2:B1000,2)</f>
        <v>ДЗ скорости роста концентрации диоксида углерода относительной, неделя, ручное</v>
      </c>
      <c r="D399" s="9" t="s">
        <v>2424</v>
      </c>
    </row>
    <row r="400" spans="1:4" ht="15.75" customHeight="1" x14ac:dyDescent="0.25">
      <c r="A400" s="40">
        <v>399</v>
      </c>
      <c r="B400" s="41" t="s">
        <v>2425</v>
      </c>
      <c r="C400" s="41" t="str">
        <f ca="1">VLOOKUP(B400,lists!A$2:B1000,2)</f>
        <v>ДЗ скорости роста концентрации метана относительной, неделя, ручное</v>
      </c>
      <c r="D400" s="9" t="s">
        <v>2426</v>
      </c>
    </row>
    <row r="401" spans="1:4" ht="15.75" customHeight="1" x14ac:dyDescent="0.25">
      <c r="A401" s="40">
        <v>400</v>
      </c>
      <c r="B401" s="41" t="s">
        <v>2427</v>
      </c>
      <c r="C401" s="41" t="str">
        <f ca="1">VLOOKUP(B401,lists!A$2:B1000,2)</f>
        <v>ДЗ скорости роста концентрации этана относительной, неделя, ручное</v>
      </c>
      <c r="D401" s="9" t="s">
        <v>2428</v>
      </c>
    </row>
    <row r="402" spans="1:4" ht="15.75" customHeight="1" x14ac:dyDescent="0.25">
      <c r="A402" s="40">
        <v>401</v>
      </c>
      <c r="B402" s="41" t="s">
        <v>2429</v>
      </c>
      <c r="C402" s="41" t="str">
        <f ca="1">VLOOKUP(B402,lists!A$2:B1000,2)</f>
        <v>ДЗ скорости роста концентрации этилена относительной, неделя, ручное</v>
      </c>
      <c r="D402" s="9" t="s">
        <v>2430</v>
      </c>
    </row>
    <row r="403" spans="1:4" ht="15.75" customHeight="1" x14ac:dyDescent="0.25">
      <c r="A403" s="40">
        <v>402</v>
      </c>
      <c r="B403" s="41" t="s">
        <v>2431</v>
      </c>
      <c r="C403" s="41" t="str">
        <f ca="1">VLOOKUP(B403,lists!A$2:B1000,2)</f>
        <v>ДЗ скорости роста концентрации ацетилена относительной, неделя, ручное</v>
      </c>
      <c r="D403" s="9" t="s">
        <v>2432</v>
      </c>
    </row>
    <row r="404" spans="1:4" ht="15.75" customHeight="1" x14ac:dyDescent="0.25">
      <c r="A404" s="40">
        <v>403</v>
      </c>
      <c r="B404" s="41" t="s">
        <v>2433</v>
      </c>
      <c r="C404" s="41" t="str">
        <f ca="1">VLOOKUP(B404,lists!A$2:B1000,2)</f>
        <v>ДЗ скорости роста концентрации водорода относительной, месяц, ручное</v>
      </c>
      <c r="D404" s="9" t="s">
        <v>2434</v>
      </c>
    </row>
    <row r="405" spans="1:4" ht="15.75" customHeight="1" x14ac:dyDescent="0.25">
      <c r="A405" s="40">
        <v>404</v>
      </c>
      <c r="B405" s="41" t="s">
        <v>2435</v>
      </c>
      <c r="C405" s="41" t="str">
        <f ca="1">VLOOKUP(B405,lists!A$2:B1000,2)</f>
        <v>ДЗ скорости роста концентрации оксида углерода относительной, месяц, ручное</v>
      </c>
      <c r="D405" s="9" t="s">
        <v>2436</v>
      </c>
    </row>
    <row r="406" spans="1:4" ht="15.75" customHeight="1" x14ac:dyDescent="0.25">
      <c r="A406" s="40">
        <v>405</v>
      </c>
      <c r="B406" s="41" t="s">
        <v>2437</v>
      </c>
      <c r="C406" s="41" t="str">
        <f ca="1">VLOOKUP(B406,lists!A$2:B1000,2)</f>
        <v>ДЗ скорости роста концентрации диоксида углерода относительной, месяц, ручное</v>
      </c>
      <c r="D406" s="9" t="s">
        <v>2438</v>
      </c>
    </row>
    <row r="407" spans="1:4" ht="15.75" customHeight="1" x14ac:dyDescent="0.25">
      <c r="A407" s="40">
        <v>406</v>
      </c>
      <c r="B407" s="41" t="s">
        <v>2439</v>
      </c>
      <c r="C407" s="41" t="str">
        <f ca="1">VLOOKUP(B407,lists!A$2:B1000,2)</f>
        <v>ДЗ скорости роста концентрации метана относительной, месяц, ручное</v>
      </c>
      <c r="D407" s="9" t="s">
        <v>2440</v>
      </c>
    </row>
    <row r="408" spans="1:4" ht="15.75" customHeight="1" x14ac:dyDescent="0.25">
      <c r="A408" s="40">
        <v>407</v>
      </c>
      <c r="B408" s="41" t="s">
        <v>2441</v>
      </c>
      <c r="C408" s="41" t="str">
        <f ca="1">VLOOKUP(B408,lists!A$2:B1000,2)</f>
        <v>ДЗ скорости роста концентрации этана относительной, месяц, ручное</v>
      </c>
      <c r="D408" s="9" t="s">
        <v>2442</v>
      </c>
    </row>
    <row r="409" spans="1:4" ht="15.75" customHeight="1" x14ac:dyDescent="0.25">
      <c r="A409" s="40">
        <v>408</v>
      </c>
      <c r="B409" s="41" t="s">
        <v>2443</v>
      </c>
      <c r="C409" s="41" t="str">
        <f ca="1">VLOOKUP(B409,lists!A$2:B1000,2)</f>
        <v>ДЗ скорости роста концентрации этилена относительной, месяц, ручное</v>
      </c>
      <c r="D409" s="9" t="s">
        <v>2444</v>
      </c>
    </row>
    <row r="410" spans="1:4" ht="15.75" customHeight="1" x14ac:dyDescent="0.25">
      <c r="A410" s="40">
        <v>409</v>
      </c>
      <c r="B410" s="41" t="s">
        <v>2445</v>
      </c>
      <c r="C410" s="41" t="str">
        <f ca="1">VLOOKUP(B410,lists!A$2:B1000,2)</f>
        <v>ДЗ скорости роста концентрации ацетилена относительной, месяц, ручное</v>
      </c>
      <c r="D410" s="9" t="s">
        <v>2446</v>
      </c>
    </row>
    <row r="411" spans="1:4" ht="15.75" customHeight="1" x14ac:dyDescent="0.25">
      <c r="A411" s="40">
        <v>410</v>
      </c>
      <c r="B411" s="41" t="s">
        <v>2447</v>
      </c>
      <c r="C411" s="41" t="str">
        <f ca="1">VLOOKUP(B411,lists!A$2:B1000,2)</f>
        <v>ДЗ скорости роста концентрации водорода относительной, год, ручное</v>
      </c>
      <c r="D411" s="13" t="s">
        <v>2448</v>
      </c>
    </row>
    <row r="412" spans="1:4" ht="15.75" customHeight="1" x14ac:dyDescent="0.25">
      <c r="A412" s="40">
        <v>411</v>
      </c>
      <c r="B412" s="41" t="s">
        <v>2449</v>
      </c>
      <c r="C412" s="41" t="str">
        <f ca="1">VLOOKUP(B412,lists!A$2:B1000,2)</f>
        <v>ДЗ скорости роста концентрации оксида углерода относительной, год, ручное</v>
      </c>
      <c r="D412" s="9" t="s">
        <v>2450</v>
      </c>
    </row>
    <row r="413" spans="1:4" ht="15.75" customHeight="1" x14ac:dyDescent="0.25">
      <c r="A413" s="40">
        <v>412</v>
      </c>
      <c r="B413" s="41" t="s">
        <v>2451</v>
      </c>
      <c r="C413" s="41" t="str">
        <f ca="1">VLOOKUP(B413,lists!A$2:B1000,2)</f>
        <v>ДЗ скорости роста концентрации диоксида углерода относительной, год, ручное</v>
      </c>
      <c r="D413" s="9" t="s">
        <v>2452</v>
      </c>
    </row>
    <row r="414" spans="1:4" ht="15.75" customHeight="1" x14ac:dyDescent="0.25">
      <c r="A414" s="40">
        <v>413</v>
      </c>
      <c r="B414" s="41" t="s">
        <v>2453</v>
      </c>
      <c r="C414" s="41" t="str">
        <f ca="1">VLOOKUP(B414,lists!A$2:B1000,2)</f>
        <v>ДЗ скорости роста концентрации метана относительной, год, ручное</v>
      </c>
      <c r="D414" s="13" t="s">
        <v>2454</v>
      </c>
    </row>
    <row r="415" spans="1:4" ht="15.75" customHeight="1" x14ac:dyDescent="0.25">
      <c r="A415" s="40">
        <v>414</v>
      </c>
      <c r="B415" s="41" t="s">
        <v>2455</v>
      </c>
      <c r="C415" s="41" t="str">
        <f ca="1">VLOOKUP(B415,lists!A$2:B1000,2)</f>
        <v>ДЗ скорости роста концентрации этана относительной, год, ручное</v>
      </c>
      <c r="D415" s="9" t="s">
        <v>2456</v>
      </c>
    </row>
    <row r="416" spans="1:4" ht="15.75" customHeight="1" x14ac:dyDescent="0.25">
      <c r="A416" s="40">
        <v>415</v>
      </c>
      <c r="B416" s="41" t="s">
        <v>2457</v>
      </c>
      <c r="C416" s="41" t="str">
        <f ca="1">VLOOKUP(B416,lists!A$2:B1000,2)</f>
        <v>ДЗ скорости роста концентрации этилена относительной, год, ручное</v>
      </c>
      <c r="D416" s="9" t="s">
        <v>2458</v>
      </c>
    </row>
    <row r="417" spans="1:4" ht="15.75" customHeight="1" x14ac:dyDescent="0.25">
      <c r="A417" s="40">
        <v>416</v>
      </c>
      <c r="B417" s="41" t="s">
        <v>2459</v>
      </c>
      <c r="C417" s="41" t="str">
        <f ca="1">VLOOKUP(B417,lists!A$2:B1000,2)</f>
        <v>ДЗ скорости роста концентрации ацетилена относительной, год, ручное</v>
      </c>
      <c r="D417" s="9" t="s">
        <v>2460</v>
      </c>
    </row>
    <row r="418" spans="1:4" ht="15.75" customHeight="1" x14ac:dyDescent="0.25">
      <c r="A418" s="40">
        <v>417</v>
      </c>
      <c r="B418" s="41" t="s">
        <v>2461</v>
      </c>
      <c r="C418" s="41" t="str">
        <f ca="1">VLOOKUP(B418,lists!A$2:B1000,2)</f>
        <v>ПДЗ скорости роста концентрации водорода абсолютной, сутки, ручное</v>
      </c>
      <c r="D418" s="9" t="s">
        <v>2462</v>
      </c>
    </row>
    <row r="419" spans="1:4" ht="15.75" customHeight="1" x14ac:dyDescent="0.25">
      <c r="A419" s="40">
        <v>418</v>
      </c>
      <c r="B419" s="41" t="s">
        <v>2463</v>
      </c>
      <c r="C419" s="41" t="str">
        <f ca="1">VLOOKUP(B419,lists!A$2:B1000,2)</f>
        <v>ПДЗ скорости роста концентрации оксида углерода абсолютной, сутки, ручное</v>
      </c>
      <c r="D419" s="9" t="s">
        <v>2464</v>
      </c>
    </row>
    <row r="420" spans="1:4" ht="15.75" customHeight="1" x14ac:dyDescent="0.25">
      <c r="A420" s="40">
        <v>419</v>
      </c>
      <c r="B420" s="41" t="s">
        <v>2465</v>
      </c>
      <c r="C420" s="41" t="str">
        <f ca="1">VLOOKUP(B420,lists!A$2:B1000,2)</f>
        <v>ПДЗ скорости роста концентрации диоксида углерода абсолютной, сутки, ручное</v>
      </c>
      <c r="D420" s="9" t="s">
        <v>2466</v>
      </c>
    </row>
    <row r="421" spans="1:4" ht="15.75" customHeight="1" x14ac:dyDescent="0.25">
      <c r="A421" s="40">
        <v>420</v>
      </c>
      <c r="B421" s="41" t="s">
        <v>2467</v>
      </c>
      <c r="C421" s="41" t="str">
        <f ca="1">VLOOKUP(B421,lists!A$2:B1000,2)</f>
        <v>ПДЗ скорости роста концентрации метана абсолютной, сутки, ручное</v>
      </c>
      <c r="D421" s="9" t="s">
        <v>2468</v>
      </c>
    </row>
    <row r="422" spans="1:4" ht="15.75" customHeight="1" x14ac:dyDescent="0.25">
      <c r="A422" s="40">
        <v>421</v>
      </c>
      <c r="B422" s="41" t="s">
        <v>2469</v>
      </c>
      <c r="C422" s="41" t="str">
        <f ca="1">VLOOKUP(B422,lists!A$2:B1000,2)</f>
        <v>ПДЗ скорости роста концентрации этана абсолютной, сутки, ручное</v>
      </c>
      <c r="D422" s="9" t="s">
        <v>2470</v>
      </c>
    </row>
    <row r="423" spans="1:4" ht="15.75" customHeight="1" x14ac:dyDescent="0.25">
      <c r="A423" s="40">
        <v>422</v>
      </c>
      <c r="B423" s="41" t="s">
        <v>2471</v>
      </c>
      <c r="C423" s="41" t="str">
        <f ca="1">VLOOKUP(B423,lists!A$2:B1000,2)</f>
        <v>ПДЗ скорости роста концентрации этилена абсолютной, сутки, ручное</v>
      </c>
      <c r="D423" s="9" t="s">
        <v>2472</v>
      </c>
    </row>
    <row r="424" spans="1:4" ht="15.75" customHeight="1" x14ac:dyDescent="0.25">
      <c r="A424" s="40">
        <v>423</v>
      </c>
      <c r="B424" s="41" t="s">
        <v>2473</v>
      </c>
      <c r="C424" s="41" t="str">
        <f ca="1">VLOOKUP(B424,lists!A$2:B1000,2)</f>
        <v>ПДЗ скорости роста концентрации ацетилена абсолютной, сутки, ручное</v>
      </c>
      <c r="D424" s="9" t="s">
        <v>2474</v>
      </c>
    </row>
    <row r="425" spans="1:4" ht="15.75" customHeight="1" x14ac:dyDescent="0.25">
      <c r="A425" s="40">
        <v>424</v>
      </c>
      <c r="B425" s="41" t="s">
        <v>2475</v>
      </c>
      <c r="C425" s="41" t="str">
        <f ca="1">VLOOKUP(B425,lists!A$2:B1000,2)</f>
        <v>ПДЗ скорости роста концентрации водорода абсолютной, неделя, ручное</v>
      </c>
      <c r="D425" s="41"/>
    </row>
    <row r="426" spans="1:4" ht="15.75" customHeight="1" x14ac:dyDescent="0.25">
      <c r="A426" s="40">
        <v>425</v>
      </c>
      <c r="B426" s="41" t="s">
        <v>2476</v>
      </c>
      <c r="C426" s="41" t="str">
        <f ca="1">VLOOKUP(B426,lists!A$2:B1000,2)</f>
        <v>ПДЗ скорости роста концентрации оксида углерода абсолютной, неделя, ручное</v>
      </c>
      <c r="D426" s="41"/>
    </row>
    <row r="427" spans="1:4" ht="15.75" customHeight="1" x14ac:dyDescent="0.25">
      <c r="A427" s="40">
        <v>426</v>
      </c>
      <c r="B427" s="41" t="s">
        <v>2477</v>
      </c>
      <c r="C427" s="41" t="str">
        <f ca="1">VLOOKUP(B427,lists!A$2:B1000,2)</f>
        <v>ПДЗ скорости роста концентрации диоксида углерода абсолютной, неделя, ручное</v>
      </c>
      <c r="D427" s="41"/>
    </row>
    <row r="428" spans="1:4" ht="15.75" customHeight="1" x14ac:dyDescent="0.25">
      <c r="A428" s="40">
        <v>427</v>
      </c>
      <c r="B428" s="41" t="s">
        <v>2478</v>
      </c>
      <c r="C428" s="41" t="str">
        <f ca="1">VLOOKUP(B428,lists!A$2:B1000,2)</f>
        <v>ПДЗ скорости роста концентрации метана абсолютной, неделя, ручное</v>
      </c>
      <c r="D428" s="41"/>
    </row>
    <row r="429" spans="1:4" ht="15.75" customHeight="1" x14ac:dyDescent="0.25">
      <c r="A429" s="40">
        <v>428</v>
      </c>
      <c r="B429" s="41" t="s">
        <v>2479</v>
      </c>
      <c r="C429" s="41" t="str">
        <f ca="1">VLOOKUP(B429,lists!A$2:B1000,2)</f>
        <v>ПДЗ скорости роста концентрации этана абсолютной, неделя, ручное</v>
      </c>
      <c r="D429" s="41"/>
    </row>
    <row r="430" spans="1:4" ht="15.75" customHeight="1" x14ac:dyDescent="0.25">
      <c r="A430" s="40">
        <v>429</v>
      </c>
      <c r="B430" s="41" t="s">
        <v>2480</v>
      </c>
      <c r="C430" s="41" t="str">
        <f ca="1">VLOOKUP(B430,lists!A$2:B1000,2)</f>
        <v>ПДЗ скорости роста концентрации этилена абсолютной, неделя, ручное</v>
      </c>
      <c r="D430" s="41"/>
    </row>
    <row r="431" spans="1:4" ht="15.75" customHeight="1" x14ac:dyDescent="0.25">
      <c r="A431" s="40">
        <v>430</v>
      </c>
      <c r="B431" s="41" t="s">
        <v>2481</v>
      </c>
      <c r="C431" s="41" t="str">
        <f ca="1">VLOOKUP(B431,lists!A$2:B1000,2)</f>
        <v>ПДЗ скорости роста концентрации ацетилена абсолютной, неделя, ручное</v>
      </c>
      <c r="D431" s="41"/>
    </row>
    <row r="432" spans="1:4" ht="15.75" customHeight="1" x14ac:dyDescent="0.25">
      <c r="A432" s="40">
        <v>431</v>
      </c>
      <c r="B432" s="41" t="s">
        <v>2482</v>
      </c>
      <c r="C432" s="41" t="str">
        <f ca="1">VLOOKUP(B432,lists!A$2:B1000,2)</f>
        <v>ПДЗ скорости роста концентрации водорода абсолютной, месяц, ручное</v>
      </c>
      <c r="D432" s="41"/>
    </row>
    <row r="433" spans="1:4" ht="15.75" customHeight="1" x14ac:dyDescent="0.25">
      <c r="A433" s="40">
        <v>432</v>
      </c>
      <c r="B433" s="41" t="s">
        <v>2483</v>
      </c>
      <c r="C433" s="41" t="str">
        <f ca="1">VLOOKUP(B433,lists!A$2:B1000,2)</f>
        <v>ПДЗ скорости роста концентрации оксида углерода абсолютной, месяц, ручное</v>
      </c>
      <c r="D433" s="41"/>
    </row>
    <row r="434" spans="1:4" ht="15.75" customHeight="1" x14ac:dyDescent="0.25">
      <c r="A434" s="40">
        <v>433</v>
      </c>
      <c r="B434" s="41" t="s">
        <v>2484</v>
      </c>
      <c r="C434" s="41" t="str">
        <f ca="1">VLOOKUP(B434,lists!A$2:B1000,2)</f>
        <v>ПДЗ скорости роста концентрации диоксида углерода абсолютной, месяц, ручное</v>
      </c>
      <c r="D434" s="41"/>
    </row>
    <row r="435" spans="1:4" ht="15.75" customHeight="1" x14ac:dyDescent="0.25">
      <c r="A435" s="40">
        <v>434</v>
      </c>
      <c r="B435" s="41" t="s">
        <v>2485</v>
      </c>
      <c r="C435" s="41" t="str">
        <f ca="1">VLOOKUP(B435,lists!A$2:B1000,2)</f>
        <v>ПДЗ скорости роста концентрации метана абсолютной, месяц, ручное</v>
      </c>
      <c r="D435" s="41"/>
    </row>
    <row r="436" spans="1:4" ht="15.75" customHeight="1" x14ac:dyDescent="0.25">
      <c r="A436" s="40">
        <v>435</v>
      </c>
      <c r="B436" s="41" t="s">
        <v>2486</v>
      </c>
      <c r="C436" s="41" t="str">
        <f ca="1">VLOOKUP(B436,lists!A$2:B1000,2)</f>
        <v>ПДЗ скорости роста концентрации этана абсолютной, месяц, ручное</v>
      </c>
      <c r="D436" s="41"/>
    </row>
    <row r="437" spans="1:4" ht="15.75" customHeight="1" x14ac:dyDescent="0.25">
      <c r="A437" s="40">
        <v>436</v>
      </c>
      <c r="B437" s="41" t="s">
        <v>2487</v>
      </c>
      <c r="C437" s="41" t="str">
        <f ca="1">VLOOKUP(B437,lists!A$2:B1000,2)</f>
        <v>ПДЗ скорости роста концентрации этилена абсолютной, месяц, ручное</v>
      </c>
      <c r="D437" s="41"/>
    </row>
    <row r="438" spans="1:4" ht="15.75" customHeight="1" x14ac:dyDescent="0.25">
      <c r="A438" s="40">
        <v>437</v>
      </c>
      <c r="B438" s="41" t="s">
        <v>2488</v>
      </c>
      <c r="C438" s="41" t="str">
        <f ca="1">VLOOKUP(B438,lists!A$2:B1000,2)</f>
        <v>ПДЗ скорости роста концентрации ацетилена абсолютной, месяц, ручное</v>
      </c>
      <c r="D438" s="9" t="s">
        <v>2301</v>
      </c>
    </row>
    <row r="439" spans="1:4" ht="15.75" customHeight="1" x14ac:dyDescent="0.25">
      <c r="A439" s="40">
        <v>438</v>
      </c>
      <c r="B439" s="41" t="s">
        <v>2489</v>
      </c>
      <c r="C439" s="41" t="str">
        <f ca="1">VLOOKUP(B439,lists!A$2:B1000,2)</f>
        <v>ПДЗ скорости роста концентрации водорода абсолютной, год, ручное</v>
      </c>
      <c r="D439" s="41"/>
    </row>
    <row r="440" spans="1:4" ht="15.75" customHeight="1" x14ac:dyDescent="0.25">
      <c r="A440" s="40">
        <v>439</v>
      </c>
      <c r="B440" s="41" t="s">
        <v>2490</v>
      </c>
      <c r="C440" s="41" t="str">
        <f ca="1">VLOOKUP(B440,lists!A$2:B1000,2)</f>
        <v>ПДЗ скорости роста концентрации оксида углерода абсолютной, год, ручное</v>
      </c>
      <c r="D440" s="41"/>
    </row>
    <row r="441" spans="1:4" ht="15.75" customHeight="1" x14ac:dyDescent="0.25">
      <c r="A441" s="40">
        <v>440</v>
      </c>
      <c r="B441" s="41" t="s">
        <v>2491</v>
      </c>
      <c r="C441" s="41" t="str">
        <f ca="1">VLOOKUP(B441,lists!A$2:B1000,2)</f>
        <v>ПДЗ скорости роста концентрации диоксида углерода абсолютной, год, ручное</v>
      </c>
      <c r="D441" s="41"/>
    </row>
    <row r="442" spans="1:4" ht="15.75" customHeight="1" x14ac:dyDescent="0.25">
      <c r="A442" s="40">
        <v>441</v>
      </c>
      <c r="B442" s="41" t="s">
        <v>2492</v>
      </c>
      <c r="C442" s="41" t="str">
        <f ca="1">VLOOKUP(B442,lists!A$2:B1000,2)</f>
        <v>ПДЗ скорости роста концентрации метана абсолютной, год, ручное</v>
      </c>
      <c r="D442" s="41"/>
    </row>
    <row r="443" spans="1:4" ht="15.75" customHeight="1" x14ac:dyDescent="0.25">
      <c r="A443" s="40">
        <v>442</v>
      </c>
      <c r="B443" s="41" t="s">
        <v>2493</v>
      </c>
      <c r="C443" s="41" t="str">
        <f ca="1">VLOOKUP(B443,lists!A$2:B1000,2)</f>
        <v>ПДЗ скорости роста концентрации этана абсолютной, год, ручное</v>
      </c>
      <c r="D443" s="41"/>
    </row>
    <row r="444" spans="1:4" ht="15.75" customHeight="1" x14ac:dyDescent="0.25">
      <c r="A444" s="40">
        <v>443</v>
      </c>
      <c r="B444" s="41" t="s">
        <v>2494</v>
      </c>
      <c r="C444" s="41" t="str">
        <f ca="1">VLOOKUP(B444,lists!A$2:B1000,2)</f>
        <v>ПДЗ скорости роста концентрации этилена абсолютной, год, ручное</v>
      </c>
      <c r="D444" s="41"/>
    </row>
    <row r="445" spans="1:4" ht="15.75" customHeight="1" x14ac:dyDescent="0.25">
      <c r="A445" s="40">
        <v>444</v>
      </c>
      <c r="B445" s="41" t="s">
        <v>2495</v>
      </c>
      <c r="C445" s="41" t="str">
        <f ca="1">VLOOKUP(B445,lists!A$2:B1000,2)</f>
        <v>ПДЗ скорости роста концентрации ацетилена абсолютной, год, ручное</v>
      </c>
      <c r="D445" s="41"/>
    </row>
    <row r="446" spans="1:4" ht="15.75" customHeight="1" x14ac:dyDescent="0.25">
      <c r="A446" s="40">
        <v>445</v>
      </c>
      <c r="B446" s="41" t="s">
        <v>2496</v>
      </c>
      <c r="C446" s="41" t="str">
        <f ca="1">VLOOKUP(B446,lists!A$2:B1000,2)</f>
        <v>ПДЗ скорости роста концентрации водорода относительной, сутки, ручное</v>
      </c>
      <c r="D446" s="9" t="s">
        <v>2497</v>
      </c>
    </row>
    <row r="447" spans="1:4" ht="15.75" customHeight="1" x14ac:dyDescent="0.25">
      <c r="A447" s="40">
        <v>446</v>
      </c>
      <c r="B447" s="41" t="s">
        <v>2498</v>
      </c>
      <c r="C447" s="41" t="str">
        <f ca="1">VLOOKUP(B447,lists!A$2:B1000,2)</f>
        <v>ПДЗ скорости роста концентрации оксида углерода относительной, сутки, ручное</v>
      </c>
      <c r="D447" s="9" t="s">
        <v>2499</v>
      </c>
    </row>
    <row r="448" spans="1:4" ht="15.75" customHeight="1" x14ac:dyDescent="0.25">
      <c r="A448" s="40">
        <v>447</v>
      </c>
      <c r="B448" s="41" t="s">
        <v>2500</v>
      </c>
      <c r="C448" s="41" t="str">
        <f ca="1">VLOOKUP(B448,lists!A$2:B1000,2)</f>
        <v>ПДЗ скорости роста концентрации диоксида углерода относительной, сутки, ручное</v>
      </c>
      <c r="D448" s="9" t="s">
        <v>2501</v>
      </c>
    </row>
    <row r="449" spans="1:4" ht="15.75" customHeight="1" x14ac:dyDescent="0.25">
      <c r="A449" s="40">
        <v>448</v>
      </c>
      <c r="B449" s="41" t="s">
        <v>2502</v>
      </c>
      <c r="C449" s="41" t="str">
        <f ca="1">VLOOKUP(B449,lists!A$2:B1000,2)</f>
        <v>ПДЗ скорости роста концентрации метана относительной, сутки, ручное</v>
      </c>
      <c r="D449" s="9" t="s">
        <v>2503</v>
      </c>
    </row>
    <row r="450" spans="1:4" ht="15.75" customHeight="1" x14ac:dyDescent="0.25">
      <c r="A450" s="40">
        <v>449</v>
      </c>
      <c r="B450" s="41" t="s">
        <v>2504</v>
      </c>
      <c r="C450" s="41" t="str">
        <f ca="1">VLOOKUP(B450,lists!A$2:B1000,2)</f>
        <v>ПДЗ скорости роста концентрации этана относительной, сутки, ручное</v>
      </c>
      <c r="D450" s="9" t="s">
        <v>2505</v>
      </c>
    </row>
    <row r="451" spans="1:4" ht="15.75" customHeight="1" x14ac:dyDescent="0.25">
      <c r="A451" s="40">
        <v>450</v>
      </c>
      <c r="B451" s="41" t="s">
        <v>2506</v>
      </c>
      <c r="C451" s="41" t="str">
        <f ca="1">VLOOKUP(B451,lists!A$2:B1000,2)</f>
        <v>ПДЗ скорости роста концентрации этилена относительной, сутки, ручное</v>
      </c>
      <c r="D451" s="9" t="s">
        <v>2507</v>
      </c>
    </row>
    <row r="452" spans="1:4" ht="15.75" customHeight="1" x14ac:dyDescent="0.25">
      <c r="A452" s="40">
        <v>451</v>
      </c>
      <c r="B452" s="41" t="s">
        <v>2508</v>
      </c>
      <c r="C452" s="41" t="str">
        <f ca="1">VLOOKUP(B452,lists!A$2:B1000,2)</f>
        <v>ПДЗ скорости роста концентрации ацетилена относительной, сутки, ручное</v>
      </c>
      <c r="D452" s="9" t="s">
        <v>2509</v>
      </c>
    </row>
    <row r="453" spans="1:4" ht="15.75" customHeight="1" x14ac:dyDescent="0.25">
      <c r="A453" s="40">
        <v>452</v>
      </c>
      <c r="B453" s="41" t="s">
        <v>2510</v>
      </c>
      <c r="C453" s="41" t="str">
        <f ca="1">VLOOKUP(B453,lists!A$2:B1000,2)</f>
        <v>ПДЗ скорости роста концентрации водорода относительной, неделя, ручное</v>
      </c>
      <c r="D453" s="9" t="s">
        <v>2511</v>
      </c>
    </row>
    <row r="454" spans="1:4" ht="15.75" customHeight="1" x14ac:dyDescent="0.25">
      <c r="A454" s="40">
        <v>453</v>
      </c>
      <c r="B454" s="41" t="s">
        <v>2512</v>
      </c>
      <c r="C454" s="41" t="str">
        <f ca="1">VLOOKUP(B454,lists!A$2:B1000,2)</f>
        <v>ПДЗ скорости роста концентрации оксида углерода относительной, неделя, ручное</v>
      </c>
      <c r="D454" s="13" t="s">
        <v>2513</v>
      </c>
    </row>
    <row r="455" spans="1:4" ht="15.75" customHeight="1" x14ac:dyDescent="0.25">
      <c r="A455" s="40">
        <v>454</v>
      </c>
      <c r="B455" s="41" t="s">
        <v>2514</v>
      </c>
      <c r="C455" s="41" t="str">
        <f ca="1">VLOOKUP(B455,lists!A$2:B1000,2)</f>
        <v>ПДЗ скорости роста концентрации диоксида углерода относительной, неделя, ручное</v>
      </c>
      <c r="D455" s="9" t="s">
        <v>2515</v>
      </c>
    </row>
    <row r="456" spans="1:4" ht="15.75" customHeight="1" x14ac:dyDescent="0.25">
      <c r="A456" s="40">
        <v>455</v>
      </c>
      <c r="B456" s="41" t="s">
        <v>2516</v>
      </c>
      <c r="C456" s="41" t="str">
        <f ca="1">VLOOKUP(B456,lists!A$2:B1000,2)</f>
        <v>ПДЗ скорости роста концентрации метана относительной, неделя, ручное</v>
      </c>
      <c r="D456" s="9" t="s">
        <v>2517</v>
      </c>
    </row>
    <row r="457" spans="1:4" ht="15.75" customHeight="1" x14ac:dyDescent="0.25">
      <c r="A457" s="40">
        <v>456</v>
      </c>
      <c r="B457" s="41" t="s">
        <v>2518</v>
      </c>
      <c r="C457" s="41" t="str">
        <f ca="1">VLOOKUP(B457,lists!A$2:B1000,2)</f>
        <v>ПДЗ скорости роста концентрации этана относительной, неделя, ручное</v>
      </c>
      <c r="D457" s="9" t="s">
        <v>2519</v>
      </c>
    </row>
    <row r="458" spans="1:4" ht="15.75" customHeight="1" x14ac:dyDescent="0.25">
      <c r="A458" s="40">
        <v>457</v>
      </c>
      <c r="B458" s="41" t="s">
        <v>2520</v>
      </c>
      <c r="C458" s="41" t="str">
        <f ca="1">VLOOKUP(B458,lists!A$2:B1000,2)</f>
        <v>ПДЗ скорости роста концентрации этилена относительной, неделя, ручное</v>
      </c>
      <c r="D458" s="9" t="s">
        <v>2521</v>
      </c>
    </row>
    <row r="459" spans="1:4" ht="15.75" customHeight="1" x14ac:dyDescent="0.25">
      <c r="A459" s="40">
        <v>458</v>
      </c>
      <c r="B459" s="41" t="s">
        <v>2522</v>
      </c>
      <c r="C459" s="41" t="str">
        <f ca="1">VLOOKUP(B459,lists!A$2:B1000,2)</f>
        <v>ПДЗ скорости роста концентрации ацетилена относительной, неделя, ручное</v>
      </c>
      <c r="D459" s="9" t="s">
        <v>2523</v>
      </c>
    </row>
    <row r="460" spans="1:4" ht="15.75" customHeight="1" x14ac:dyDescent="0.25">
      <c r="A460" s="40">
        <v>459</v>
      </c>
      <c r="B460" s="41" t="s">
        <v>2524</v>
      </c>
      <c r="C460" s="41" t="str">
        <f ca="1">VLOOKUP(B460,lists!A$2:B1000,2)</f>
        <v>ПДЗ скорости роста концентрации водорода относительной, месяц, ручное</v>
      </c>
      <c r="D460" s="9" t="s">
        <v>2525</v>
      </c>
    </row>
    <row r="461" spans="1:4" ht="15.75" customHeight="1" x14ac:dyDescent="0.25">
      <c r="A461" s="40">
        <v>460</v>
      </c>
      <c r="B461" s="41" t="s">
        <v>2526</v>
      </c>
      <c r="C461" s="41" t="str">
        <f ca="1">VLOOKUP(B461,lists!A$2:B1000,2)</f>
        <v>ПДЗ скорости роста концентрации оксида углерода относительной, месяц, ручное</v>
      </c>
      <c r="D461" s="9" t="s">
        <v>2527</v>
      </c>
    </row>
    <row r="462" spans="1:4" ht="15.75" customHeight="1" x14ac:dyDescent="0.25">
      <c r="A462" s="40">
        <v>461</v>
      </c>
      <c r="B462" s="41" t="s">
        <v>2528</v>
      </c>
      <c r="C462" s="41" t="str">
        <f ca="1">VLOOKUP(B462,lists!A$2:B1000,2)</f>
        <v>ПДЗ скорости роста концентрации диоксида углерода относительной, месяц, ручное</v>
      </c>
      <c r="D462" s="9" t="s">
        <v>2529</v>
      </c>
    </row>
    <row r="463" spans="1:4" ht="15.75" customHeight="1" x14ac:dyDescent="0.25">
      <c r="A463" s="40">
        <v>462</v>
      </c>
      <c r="B463" s="41" t="s">
        <v>2530</v>
      </c>
      <c r="C463" s="41" t="str">
        <f ca="1">VLOOKUP(B463,lists!A$2:B1000,2)</f>
        <v>ПДЗ скорости роста концентрации метана относительной, месяц, ручное</v>
      </c>
      <c r="D463" s="9" t="s">
        <v>2531</v>
      </c>
    </row>
    <row r="464" spans="1:4" ht="15.75" customHeight="1" x14ac:dyDescent="0.25">
      <c r="A464" s="40">
        <v>463</v>
      </c>
      <c r="B464" s="41" t="s">
        <v>2532</v>
      </c>
      <c r="C464" s="41" t="str">
        <f ca="1">VLOOKUP(B464,lists!A$2:B1000,2)</f>
        <v>ПДЗ скорости роста концентрации этана относительной, месяц, ручное</v>
      </c>
      <c r="D464" s="9" t="s">
        <v>2533</v>
      </c>
    </row>
    <row r="465" spans="1:4" ht="15.75" customHeight="1" x14ac:dyDescent="0.25">
      <c r="A465" s="40">
        <v>464</v>
      </c>
      <c r="B465" s="41" t="s">
        <v>2534</v>
      </c>
      <c r="C465" s="41" t="str">
        <f ca="1">VLOOKUP(B465,lists!A$2:B1000,2)</f>
        <v>ПДЗ скорости роста концентрации этилена относительной, месяц, ручное</v>
      </c>
      <c r="D465" s="9" t="s">
        <v>2535</v>
      </c>
    </row>
    <row r="466" spans="1:4" ht="15.75" customHeight="1" x14ac:dyDescent="0.25">
      <c r="A466" s="40">
        <v>465</v>
      </c>
      <c r="B466" s="41" t="s">
        <v>2536</v>
      </c>
      <c r="C466" s="41" t="str">
        <f ca="1">VLOOKUP(B466,lists!A$2:B1000,2)</f>
        <v>ПДЗ скорости роста концентрации ацетилена относительной, месяц, ручное</v>
      </c>
      <c r="D466" s="9" t="s">
        <v>2537</v>
      </c>
    </row>
    <row r="467" spans="1:4" ht="15.75" customHeight="1" x14ac:dyDescent="0.25">
      <c r="A467" s="40">
        <v>466</v>
      </c>
      <c r="B467" s="41" t="s">
        <v>2538</v>
      </c>
      <c r="C467" s="41" t="str">
        <f ca="1">VLOOKUP(B467,lists!A$2:B1000,2)</f>
        <v>ПДЗ скорости роста концентрации водорода относительной, год, ручное</v>
      </c>
      <c r="D467" s="9" t="s">
        <v>2539</v>
      </c>
    </row>
    <row r="468" spans="1:4" ht="15.75" customHeight="1" x14ac:dyDescent="0.25">
      <c r="A468" s="40">
        <v>467</v>
      </c>
      <c r="B468" s="41" t="s">
        <v>2540</v>
      </c>
      <c r="C468" s="41" t="str">
        <f ca="1">VLOOKUP(B468,lists!A$2:B1000,2)</f>
        <v>ПДЗ скорости роста концентрации оксида углерода относительной, год, ручное</v>
      </c>
      <c r="D468" s="9" t="s">
        <v>2541</v>
      </c>
    </row>
    <row r="469" spans="1:4" ht="15.75" customHeight="1" x14ac:dyDescent="0.25">
      <c r="A469" s="40">
        <v>468</v>
      </c>
      <c r="B469" s="41" t="s">
        <v>2542</v>
      </c>
      <c r="C469" s="41" t="str">
        <f ca="1">VLOOKUP(B469,lists!A$2:B1000,2)</f>
        <v>ПДЗ скорости роста концентрации диоксида углерода относительной, год, ручное</v>
      </c>
      <c r="D469" s="9" t="s">
        <v>2543</v>
      </c>
    </row>
    <row r="470" spans="1:4" ht="15.75" customHeight="1" x14ac:dyDescent="0.25">
      <c r="A470" s="40">
        <v>469</v>
      </c>
      <c r="B470" s="41" t="s">
        <v>2544</v>
      </c>
      <c r="C470" s="41" t="str">
        <f ca="1">VLOOKUP(B470,lists!A$2:B1000,2)</f>
        <v>ПДЗ скорости роста концентрации метана относительной, год, ручное</v>
      </c>
      <c r="D470" s="9" t="s">
        <v>2545</v>
      </c>
    </row>
    <row r="471" spans="1:4" ht="15.75" customHeight="1" x14ac:dyDescent="0.25">
      <c r="A471" s="40">
        <v>470</v>
      </c>
      <c r="B471" s="41" t="s">
        <v>2546</v>
      </c>
      <c r="C471" s="41" t="str">
        <f ca="1">VLOOKUP(B471,lists!A$2:B1000,2)</f>
        <v>ПДЗ скорости роста концентрации этана относительной, год, ручное</v>
      </c>
      <c r="D471" s="9" t="s">
        <v>2547</v>
      </c>
    </row>
    <row r="472" spans="1:4" ht="15.75" customHeight="1" x14ac:dyDescent="0.25">
      <c r="A472" s="40">
        <v>471</v>
      </c>
      <c r="B472" s="41" t="s">
        <v>2548</v>
      </c>
      <c r="C472" s="41" t="str">
        <f ca="1">VLOOKUP(B472,lists!A$2:B1000,2)</f>
        <v>ПДЗ скорости роста концентрации этилена относительной, год, ручное</v>
      </c>
      <c r="D472" s="9" t="s">
        <v>2549</v>
      </c>
    </row>
    <row r="473" spans="1:4" ht="15.75" customHeight="1" x14ac:dyDescent="0.25">
      <c r="A473" s="40">
        <v>472</v>
      </c>
      <c r="B473" s="41" t="s">
        <v>2550</v>
      </c>
      <c r="C473" s="41" t="str">
        <f ca="1">VLOOKUP(B473,lists!A$2:B1000,2)</f>
        <v>ПДЗ скорости роста концентрации ацетилена относительной, год, ручное</v>
      </c>
      <c r="D473" s="9" t="s">
        <v>2551</v>
      </c>
    </row>
    <row r="474" spans="1:4" ht="15.75" customHeight="1" x14ac:dyDescent="0.25">
      <c r="A474" s="40">
        <v>473</v>
      </c>
      <c r="B474" s="41" t="s">
        <v>2552</v>
      </c>
      <c r="C474" s="41" t="str">
        <f ca="1">VLOOKUP(B474,lists!A$2:B1000,2)</f>
        <v>Счётчик недопустимых по паузе перенапряжений</v>
      </c>
      <c r="D474" s="41" t="s">
        <v>2553</v>
      </c>
    </row>
    <row r="475" spans="1:4" ht="15.75" customHeight="1" x14ac:dyDescent="0.25">
      <c r="A475" s="40">
        <v>474</v>
      </c>
      <c r="B475" s="41" t="s">
        <v>2554</v>
      </c>
      <c r="C475" s="41" t="str">
        <f ca="1">VLOOKUP(B475,lists!A$2:B1000,2)</f>
        <v>Счётчик недопустимых по паузе перенапряжений</v>
      </c>
      <c r="D475" s="41" t="s">
        <v>2555</v>
      </c>
    </row>
    <row r="476" spans="1:4" ht="15.75" customHeight="1" x14ac:dyDescent="0.25">
      <c r="A476" s="40">
        <v>475</v>
      </c>
      <c r="B476" s="41" t="s">
        <v>2556</v>
      </c>
      <c r="C476" s="41" t="str">
        <f ca="1">VLOOKUP(B476,lists!A$2:B1000,2)</f>
        <v>Счётчик недопустимых по паузе перенапряжений</v>
      </c>
      <c r="D476" s="41" t="s">
        <v>2557</v>
      </c>
    </row>
    <row r="477" spans="1:4" ht="15.75" customHeight="1" x14ac:dyDescent="0.25">
      <c r="A477" s="40">
        <v>476</v>
      </c>
      <c r="B477" s="41" t="s">
        <v>2558</v>
      </c>
      <c r="C477" s="41" t="str">
        <f ca="1">VLOOKUP(B477,lists!A$2:B1000,2)</f>
        <v>Счётчик недопустимых по паузе перенапряжений</v>
      </c>
      <c r="D477" s="41" t="s">
        <v>2559</v>
      </c>
    </row>
    <row r="478" spans="1:4" ht="15.75" customHeight="1" x14ac:dyDescent="0.25">
      <c r="A478" s="40">
        <v>477</v>
      </c>
      <c r="B478" s="41" t="s">
        <v>2560</v>
      </c>
      <c r="C478" s="41" t="str">
        <f ca="1">VLOOKUP(B478,lists!A$2:B1000,2)</f>
        <v>Счётчик недопустимых по паузе перенапряжений</v>
      </c>
      <c r="D478" s="41" t="s">
        <v>2561</v>
      </c>
    </row>
    <row r="479" spans="1:4" ht="15.75" customHeight="1" x14ac:dyDescent="0.25">
      <c r="A479" s="40">
        <v>478</v>
      </c>
      <c r="B479" s="41" t="s">
        <v>2562</v>
      </c>
      <c r="C479" s="41" t="str">
        <f ca="1">VLOOKUP(B479,lists!A$2:B1000,2)</f>
        <v>Счётчик недопустимых по паузе перенапряжений</v>
      </c>
      <c r="D479" s="41" t="s">
        <v>2563</v>
      </c>
    </row>
    <row r="480" spans="1:4" ht="15.75" customHeight="1" x14ac:dyDescent="0.25">
      <c r="A480" s="40">
        <v>479</v>
      </c>
      <c r="B480" s="41" t="s">
        <v>2564</v>
      </c>
      <c r="C480" s="41" t="str">
        <f ca="1">VLOOKUP(B480,lists!A$2:B1000,2)</f>
        <v>Счётчик недопустимых по паузе перенапряжений</v>
      </c>
      <c r="D480" s="41" t="s">
        <v>2565</v>
      </c>
    </row>
    <row r="481" spans="1:4" ht="15.75" customHeight="1" x14ac:dyDescent="0.25">
      <c r="A481" s="40">
        <v>480</v>
      </c>
      <c r="B481" s="41" t="s">
        <v>2566</v>
      </c>
      <c r="C481" s="41" t="str">
        <f ca="1">VLOOKUP(B481,lists!A$2:B1000,2)</f>
        <v>Счётчик недопустимых по паузе перенапряжений</v>
      </c>
      <c r="D481" s="41" t="s">
        <v>2567</v>
      </c>
    </row>
    <row r="482" spans="1:4" ht="15.75" customHeight="1" x14ac:dyDescent="0.25">
      <c r="A482" s="40">
        <v>481</v>
      </c>
      <c r="B482" s="41" t="s">
        <v>2568</v>
      </c>
      <c r="C482" s="41" t="str">
        <f ca="1">VLOOKUP(B482,lists!A$2:B1000,2)</f>
        <v>Счётчик недопустимых по паузе перенапряжений</v>
      </c>
      <c r="D482" s="41" t="s">
        <v>2569</v>
      </c>
    </row>
    <row r="483" spans="1:4" ht="15.75" customHeight="1" x14ac:dyDescent="0.25">
      <c r="A483" s="40">
        <v>482</v>
      </c>
      <c r="B483" s="41" t="s">
        <v>2570</v>
      </c>
      <c r="C483" s="41" t="str">
        <f ca="1">VLOOKUP(B483,lists!A$2:B1000,2)</f>
        <v>Счётчик недопустимых по паузе перенапряжений</v>
      </c>
      <c r="D483" s="41" t="s">
        <v>2571</v>
      </c>
    </row>
    <row r="484" spans="1:4" ht="15.75" customHeight="1" x14ac:dyDescent="0.25">
      <c r="A484" s="40">
        <v>483</v>
      </c>
      <c r="B484" s="41" t="s">
        <v>2572</v>
      </c>
      <c r="C484" s="41" t="str">
        <f ca="1">VLOOKUP(B484,lists!A$2:B1000,2)</f>
        <v>Счётчик недопустимых по паузе перенапряжений</v>
      </c>
      <c r="D484" s="41" t="s">
        <v>2573</v>
      </c>
    </row>
    <row r="485" spans="1:4" ht="15.75" customHeight="1" x14ac:dyDescent="0.25">
      <c r="A485" s="40">
        <v>484</v>
      </c>
      <c r="B485" s="41" t="s">
        <v>2574</v>
      </c>
      <c r="C485" s="41" t="str">
        <f ca="1">VLOOKUP(B485,lists!A$2:B1000,2)</f>
        <v>Счётчик недопустимых по паузе перенапряжений</v>
      </c>
      <c r="D485" s="41" t="s">
        <v>2575</v>
      </c>
    </row>
    <row r="486" spans="1:4" ht="15.75" customHeight="1" x14ac:dyDescent="0.25">
      <c r="A486" s="40">
        <v>485</v>
      </c>
      <c r="B486" s="41" t="s">
        <v>2576</v>
      </c>
      <c r="C486" s="41" t="str">
        <f ca="1">VLOOKUP(B486,lists!A$2:B1000,2)</f>
        <v>Счётчик недопустимых по паузе перенапряжений</v>
      </c>
      <c r="D486" s="41" t="s">
        <v>2577</v>
      </c>
    </row>
    <row r="487" spans="1:4" ht="15.75" customHeight="1" x14ac:dyDescent="0.25">
      <c r="A487" s="40">
        <v>486</v>
      </c>
      <c r="B487" s="41" t="s">
        <v>2578</v>
      </c>
      <c r="C487" s="41" t="str">
        <f ca="1">VLOOKUP(B487,lists!A$2:B1000,2)</f>
        <v>Счётчик недопустимых по паузе перенапряжений</v>
      </c>
      <c r="D487" s="41" t="s">
        <v>2579</v>
      </c>
    </row>
    <row r="488" spans="1:4" ht="15.75" customHeight="1" x14ac:dyDescent="0.25">
      <c r="A488" s="40">
        <v>487</v>
      </c>
      <c r="B488" s="41" t="s">
        <v>2580</v>
      </c>
      <c r="C488" s="41" t="str">
        <f ca="1">VLOOKUP(B488,lists!A$2:B1000,2)</f>
        <v>Счётчик недопустимых по паузе перенапряжений</v>
      </c>
      <c r="D488" s="41" t="s">
        <v>2581</v>
      </c>
    </row>
    <row r="489" spans="1:4" ht="15.75" customHeight="1" x14ac:dyDescent="0.25">
      <c r="A489" s="40">
        <v>488</v>
      </c>
      <c r="B489" s="41" t="s">
        <v>2582</v>
      </c>
      <c r="C489" s="41" t="str">
        <f ca="1">VLOOKUP(B489,lists!A$2:B1000,2)</f>
        <v>Счётчик недопустимых по паузе перенапряжений</v>
      </c>
      <c r="D489" s="41" t="s">
        <v>2583</v>
      </c>
    </row>
    <row r="490" spans="1:4" ht="15.75" customHeight="1" x14ac:dyDescent="0.25">
      <c r="A490" s="40">
        <v>489</v>
      </c>
      <c r="B490" s="41" t="s">
        <v>2584</v>
      </c>
      <c r="C490" s="41" t="str">
        <f ca="1">VLOOKUP(B490,lists!A$2:B1000,2)</f>
        <v>Счётчик недопустимых по паузе перенапряжений</v>
      </c>
      <c r="D490" s="41" t="s">
        <v>2585</v>
      </c>
    </row>
    <row r="491" spans="1:4" ht="15.75" customHeight="1" x14ac:dyDescent="0.25">
      <c r="A491" s="40">
        <v>490</v>
      </c>
      <c r="B491" s="41" t="s">
        <v>2586</v>
      </c>
      <c r="C491" s="41" t="str">
        <f ca="1">VLOOKUP(B491,lists!A$2:B1000,2)</f>
        <v>Счётчик недопустимых по паузе перенапряжений</v>
      </c>
      <c r="D491" s="41" t="s">
        <v>2587</v>
      </c>
    </row>
    <row r="492" spans="1:4" ht="15.75" customHeight="1" x14ac:dyDescent="0.25">
      <c r="A492" s="40">
        <v>491</v>
      </c>
      <c r="B492" s="41" t="s">
        <v>2588</v>
      </c>
      <c r="C492" s="41" t="str">
        <f ca="1">VLOOKUP(B492,lists!A$2:B1000,2)</f>
        <v>Счётчик недопустимых по паузе перенапряжений</v>
      </c>
      <c r="D492" s="41" t="s">
        <v>2589</v>
      </c>
    </row>
    <row r="493" spans="1:4" ht="15.75" customHeight="1" x14ac:dyDescent="0.25">
      <c r="A493" s="40">
        <v>492</v>
      </c>
      <c r="B493" s="41" t="s">
        <v>2590</v>
      </c>
      <c r="C493" s="41" t="str">
        <f ca="1">VLOOKUP(B493,lists!A$2:B1000,2)</f>
        <v>Счётчик недопустимых по паузе перенапряжений</v>
      </c>
      <c r="D493" s="9" t="s">
        <v>2591</v>
      </c>
    </row>
    <row r="494" spans="1:4" ht="15.75" customHeight="1" x14ac:dyDescent="0.25">
      <c r="A494" s="40">
        <v>493</v>
      </c>
      <c r="B494" s="41" t="s">
        <v>2592</v>
      </c>
      <c r="C494" s="41" t="str">
        <f ca="1">VLOOKUP(B494,lists!A$2:B1000,2)</f>
        <v>Счётчик недопустимых по паузе перенапряжений</v>
      </c>
      <c r="D494" s="9" t="s">
        <v>2593</v>
      </c>
    </row>
    <row r="495" spans="1:4" ht="15.75" customHeight="1" x14ac:dyDescent="0.25">
      <c r="A495" s="40">
        <v>494</v>
      </c>
      <c r="B495" s="41" t="s">
        <v>2594</v>
      </c>
      <c r="C495" s="41" t="str">
        <f ca="1">VLOOKUP(B495,lists!A$2:B1000,2)</f>
        <v>Счётчик недопустимых по паузе перенапряжений</v>
      </c>
      <c r="D495" s="13" t="s">
        <v>2595</v>
      </c>
    </row>
    <row r="496" spans="1:4" ht="15.75" customHeight="1" x14ac:dyDescent="0.25">
      <c r="A496" s="40">
        <v>495</v>
      </c>
      <c r="B496" s="41" t="s">
        <v>2596</v>
      </c>
      <c r="C496" s="41" t="str">
        <f ca="1">VLOOKUP(B496,lists!A$2:B1000,2)</f>
        <v>Счётчик недопустимых по паузе перенапряжений</v>
      </c>
      <c r="D496" s="9" t="s">
        <v>2597</v>
      </c>
    </row>
    <row r="497" spans="1:4" ht="15.75" customHeight="1" x14ac:dyDescent="0.25">
      <c r="A497" s="40">
        <v>496</v>
      </c>
      <c r="B497" s="41" t="s">
        <v>2598</v>
      </c>
      <c r="C497" s="41" t="str">
        <f ca="1">VLOOKUP(B497,lists!A$2:B1000,2)</f>
        <v>Счётчик недопустимых по паузе перенапряжений</v>
      </c>
      <c r="D497" s="9" t="s">
        <v>2599</v>
      </c>
    </row>
    <row r="498" spans="1:4" ht="15.75" customHeight="1" x14ac:dyDescent="0.25">
      <c r="A498" s="40">
        <v>497</v>
      </c>
      <c r="B498" s="41" t="s">
        <v>2600</v>
      </c>
      <c r="C498" s="41" t="str">
        <f ca="1">VLOOKUP(B498,lists!A$2:B1000,2)</f>
        <v>Счётчик недопустимых по паузе перенапряжений</v>
      </c>
      <c r="D498" s="41"/>
    </row>
    <row r="499" spans="1:4" ht="15.75" customHeight="1" x14ac:dyDescent="0.25">
      <c r="A499" s="40">
        <v>498</v>
      </c>
      <c r="B499" s="41" t="s">
        <v>2601</v>
      </c>
      <c r="C499" s="41" t="str">
        <f ca="1">VLOOKUP(B499,lists!A$2:B1000,2)</f>
        <v>Счётчик недопустимых по паузе перенапряжений</v>
      </c>
      <c r="D499" s="41" t="s">
        <v>2602</v>
      </c>
    </row>
    <row r="500" spans="1:4" ht="15.75" customHeight="1" x14ac:dyDescent="0.25">
      <c r="A500" s="40">
        <v>499</v>
      </c>
      <c r="B500" s="41" t="s">
        <v>2603</v>
      </c>
      <c r="C500" s="41" t="str">
        <f ca="1">VLOOKUP(B500,lists!A$2:B1000,2)</f>
        <v>Счётчик недопустимых по паузе перенапряжений</v>
      </c>
      <c r="D500" s="41"/>
    </row>
    <row r="501" spans="1:4" ht="15.75" customHeight="1" x14ac:dyDescent="0.25">
      <c r="A501" s="40">
        <v>500</v>
      </c>
      <c r="B501" s="41" t="s">
        <v>2604</v>
      </c>
      <c r="C501" s="41" t="str">
        <f ca="1">VLOOKUP(B501,lists!A$2:B1000,2)</f>
        <v>Счётчик недопустимых по паузе перенапряжений</v>
      </c>
      <c r="D501" s="41"/>
    </row>
    <row r="502" spans="1:4" ht="15.75" customHeight="1" x14ac:dyDescent="0.25">
      <c r="A502" s="40">
        <v>501</v>
      </c>
      <c r="B502" s="41" t="s">
        <v>2605</v>
      </c>
      <c r="C502" s="41" t="str">
        <f ca="1">VLOOKUP(B502,lists!A$2:B1000,2)</f>
        <v>Счётчик недопустимых по паузе перенапряжений</v>
      </c>
      <c r="D502" s="41" t="s">
        <v>2606</v>
      </c>
    </row>
    <row r="503" spans="1:4" ht="15.75" customHeight="1" x14ac:dyDescent="0.25">
      <c r="A503" s="40">
        <v>502</v>
      </c>
      <c r="B503" s="41" t="s">
        <v>2607</v>
      </c>
      <c r="C503" s="41" t="str">
        <f ca="1">VLOOKUP(B503,lists!A$2:B1000,2)</f>
        <v>Счётчик недопустимых по паузе перенапряжений</v>
      </c>
      <c r="D503" s="41"/>
    </row>
    <row r="504" spans="1:4" ht="15.75" customHeight="1" x14ac:dyDescent="0.25">
      <c r="A504" s="40">
        <v>503</v>
      </c>
      <c r="B504" s="41" t="s">
        <v>2608</v>
      </c>
      <c r="C504" s="41" t="str">
        <f ca="1">VLOOKUP(B504,lists!A$2:B1000,2)</f>
        <v>Счётчик недопустимых по паузе перенапряжений</v>
      </c>
      <c r="D504" s="41" t="s">
        <v>2609</v>
      </c>
    </row>
    <row r="505" spans="1:4" ht="15.75" customHeight="1" x14ac:dyDescent="0.25">
      <c r="A505" s="40">
        <v>504</v>
      </c>
      <c r="B505" s="41" t="s">
        <v>2610</v>
      </c>
      <c r="C505" s="41" t="str">
        <f ca="1">VLOOKUP(B505,lists!A$2:B1000,2)</f>
        <v>Счётчик недопустимых по паузе перенапряжений</v>
      </c>
      <c r="D505" s="41" t="s">
        <v>2611</v>
      </c>
    </row>
    <row r="506" spans="1:4" ht="15.75" customHeight="1" x14ac:dyDescent="0.25">
      <c r="A506" s="40">
        <v>505</v>
      </c>
      <c r="B506" s="41" t="s">
        <v>2612</v>
      </c>
      <c r="C506" s="41" t="str">
        <f ca="1">VLOOKUP(B506,lists!A$2:B1000,2)</f>
        <v>Счётчик недопустимых по паузе перенапряжений</v>
      </c>
      <c r="D506" s="41" t="s">
        <v>2613</v>
      </c>
    </row>
    <row r="507" spans="1:4" ht="15.75" customHeight="1" x14ac:dyDescent="0.25">
      <c r="A507" s="40">
        <v>506</v>
      </c>
      <c r="B507" s="41" t="s">
        <v>2614</v>
      </c>
      <c r="C507" s="41" t="str">
        <f ca="1">VLOOKUP(B507,lists!A$2:B1000,2)</f>
        <v>Счётчик недопустимых по паузе перенапряжений</v>
      </c>
      <c r="D507" s="41" t="s">
        <v>2615</v>
      </c>
    </row>
    <row r="508" spans="1:4" ht="15.75" customHeight="1" x14ac:dyDescent="0.25">
      <c r="A508" s="40">
        <v>507</v>
      </c>
      <c r="B508" s="41" t="s">
        <v>2616</v>
      </c>
      <c r="C508" s="41" t="str">
        <f ca="1">VLOOKUP(B508,lists!A$2:B1000,2)</f>
        <v>Счётчик недопустимых по паузе перенапряжений</v>
      </c>
      <c r="D508" s="41" t="s">
        <v>2617</v>
      </c>
    </row>
    <row r="509" spans="1:4" ht="15.75" customHeight="1" x14ac:dyDescent="0.25">
      <c r="A509" s="40">
        <v>508</v>
      </c>
      <c r="B509" s="41" t="s">
        <v>2618</v>
      </c>
      <c r="C509" s="41" t="str">
        <f ca="1">VLOOKUP(B509,lists!A$2:B1000,2)</f>
        <v>Счётчик недопустимых по паузе перенапряжений</v>
      </c>
      <c r="D509" s="41" t="s">
        <v>2619</v>
      </c>
    </row>
    <row r="510" spans="1:4" ht="15.75" customHeight="1" x14ac:dyDescent="0.25">
      <c r="A510" s="40">
        <v>509</v>
      </c>
      <c r="B510" s="41" t="s">
        <v>2620</v>
      </c>
      <c r="C510" s="41" t="str">
        <f ca="1">VLOOKUP(B510,lists!A$2:B1000,2)</f>
        <v>Счётчик недопустимых по паузе перенапряжений</v>
      </c>
      <c r="D510" s="41" t="s">
        <v>2621</v>
      </c>
    </row>
    <row r="511" spans="1:4" ht="15.75" customHeight="1" x14ac:dyDescent="0.25">
      <c r="A511" s="40">
        <v>510</v>
      </c>
      <c r="B511" s="41" t="s">
        <v>2622</v>
      </c>
      <c r="C511" s="41" t="str">
        <f ca="1">VLOOKUP(B511,lists!A$2:B1000,2)</f>
        <v>Счётчик недопустимых по паузе перенапряжений</v>
      </c>
      <c r="D511" s="41" t="s">
        <v>2623</v>
      </c>
    </row>
    <row r="512" spans="1:4" ht="15.75" customHeight="1" x14ac:dyDescent="0.25">
      <c r="A512" s="40">
        <v>511</v>
      </c>
      <c r="B512" s="41" t="s">
        <v>2624</v>
      </c>
      <c r="C512" s="41" t="str">
        <f ca="1">VLOOKUP(B512,lists!A$2:B1000,2)</f>
        <v>Счётчик недопустимых по паузе перенапряжений</v>
      </c>
      <c r="D512" s="41" t="s">
        <v>2625</v>
      </c>
    </row>
    <row r="513" spans="1:4" ht="15.75" customHeight="1" x14ac:dyDescent="0.25">
      <c r="A513" s="40">
        <v>512</v>
      </c>
      <c r="B513" s="41" t="s">
        <v>2626</v>
      </c>
      <c r="C513" s="41" t="str">
        <f ca="1">VLOOKUP(B513,lists!A$2:B1000,2)</f>
        <v>Счётчик недопустимых по паузе перенапряжений</v>
      </c>
      <c r="D513" s="41" t="s">
        <v>2627</v>
      </c>
    </row>
    <row r="514" spans="1:4" ht="15.75" customHeight="1" x14ac:dyDescent="0.25">
      <c r="A514" s="40">
        <v>513</v>
      </c>
      <c r="B514" s="41" t="s">
        <v>2628</v>
      </c>
      <c r="C514" s="41" t="str">
        <f ca="1">VLOOKUP(B514,lists!A$2:B1000,2)</f>
        <v>Счётчик недопустимых по паузе перенапряжений</v>
      </c>
      <c r="D514" s="41" t="s">
        <v>2629</v>
      </c>
    </row>
    <row r="515" spans="1:4" ht="15.75" customHeight="1" x14ac:dyDescent="0.25">
      <c r="A515" s="40">
        <v>514</v>
      </c>
      <c r="B515" s="41" t="s">
        <v>2630</v>
      </c>
      <c r="C515" s="41" t="str">
        <f ca="1">VLOOKUP(B515,lists!A$2:B1000,2)</f>
        <v>Счётчик недопустимых по паузе перенапряжений</v>
      </c>
      <c r="D515" s="41" t="s">
        <v>2631</v>
      </c>
    </row>
    <row r="516" spans="1:4" ht="15.75" customHeight="1" x14ac:dyDescent="0.25">
      <c r="A516" s="40">
        <v>515</v>
      </c>
      <c r="B516" s="41" t="s">
        <v>2632</v>
      </c>
      <c r="C516" s="41" t="str">
        <f ca="1">VLOOKUP(B516,lists!A$2:B1000,2)</f>
        <v>Счётчик недопустимых по паузе перенапряжений</v>
      </c>
      <c r="D516" s="41"/>
    </row>
    <row r="517" spans="1:4" ht="15.75" customHeight="1" x14ac:dyDescent="0.25">
      <c r="A517" s="40">
        <v>516</v>
      </c>
      <c r="B517" s="41" t="s">
        <v>2633</v>
      </c>
      <c r="C517" s="41" t="str">
        <f ca="1">VLOOKUP(B517,lists!A$2:B1000,2)</f>
        <v>Счётчик недопустимых по паузе перенапряжений</v>
      </c>
      <c r="D517" s="41"/>
    </row>
    <row r="518" spans="1:4" ht="15.75" customHeight="1" x14ac:dyDescent="0.25">
      <c r="A518" s="40">
        <v>517</v>
      </c>
      <c r="B518" s="41" t="s">
        <v>2634</v>
      </c>
      <c r="C518" s="41" t="str">
        <f ca="1">VLOOKUP(B518,lists!A$2:B1000,2)</f>
        <v>Счётчик недопустимых по паузе перенапряжений</v>
      </c>
      <c r="D518" s="41"/>
    </row>
    <row r="519" spans="1:4" ht="15.75" customHeight="1" x14ac:dyDescent="0.25">
      <c r="A519" s="40">
        <v>518</v>
      </c>
      <c r="B519" s="41" t="s">
        <v>2635</v>
      </c>
      <c r="C519" s="41" t="str">
        <f ca="1">VLOOKUP(B519,lists!A$2:B1000,2)</f>
        <v>Счётчик недопустимых по паузе перенапряжений</v>
      </c>
      <c r="D519" s="41"/>
    </row>
    <row r="520" spans="1:4" ht="15.75" customHeight="1" x14ac:dyDescent="0.25">
      <c r="A520" s="40">
        <v>519</v>
      </c>
      <c r="B520" s="41" t="s">
        <v>2636</v>
      </c>
      <c r="C520" s="41" t="str">
        <f ca="1">VLOOKUP(B520,lists!A$2:B1000,2)</f>
        <v>Счётчик недопустимых по паузе перенапряжений</v>
      </c>
      <c r="D520" s="41"/>
    </row>
    <row r="521" spans="1:4" ht="15.75" customHeight="1" x14ac:dyDescent="0.25">
      <c r="A521" s="40">
        <v>520</v>
      </c>
      <c r="B521" s="41" t="s">
        <v>2637</v>
      </c>
      <c r="C521" s="41" t="str">
        <f ca="1">VLOOKUP(B521,lists!A$2:B1000,2)</f>
        <v>Счётчик недопустимых по паузе перенапряжений</v>
      </c>
      <c r="D521" s="41"/>
    </row>
    <row r="522" spans="1:4" ht="15.75" customHeight="1" x14ac:dyDescent="0.25">
      <c r="A522" s="40">
        <v>521</v>
      </c>
      <c r="B522" s="41" t="s">
        <v>2638</v>
      </c>
      <c r="C522" s="41" t="str">
        <f ca="1">VLOOKUP(B522,lists!A$2:B1000,2)</f>
        <v>Счётчик недопустимых по паузе перенапряжений</v>
      </c>
      <c r="D522" s="41"/>
    </row>
    <row r="523" spans="1:4" ht="15.75" customHeight="1" x14ac:dyDescent="0.25">
      <c r="A523" s="40">
        <v>522</v>
      </c>
      <c r="B523" s="41" t="s">
        <v>2639</v>
      </c>
      <c r="C523" s="41" t="str">
        <f ca="1">VLOOKUP(B523,lists!A$2:B1000,2)</f>
        <v>Счётчик недопустимых по паузе перенапряжений</v>
      </c>
      <c r="D523" s="41"/>
    </row>
    <row r="524" spans="1:4" ht="15.75" customHeight="1" x14ac:dyDescent="0.25">
      <c r="A524" s="40">
        <v>523</v>
      </c>
      <c r="B524" s="41" t="s">
        <v>2640</v>
      </c>
      <c r="C524" s="41" t="str">
        <f ca="1">VLOOKUP(B524,lists!A$2:B1000,2)</f>
        <v>Счётчик недопустимых по паузе перенапряжений</v>
      </c>
      <c r="D524" s="41"/>
    </row>
    <row r="525" spans="1:4" ht="15.75" customHeight="1" x14ac:dyDescent="0.25">
      <c r="A525" s="40">
        <v>524</v>
      </c>
      <c r="B525" s="41" t="s">
        <v>2641</v>
      </c>
      <c r="C525" s="41" t="str">
        <f ca="1">VLOOKUP(B525,lists!A$2:B1000,2)</f>
        <v>Счётчик недопустимых по паузе перенапряжений</v>
      </c>
      <c r="D525" s="41"/>
    </row>
    <row r="526" spans="1:4" ht="15.75" customHeight="1" x14ac:dyDescent="0.25">
      <c r="A526" s="40">
        <v>525</v>
      </c>
      <c r="B526" s="41" t="s">
        <v>2642</v>
      </c>
      <c r="C526" s="41" t="str">
        <f ca="1">VLOOKUP(B526,lists!A$2:B1000,2)</f>
        <v>Счётчик недопустимых по паузе перенапряжений</v>
      </c>
      <c r="D526" s="41"/>
    </row>
    <row r="527" spans="1:4" ht="15.75" customHeight="1" x14ac:dyDescent="0.25">
      <c r="A527" s="40">
        <v>526</v>
      </c>
      <c r="B527" s="41" t="s">
        <v>2643</v>
      </c>
      <c r="C527" s="41" t="str">
        <f ca="1">VLOOKUP(B527,lists!A$2:B1000,2)</f>
        <v>Счётчик недопустимых по паузе перенапряжений</v>
      </c>
      <c r="D527" s="41"/>
    </row>
    <row r="528" spans="1:4" ht="15.75" customHeight="1" x14ac:dyDescent="0.25">
      <c r="A528" s="40">
        <v>527</v>
      </c>
      <c r="B528" s="41" t="s">
        <v>2644</v>
      </c>
      <c r="C528" s="41" t="str">
        <f ca="1">VLOOKUP(B528,lists!A$2:B1000,2)</f>
        <v>Счётчик недопустимых по паузе перенапряжений</v>
      </c>
      <c r="D528" s="41"/>
    </row>
    <row r="529" spans="1:4" ht="15.75" customHeight="1" x14ac:dyDescent="0.25">
      <c r="A529" s="40">
        <v>528</v>
      </c>
      <c r="B529" s="41" t="s">
        <v>2645</v>
      </c>
      <c r="C529" s="41" t="str">
        <f ca="1">VLOOKUP(B529,lists!A$2:B1000,2)</f>
        <v>Счётчик недопустимых по паузе перенапряжений</v>
      </c>
      <c r="D529" s="41"/>
    </row>
    <row r="530" spans="1:4" ht="15.75" customHeight="1" x14ac:dyDescent="0.25">
      <c r="A530" s="40">
        <v>529</v>
      </c>
      <c r="B530" s="41" t="s">
        <v>2646</v>
      </c>
      <c r="C530" s="41" t="str">
        <f ca="1">VLOOKUP(B530,lists!A$2:B1000,2)</f>
        <v>Счётчик недопустимых по паузе перенапряжений</v>
      </c>
      <c r="D530" s="41"/>
    </row>
    <row r="531" spans="1:4" ht="15.75" customHeight="1" x14ac:dyDescent="0.25">
      <c r="A531" s="40">
        <v>530</v>
      </c>
      <c r="B531" s="41" t="s">
        <v>2647</v>
      </c>
      <c r="C531" s="41" t="str">
        <f ca="1">VLOOKUP(B531,lists!A$2:B1000,2)</f>
        <v>Счётчик недопустимых по паузе перенапряжений</v>
      </c>
      <c r="D531" s="41"/>
    </row>
    <row r="532" spans="1:4" ht="15.75" customHeight="1" x14ac:dyDescent="0.25">
      <c r="A532" s="40">
        <v>531</v>
      </c>
      <c r="B532" s="41" t="s">
        <v>2648</v>
      </c>
      <c r="C532" s="41" t="str">
        <f ca="1">VLOOKUP(B532,lists!A$2:B1000,2)</f>
        <v>Счётчик недопустимых по паузе перенапряжений</v>
      </c>
      <c r="D532" s="41"/>
    </row>
    <row r="533" spans="1:4" ht="15.75" customHeight="1" x14ac:dyDescent="0.25">
      <c r="A533" s="40">
        <v>532</v>
      </c>
      <c r="B533" s="41" t="s">
        <v>2649</v>
      </c>
      <c r="C533" s="41" t="str">
        <f ca="1">VLOOKUP(B533,lists!A$2:B1000,2)</f>
        <v>Счётчик недопустимых по паузе перенапряжений</v>
      </c>
      <c r="D533" s="41"/>
    </row>
    <row r="534" spans="1:4" ht="15.75" customHeight="1" x14ac:dyDescent="0.25">
      <c r="A534" s="40">
        <v>533</v>
      </c>
      <c r="B534" s="41" t="s">
        <v>2650</v>
      </c>
      <c r="C534" s="41" t="str">
        <f ca="1">VLOOKUP(B534,lists!A$2:B1000,2)</f>
        <v>Счётчик недопустимых по паузе перенапряжений</v>
      </c>
      <c r="D534" s="41"/>
    </row>
    <row r="535" spans="1:4" ht="15.75" customHeight="1" x14ac:dyDescent="0.25">
      <c r="A535" s="40">
        <v>534</v>
      </c>
      <c r="B535" s="41" t="s">
        <v>2651</v>
      </c>
      <c r="C535" s="41" t="str">
        <f ca="1">VLOOKUP(B535,lists!A$2:B1000,2)</f>
        <v>Счётчик недопустимых по паузе перенапряжений</v>
      </c>
      <c r="D535" s="41"/>
    </row>
    <row r="536" spans="1:4" ht="15.75" customHeight="1" x14ac:dyDescent="0.25">
      <c r="A536" s="40">
        <v>535</v>
      </c>
      <c r="B536" s="41" t="s">
        <v>2652</v>
      </c>
      <c r="C536" s="41" t="str">
        <f ca="1">VLOOKUP(B536,lists!A$2:B1000,2)</f>
        <v>Счётчик недопустимых по паузе перенапряжений</v>
      </c>
      <c r="D536" s="41"/>
    </row>
    <row r="537" spans="1:4" ht="15.75" customHeight="1" x14ac:dyDescent="0.25">
      <c r="A537" s="40">
        <v>536</v>
      </c>
      <c r="B537" s="41" t="s">
        <v>2653</v>
      </c>
      <c r="C537" s="41" t="str">
        <f ca="1">VLOOKUP(B537,lists!A$2:B1000,2)</f>
        <v>Счётчик недопустимых по паузе перенапряжений</v>
      </c>
      <c r="D537" s="41"/>
    </row>
    <row r="538" spans="1:4" ht="15.75" customHeight="1" x14ac:dyDescent="0.25">
      <c r="A538" s="40">
        <v>537</v>
      </c>
      <c r="B538" s="41" t="s">
        <v>2654</v>
      </c>
      <c r="C538" s="41" t="str">
        <f ca="1">VLOOKUP(B538,lists!A$2:B1000,2)</f>
        <v>Счётчик недопустимых по паузе перенапряжений</v>
      </c>
      <c r="D538" s="41"/>
    </row>
    <row r="539" spans="1:4" ht="15.75" customHeight="1" x14ac:dyDescent="0.25">
      <c r="A539" s="40">
        <v>538</v>
      </c>
      <c r="B539" s="41" t="s">
        <v>2655</v>
      </c>
      <c r="C539" s="41" t="str">
        <f ca="1">VLOOKUP(B539,lists!A$2:B1000,2)</f>
        <v>Счётчик недопустимых по паузе перенапряжений</v>
      </c>
      <c r="D539" s="41"/>
    </row>
    <row r="540" spans="1:4" ht="15.75" customHeight="1" x14ac:dyDescent="0.25">
      <c r="A540" s="40">
        <v>539</v>
      </c>
      <c r="B540" s="41" t="s">
        <v>2656</v>
      </c>
      <c r="C540" s="41" t="str">
        <f ca="1">VLOOKUP(B540,lists!A$2:B1000,2)</f>
        <v>Счётчик недопустимых по паузе перенапряжений</v>
      </c>
      <c r="D540" s="41"/>
    </row>
    <row r="541" spans="1:4" ht="15.75" customHeight="1" x14ac:dyDescent="0.25">
      <c r="A541" s="40">
        <v>540</v>
      </c>
      <c r="B541" s="41" t="s">
        <v>2657</v>
      </c>
      <c r="C541" s="41" t="str">
        <f ca="1">VLOOKUP(B541,lists!A$2:B1000,2)</f>
        <v>Счётчик недопустимых по паузе перенапряжений</v>
      </c>
      <c r="D541" s="41"/>
    </row>
    <row r="542" spans="1:4" ht="15.75" customHeight="1" x14ac:dyDescent="0.25">
      <c r="A542" s="40">
        <v>541</v>
      </c>
      <c r="B542" s="41" t="s">
        <v>2658</v>
      </c>
      <c r="C542" s="41" t="str">
        <f ca="1">VLOOKUP(B542,lists!A$2:B1000,2)</f>
        <v>Счётчик недопустимых по паузе перенапряжений</v>
      </c>
      <c r="D542" s="41"/>
    </row>
    <row r="543" spans="1:4" ht="15.75" customHeight="1" x14ac:dyDescent="0.25">
      <c r="A543" s="40">
        <v>542</v>
      </c>
      <c r="B543" s="41" t="s">
        <v>2659</v>
      </c>
      <c r="C543" s="41" t="str">
        <f ca="1">VLOOKUP(B543,lists!A$2:B1000,2)</f>
        <v>Счётчик недопустимых по паузе перенапряжений</v>
      </c>
      <c r="D543" s="41"/>
    </row>
    <row r="544" spans="1:4" ht="15.75" customHeight="1" x14ac:dyDescent="0.25">
      <c r="A544" s="40">
        <v>543</v>
      </c>
      <c r="B544" s="41" t="s">
        <v>2660</v>
      </c>
      <c r="C544" s="41" t="str">
        <f ca="1">VLOOKUP(B544,lists!A$2:B1000,2)</f>
        <v>Счётчик недопустимых по паузе перенапряжений</v>
      </c>
      <c r="D544" s="41"/>
    </row>
    <row r="545" spans="1:4" ht="15.75" customHeight="1" x14ac:dyDescent="0.25">
      <c r="A545" s="40">
        <v>544</v>
      </c>
      <c r="B545" s="41" t="s">
        <v>2661</v>
      </c>
      <c r="C545" s="41" t="str">
        <f ca="1">VLOOKUP(B545,lists!A$2:B1000,2)</f>
        <v>Счётчик недопустимых по паузе перенапряжений</v>
      </c>
      <c r="D545" s="41"/>
    </row>
    <row r="546" spans="1:4" ht="15.75" customHeight="1" x14ac:dyDescent="0.25">
      <c r="A546" s="40">
        <v>545</v>
      </c>
      <c r="B546" s="41" t="s">
        <v>2662</v>
      </c>
      <c r="C546" s="41" t="str">
        <f ca="1">VLOOKUP(B546,lists!A$2:B1000,2)</f>
        <v>Счётчик недопустимых по паузе перенапряжений</v>
      </c>
      <c r="D546" s="41"/>
    </row>
    <row r="547" spans="1:4" ht="15.75" customHeight="1" x14ac:dyDescent="0.25">
      <c r="A547" s="40">
        <v>546</v>
      </c>
      <c r="B547" s="41" t="s">
        <v>2663</v>
      </c>
      <c r="C547" s="41" t="str">
        <f ca="1">VLOOKUP(B547,lists!A$2:B1000,2)</f>
        <v>Счётчик недопустимых по паузе перенапряжений</v>
      </c>
      <c r="D547" s="41"/>
    </row>
    <row r="548" spans="1:4" ht="15.75" customHeight="1" x14ac:dyDescent="0.25">
      <c r="A548" s="40">
        <v>547</v>
      </c>
      <c r="B548" s="41" t="s">
        <v>2664</v>
      </c>
      <c r="C548" s="41" t="str">
        <f ca="1">VLOOKUP(B548,lists!A$2:B1000,2)</f>
        <v>Счётчик недопустимых по паузе перенапряжений</v>
      </c>
      <c r="D548" s="41"/>
    </row>
    <row r="549" spans="1:4" ht="15.75" customHeight="1" x14ac:dyDescent="0.25">
      <c r="A549" s="40">
        <v>548</v>
      </c>
      <c r="B549" s="41" t="s">
        <v>2665</v>
      </c>
      <c r="C549" s="41" t="str">
        <f ca="1">VLOOKUP(B549,lists!A$2:B1000,2)</f>
        <v>Счётчик недопустимых по паузе перенапряжений</v>
      </c>
      <c r="D549" s="41"/>
    </row>
    <row r="550" spans="1:4" ht="15.75" customHeight="1" x14ac:dyDescent="0.25">
      <c r="A550" s="40">
        <v>549</v>
      </c>
      <c r="B550" s="41" t="s">
        <v>2666</v>
      </c>
      <c r="C550" s="41" t="str">
        <f ca="1">VLOOKUP(B550,lists!A$2:B1000,2)</f>
        <v>Счётчик недопустимых по паузе перенапряжений</v>
      </c>
      <c r="D550" s="41"/>
    </row>
    <row r="551" spans="1:4" ht="15.75" customHeight="1" x14ac:dyDescent="0.25">
      <c r="A551" s="40">
        <v>550</v>
      </c>
      <c r="B551" s="41" t="s">
        <v>2667</v>
      </c>
      <c r="C551" s="41" t="str">
        <f ca="1">VLOOKUP(B551,lists!A$2:B1000,2)</f>
        <v>Счётчик недопустимых по паузе перенапряжений</v>
      </c>
      <c r="D551" s="41"/>
    </row>
    <row r="552" spans="1:4" ht="15.75" customHeight="1" x14ac:dyDescent="0.25">
      <c r="A552" s="40">
        <v>551</v>
      </c>
      <c r="B552" s="41" t="s">
        <v>2668</v>
      </c>
      <c r="C552" s="41" t="str">
        <f ca="1">VLOOKUP(B552,lists!A$2:B1000,2)</f>
        <v>Счётчик недопустимых по паузе перенапряжений</v>
      </c>
      <c r="D552" s="41"/>
    </row>
    <row r="553" spans="1:4" ht="15.75" customHeight="1" x14ac:dyDescent="0.25">
      <c r="A553" s="40">
        <v>552</v>
      </c>
      <c r="B553" s="41" t="s">
        <v>2669</v>
      </c>
      <c r="C553" s="41" t="str">
        <f ca="1">VLOOKUP(B553,lists!A$2:B1000,2)</f>
        <v>Счётчик недопустимых по паузе перенапряжений</v>
      </c>
      <c r="D553" s="41"/>
    </row>
    <row r="554" spans="1:4" ht="15.75" customHeight="1" x14ac:dyDescent="0.25">
      <c r="A554" s="40">
        <v>553</v>
      </c>
      <c r="B554" s="41" t="s">
        <v>2670</v>
      </c>
      <c r="C554" s="41" t="str">
        <f ca="1">VLOOKUP(B554,lists!A$2:B1000,2)</f>
        <v>Счётчик недопустимых по паузе перенапряжений</v>
      </c>
      <c r="D554" s="41"/>
    </row>
    <row r="555" spans="1:4" ht="15.75" customHeight="1" x14ac:dyDescent="0.25">
      <c r="A555" s="40">
        <v>554</v>
      </c>
      <c r="B555" s="41" t="s">
        <v>2671</v>
      </c>
      <c r="C555" s="41" t="str">
        <f ca="1">VLOOKUP(B555,lists!A$2:B1000,2)</f>
        <v>Счётчик недопустимых по паузе перенапряжений</v>
      </c>
      <c r="D555" s="41"/>
    </row>
    <row r="556" spans="1:4" ht="15.75" customHeight="1" x14ac:dyDescent="0.25">
      <c r="A556" s="40">
        <v>555</v>
      </c>
      <c r="B556" s="41" t="s">
        <v>2672</v>
      </c>
      <c r="C556" s="41" t="str">
        <f ca="1">VLOOKUP(B556,lists!A$2:B1000,2)</f>
        <v>Счётчик недопустимых по паузе перенапряжений</v>
      </c>
      <c r="D556" s="41" t="s">
        <v>2673</v>
      </c>
    </row>
    <row r="557" spans="1:4" ht="15.75" customHeight="1" x14ac:dyDescent="0.25">
      <c r="A557" s="40">
        <v>556</v>
      </c>
      <c r="B557" s="41" t="s">
        <v>2674</v>
      </c>
      <c r="C557" s="41" t="str">
        <f ca="1">VLOOKUP(B557,lists!A$2:B1000,2)</f>
        <v>Счётчик недопустимых по паузе перенапряжений</v>
      </c>
      <c r="D557" s="41" t="s">
        <v>2675</v>
      </c>
    </row>
    <row r="558" spans="1:4" ht="15.75" customHeight="1" x14ac:dyDescent="0.25">
      <c r="A558" s="40">
        <v>557</v>
      </c>
      <c r="B558" s="41" t="s">
        <v>2676</v>
      </c>
      <c r="C558" s="41" t="str">
        <f ca="1">VLOOKUP(B558,lists!A$2:B1000,2)</f>
        <v>Счётчик недопустимых по паузе перенапряжений</v>
      </c>
      <c r="D558" s="41" t="s">
        <v>2677</v>
      </c>
    </row>
    <row r="559" spans="1:4" ht="15.75" customHeight="1" x14ac:dyDescent="0.25">
      <c r="A559" s="40">
        <v>558</v>
      </c>
      <c r="B559" s="41" t="s">
        <v>2678</v>
      </c>
      <c r="C559" s="41" t="str">
        <f ca="1">VLOOKUP(B559,lists!A$2:B1000,2)</f>
        <v>Счётчик недопустимых по паузе перенапряжений</v>
      </c>
      <c r="D559" s="41" t="s">
        <v>2679</v>
      </c>
    </row>
    <row r="560" spans="1:4" ht="15.75" customHeight="1" x14ac:dyDescent="0.25">
      <c r="A560" s="40">
        <v>559</v>
      </c>
      <c r="B560" s="41" t="s">
        <v>2680</v>
      </c>
      <c r="C560" s="41" t="str">
        <f ca="1">VLOOKUP(B560,lists!A$2:B1000,2)</f>
        <v>Счётчик недопустимых по паузе перенапряжений</v>
      </c>
      <c r="D560" s="41" t="s">
        <v>2681</v>
      </c>
    </row>
    <row r="561" spans="1:4" ht="15.75" customHeight="1" x14ac:dyDescent="0.25">
      <c r="A561" s="40">
        <v>560</v>
      </c>
      <c r="B561" s="41" t="s">
        <v>2682</v>
      </c>
      <c r="C561" s="41" t="str">
        <f ca="1">VLOOKUP(B561,lists!A$2:B1000,2)</f>
        <v>Счётчик недопустимых по паузе перенапряжений</v>
      </c>
      <c r="D561" s="41" t="s">
        <v>2683</v>
      </c>
    </row>
    <row r="562" spans="1:4" ht="15.75" customHeight="1" x14ac:dyDescent="0.25">
      <c r="A562" s="40">
        <v>561</v>
      </c>
      <c r="B562" s="41" t="s">
        <v>2684</v>
      </c>
      <c r="C562" s="41" t="str">
        <f ca="1">VLOOKUP(B562,lists!A$2:B1000,2)</f>
        <v>Счётчик недопустимых по паузе перенапряжений</v>
      </c>
      <c r="D562" s="41" t="s">
        <v>2685</v>
      </c>
    </row>
    <row r="563" spans="1:4" ht="15.75" customHeight="1" x14ac:dyDescent="0.25">
      <c r="A563" s="40">
        <v>562</v>
      </c>
      <c r="B563" s="41" t="s">
        <v>2686</v>
      </c>
      <c r="C563" s="41" t="str">
        <f ca="1">VLOOKUP(B563,lists!A$2:B1000,2)</f>
        <v>Счётчик недопустимых по паузе перенапряжений</v>
      </c>
      <c r="D563" s="41" t="s">
        <v>2687</v>
      </c>
    </row>
    <row r="564" spans="1:4" ht="15.75" customHeight="1" x14ac:dyDescent="0.25">
      <c r="A564" s="40">
        <v>563</v>
      </c>
      <c r="B564" s="41" t="s">
        <v>2688</v>
      </c>
      <c r="C564" s="41" t="str">
        <f ca="1">VLOOKUP(B564,lists!A$2:B1000,2)</f>
        <v>Счётчик недопустимых по паузе перенапряжений</v>
      </c>
      <c r="D564" s="41"/>
    </row>
    <row r="565" spans="1:4" ht="15.75" customHeight="1" x14ac:dyDescent="0.25">
      <c r="A565" s="40">
        <v>564</v>
      </c>
      <c r="B565" s="41" t="s">
        <v>2689</v>
      </c>
      <c r="C565" s="41" t="str">
        <f ca="1">VLOOKUP(B565,lists!A$2:B1000,2)</f>
        <v>Счётчик недопустимых по паузе перенапряжений</v>
      </c>
      <c r="D565" s="41"/>
    </row>
    <row r="566" spans="1:4" ht="15.75" customHeight="1" x14ac:dyDescent="0.25">
      <c r="A566" s="40">
        <v>565</v>
      </c>
      <c r="B566" s="41" t="s">
        <v>2690</v>
      </c>
      <c r="C566" s="41" t="str">
        <f ca="1">VLOOKUP(B566,lists!A$2:B1000,2)</f>
        <v>Счётчик недопустимых по паузе перенапряжений</v>
      </c>
      <c r="D566" s="41"/>
    </row>
    <row r="567" spans="1:4" ht="15.75" customHeight="1" x14ac:dyDescent="0.25">
      <c r="A567" s="40">
        <v>566</v>
      </c>
      <c r="B567" s="41" t="s">
        <v>2691</v>
      </c>
      <c r="C567" s="41" t="str">
        <f ca="1">VLOOKUP(B567,lists!A$2:B1000,2)</f>
        <v>Счётчик недопустимых по паузе перенапряжений</v>
      </c>
      <c r="D567" s="41"/>
    </row>
    <row r="568" spans="1:4" ht="15.75" customHeight="1" x14ac:dyDescent="0.25">
      <c r="A568" s="40">
        <v>567</v>
      </c>
      <c r="B568" s="41" t="s">
        <v>2692</v>
      </c>
      <c r="C568" s="41" t="str">
        <f ca="1">VLOOKUP(B568,lists!A$2:B1000,2)</f>
        <v>Счётчик недопустимых по паузе перенапряжений</v>
      </c>
      <c r="D568" s="41"/>
    </row>
    <row r="569" spans="1:4" ht="15.75" customHeight="1" x14ac:dyDescent="0.25">
      <c r="A569" s="40">
        <v>568</v>
      </c>
      <c r="B569" s="41" t="s">
        <v>2693</v>
      </c>
      <c r="C569" s="41" t="str">
        <f ca="1">VLOOKUP(B569,lists!A$2:B1000,2)</f>
        <v>Счётчик недопустимых по паузе перенапряжений</v>
      </c>
      <c r="D569" s="41"/>
    </row>
    <row r="570" spans="1:4" ht="15.75" customHeight="1" x14ac:dyDescent="0.25">
      <c r="A570" s="40">
        <v>569</v>
      </c>
      <c r="B570" s="41" t="s">
        <v>2694</v>
      </c>
      <c r="C570" s="41" t="str">
        <f ca="1">VLOOKUP(B570,lists!A$2:B1000,2)</f>
        <v>Счётчик недопустимых по паузе перенапряжений</v>
      </c>
      <c r="D570" s="41"/>
    </row>
    <row r="571" spans="1:4" ht="15.75" customHeight="1" x14ac:dyDescent="0.25">
      <c r="A571" s="40">
        <v>570</v>
      </c>
      <c r="B571" s="41" t="s">
        <v>2695</v>
      </c>
      <c r="C571" s="41" t="str">
        <f ca="1">VLOOKUP(B571,lists!A$2:B1000,2)</f>
        <v>Счётчик недопустимых по паузе перенапряжений</v>
      </c>
      <c r="D571" s="41"/>
    </row>
    <row r="572" spans="1:4" ht="15.75" customHeight="1" x14ac:dyDescent="0.25">
      <c r="A572" s="40">
        <v>571</v>
      </c>
      <c r="B572" s="41" t="s">
        <v>2696</v>
      </c>
      <c r="C572" s="41" t="str">
        <f ca="1">VLOOKUP(B572,lists!A$2:B1000,2)</f>
        <v>Счётчик недопустимых по паузе перенапряжений</v>
      </c>
      <c r="D572" s="41"/>
    </row>
    <row r="573" spans="1:4" ht="15.75" customHeight="1" x14ac:dyDescent="0.25">
      <c r="A573" s="40">
        <v>572</v>
      </c>
      <c r="B573" s="41" t="s">
        <v>2697</v>
      </c>
      <c r="C573" s="41" t="str">
        <f ca="1">VLOOKUP(B573,lists!A$2:B1000,2)</f>
        <v>Счётчик недопустимых по паузе перенапряжений</v>
      </c>
      <c r="D573" s="41"/>
    </row>
    <row r="574" spans="1:4" ht="15.75" customHeight="1" x14ac:dyDescent="0.25">
      <c r="A574" s="40">
        <v>573</v>
      </c>
      <c r="B574" s="41" t="s">
        <v>2698</v>
      </c>
      <c r="C574" s="41" t="str">
        <f ca="1">VLOOKUP(B574,lists!A$2:B1000,2)</f>
        <v>Счётчик недопустимых по паузе перенапряжений</v>
      </c>
      <c r="D574" s="41"/>
    </row>
    <row r="575" spans="1:4" ht="15.75" customHeight="1" x14ac:dyDescent="0.25">
      <c r="A575" s="40">
        <v>574</v>
      </c>
      <c r="B575" s="41" t="s">
        <v>2699</v>
      </c>
      <c r="C575" s="41" t="str">
        <f ca="1">VLOOKUP(B575,lists!A$2:B1000,2)</f>
        <v>Счётчик недопустимых по паузе перенапряжений</v>
      </c>
      <c r="D575" s="41"/>
    </row>
    <row r="576" spans="1:4" ht="15.75" customHeight="1" x14ac:dyDescent="0.25">
      <c r="A576" s="40">
        <v>575</v>
      </c>
      <c r="B576" s="41" t="s">
        <v>2700</v>
      </c>
      <c r="C576" s="41" t="str">
        <f ca="1">VLOOKUP(B576,lists!A$2:B1000,2)</f>
        <v>Счётчик недопустимых по паузе перенапряжений</v>
      </c>
      <c r="D576" s="41"/>
    </row>
    <row r="577" spans="1:4" ht="15.75" customHeight="1" x14ac:dyDescent="0.25">
      <c r="A577" s="40">
        <v>576</v>
      </c>
      <c r="B577" s="41" t="s">
        <v>2701</v>
      </c>
      <c r="C577" s="41" t="str">
        <f ca="1">VLOOKUP(B577,lists!A$2:B1000,2)</f>
        <v>Счётчик недопустимых по паузе перенапряжений</v>
      </c>
      <c r="D577" s="41"/>
    </row>
    <row r="578" spans="1:4" ht="15.75" customHeight="1" x14ac:dyDescent="0.25">
      <c r="A578" s="40">
        <v>577</v>
      </c>
      <c r="B578" s="41" t="s">
        <v>2702</v>
      </c>
      <c r="C578" s="41" t="str">
        <f ca="1">VLOOKUP(B578,lists!A$2:B1000,2)</f>
        <v>Счётчик недопустимых по паузе перенапряжений</v>
      </c>
      <c r="D578" s="41"/>
    </row>
    <row r="579" spans="1:4" ht="15.75" customHeight="1" x14ac:dyDescent="0.25">
      <c r="A579" s="40">
        <v>578</v>
      </c>
      <c r="B579" s="41" t="s">
        <v>2703</v>
      </c>
      <c r="C579" s="41" t="str">
        <f ca="1">VLOOKUP(B579,lists!A$2:B1000,2)</f>
        <v>Счётчик недопустимых по паузе перенапряжений</v>
      </c>
      <c r="D579" s="41"/>
    </row>
    <row r="580" spans="1:4" ht="15.75" customHeight="1" x14ac:dyDescent="0.25">
      <c r="A580" s="40">
        <v>579</v>
      </c>
      <c r="B580" s="41" t="s">
        <v>2704</v>
      </c>
      <c r="C580" s="41" t="str">
        <f ca="1">VLOOKUP(B580,lists!A$2:B1000,2)</f>
        <v>Счётчик недопустимых по паузе перенапряжений</v>
      </c>
      <c r="D580" s="41"/>
    </row>
    <row r="581" spans="1:4" ht="15.75" customHeight="1" x14ac:dyDescent="0.25">
      <c r="A581" s="40">
        <v>580</v>
      </c>
      <c r="B581" s="41" t="s">
        <v>2705</v>
      </c>
      <c r="C581" s="41" t="str">
        <f ca="1">VLOOKUP(B581,lists!A$2:B1000,2)</f>
        <v>Счётчик недопустимых по паузе перенапряжений</v>
      </c>
      <c r="D581" s="41"/>
    </row>
    <row r="582" spans="1:4" ht="15.75" customHeight="1" x14ac:dyDescent="0.25">
      <c r="A582" s="40">
        <v>581</v>
      </c>
      <c r="B582" s="41" t="s">
        <v>2706</v>
      </c>
      <c r="C582" s="41" t="str">
        <f ca="1">VLOOKUP(B582,lists!A$2:B1000,2)</f>
        <v>Счётчик недопустимых по паузе перенапряжений</v>
      </c>
      <c r="D582" s="41"/>
    </row>
    <row r="583" spans="1:4" ht="15.75" customHeight="1" x14ac:dyDescent="0.25">
      <c r="A583" s="40">
        <v>582</v>
      </c>
      <c r="B583" s="41" t="s">
        <v>2707</v>
      </c>
      <c r="C583" s="41" t="str">
        <f ca="1">VLOOKUP(B583,lists!A$2:B1000,2)</f>
        <v>Счётчик недопустимых по паузе перенапряжений</v>
      </c>
      <c r="D583" s="41"/>
    </row>
    <row r="584" spans="1:4" ht="15.75" customHeight="1" x14ac:dyDescent="0.25">
      <c r="A584" s="40">
        <v>583</v>
      </c>
      <c r="B584" s="41" t="s">
        <v>2708</v>
      </c>
      <c r="C584" s="41" t="str">
        <f ca="1">VLOOKUP(B584,lists!A$2:B1000,2)</f>
        <v>Счётчик недопустимых по паузе перенапряжений</v>
      </c>
      <c r="D584" s="41"/>
    </row>
    <row r="585" spans="1:4" ht="15.75" customHeight="1" x14ac:dyDescent="0.25">
      <c r="A585" s="40">
        <v>584</v>
      </c>
      <c r="B585" s="41" t="s">
        <v>2709</v>
      </c>
      <c r="C585" s="41" t="str">
        <f ca="1">VLOOKUP(B585,lists!A$2:B1000,2)</f>
        <v>Счётчик недопустимых по паузе перенапряжений</v>
      </c>
      <c r="D585" s="41"/>
    </row>
    <row r="586" spans="1:4" ht="15.75" customHeight="1" x14ac:dyDescent="0.25">
      <c r="A586" s="40">
        <v>585</v>
      </c>
      <c r="B586" s="41" t="s">
        <v>2710</v>
      </c>
      <c r="C586" s="41" t="str">
        <f ca="1">VLOOKUP(B586,lists!A$2:B1000,2)</f>
        <v>Счётчик недопустимых по паузе перенапряжений</v>
      </c>
      <c r="D586" s="41"/>
    </row>
    <row r="587" spans="1:4" ht="15.75" customHeight="1" x14ac:dyDescent="0.25">
      <c r="A587" s="40">
        <v>586</v>
      </c>
      <c r="B587" s="41" t="s">
        <v>2711</v>
      </c>
      <c r="C587" s="41" t="str">
        <f ca="1">VLOOKUP(B587,lists!A$2:B1000,2)</f>
        <v>Счётчик недопустимых по паузе перенапряжений</v>
      </c>
      <c r="D587" s="41"/>
    </row>
    <row r="588" spans="1:4" ht="15.75" customHeight="1" x14ac:dyDescent="0.25">
      <c r="A588" s="40">
        <v>587</v>
      </c>
      <c r="B588" s="41" t="s">
        <v>2712</v>
      </c>
      <c r="C588" s="41" t="str">
        <f ca="1">VLOOKUP(B588,lists!A$2:B1000,2)</f>
        <v>Счётчик недопустимых по паузе перенапряжений</v>
      </c>
      <c r="D588" s="41"/>
    </row>
    <row r="589" spans="1:4" ht="15.75" customHeight="1" x14ac:dyDescent="0.25">
      <c r="A589" s="40">
        <v>588</v>
      </c>
      <c r="B589" s="41" t="s">
        <v>2713</v>
      </c>
      <c r="C589" s="41" t="str">
        <f ca="1">VLOOKUP(B589,lists!A$2:B1000,2)</f>
        <v>Счётчик недопустимых по паузе перенапряжений</v>
      </c>
      <c r="D589" s="41"/>
    </row>
    <row r="590" spans="1:4" ht="15.75" customHeight="1" x14ac:dyDescent="0.25">
      <c r="A590" s="40">
        <v>589</v>
      </c>
      <c r="B590" s="41" t="s">
        <v>2714</v>
      </c>
      <c r="C590" s="41" t="str">
        <f ca="1">VLOOKUP(B590,lists!A$2:B1000,2)</f>
        <v>Счётчик недопустимых по паузе перенапряжений</v>
      </c>
      <c r="D590" s="41"/>
    </row>
    <row r="591" spans="1:4" ht="15.75" customHeight="1" x14ac:dyDescent="0.25">
      <c r="A591" s="40">
        <v>590</v>
      </c>
      <c r="B591" s="41" t="s">
        <v>2715</v>
      </c>
      <c r="C591" s="41" t="str">
        <f ca="1">VLOOKUP(B591,lists!A$2:B1000,2)</f>
        <v>Счётчик недопустимых по паузе перенапряжений</v>
      </c>
      <c r="D591" s="41"/>
    </row>
    <row r="592" spans="1:4" ht="15.75" customHeight="1" x14ac:dyDescent="0.25">
      <c r="A592" s="40">
        <v>591</v>
      </c>
      <c r="B592" s="41" t="s">
        <v>2716</v>
      </c>
      <c r="C592" s="41" t="str">
        <f ca="1">VLOOKUP(B592,lists!A$2:B1000,2)</f>
        <v>Счётчик недопустимых по паузе перенапряжений</v>
      </c>
      <c r="D592" s="41"/>
    </row>
    <row r="593" spans="1:4" ht="15.75" customHeight="1" x14ac:dyDescent="0.25">
      <c r="A593" s="40">
        <v>592</v>
      </c>
      <c r="B593" s="41" t="s">
        <v>2717</v>
      </c>
      <c r="C593" s="41" t="str">
        <f ca="1">VLOOKUP(B593,lists!A$2:B1000,2)</f>
        <v>Счётчик недопустимых по паузе перенапряжений</v>
      </c>
      <c r="D593" s="41"/>
    </row>
    <row r="594" spans="1:4" ht="15.75" customHeight="1" x14ac:dyDescent="0.25">
      <c r="A594" s="40">
        <v>593</v>
      </c>
      <c r="B594" s="41" t="s">
        <v>2718</v>
      </c>
      <c r="C594" s="41" t="str">
        <f ca="1">VLOOKUP(B594,lists!A$2:B1000,2)</f>
        <v>Счётчик недопустимых по паузе перенапряжений</v>
      </c>
      <c r="D594" s="41"/>
    </row>
    <row r="595" spans="1:4" ht="15.75" customHeight="1" x14ac:dyDescent="0.25">
      <c r="A595" s="40">
        <v>594</v>
      </c>
      <c r="B595" s="41" t="s">
        <v>2719</v>
      </c>
      <c r="C595" s="41" t="str">
        <f ca="1">VLOOKUP(B595,lists!A$2:B1000,2)</f>
        <v>Счётчик недопустимых по паузе перенапряжений</v>
      </c>
      <c r="D595" s="41"/>
    </row>
    <row r="596" spans="1:4" ht="15.75" customHeight="1" x14ac:dyDescent="0.25">
      <c r="A596" s="40">
        <v>595</v>
      </c>
      <c r="B596" s="41" t="s">
        <v>2720</v>
      </c>
      <c r="C596" s="41" t="str">
        <f ca="1">VLOOKUP(B596,lists!A$2:B1000,2)</f>
        <v>Счётчик недопустимых по паузе перенапряжений</v>
      </c>
      <c r="D596" s="41"/>
    </row>
    <row r="597" spans="1:4" ht="15.75" customHeight="1" x14ac:dyDescent="0.25">
      <c r="A597" s="40">
        <v>596</v>
      </c>
      <c r="B597" s="41" t="s">
        <v>2721</v>
      </c>
      <c r="C597" s="41" t="str">
        <f ca="1">VLOOKUP(B597,lists!A$2:B1000,2)</f>
        <v>Счётчик недопустимых по паузе перенапряжений</v>
      </c>
      <c r="D597" s="41"/>
    </row>
    <row r="598" spans="1:4" ht="15.75" customHeight="1" x14ac:dyDescent="0.25">
      <c r="A598" s="40">
        <v>597</v>
      </c>
      <c r="B598" s="41" t="s">
        <v>2722</v>
      </c>
      <c r="C598" s="41" t="str">
        <f ca="1">VLOOKUP(B598,lists!A$2:B1000,2)</f>
        <v>Счётчик недопустимых по паузе перенапряжений</v>
      </c>
      <c r="D598" s="41"/>
    </row>
    <row r="599" spans="1:4" ht="15.75" customHeight="1" x14ac:dyDescent="0.25">
      <c r="A599" s="40">
        <v>598</v>
      </c>
      <c r="B599" s="41" t="s">
        <v>2723</v>
      </c>
      <c r="C599" s="41" t="str">
        <f ca="1">VLOOKUP(B599,lists!A$2:B1000,2)</f>
        <v>Счётчик недопустимых по паузе перенапряжений</v>
      </c>
      <c r="D599" s="41"/>
    </row>
    <row r="600" spans="1:4" ht="15.75" customHeight="1" x14ac:dyDescent="0.25">
      <c r="A600" s="40">
        <v>599</v>
      </c>
      <c r="B600" s="41" t="s">
        <v>2724</v>
      </c>
      <c r="C600" s="41" t="str">
        <f ca="1">VLOOKUP(B600,lists!A$2:B1000,2)</f>
        <v>Счётчик недопустимых по паузе перенапряжений</v>
      </c>
      <c r="D600" s="41"/>
    </row>
    <row r="601" spans="1:4" ht="15.75" customHeight="1" x14ac:dyDescent="0.25">
      <c r="A601" s="40">
        <v>600</v>
      </c>
      <c r="B601" s="41" t="s">
        <v>2725</v>
      </c>
      <c r="C601" s="41" t="str">
        <f ca="1">VLOOKUP(B601,lists!A$2:B1000,2)</f>
        <v>Счётчик недопустимых по паузе перенапряжений</v>
      </c>
      <c r="D601" s="41"/>
    </row>
    <row r="602" spans="1:4" ht="15.75" customHeight="1" x14ac:dyDescent="0.25">
      <c r="A602" s="40">
        <v>601</v>
      </c>
      <c r="B602" s="41" t="s">
        <v>2726</v>
      </c>
      <c r="C602" s="41" t="str">
        <f ca="1">VLOOKUP(B602,lists!A$2:B1000,2)</f>
        <v>Счётчик недопустимых по паузе перенапряжений</v>
      </c>
      <c r="D602" s="41"/>
    </row>
    <row r="603" spans="1:4" ht="15.75" customHeight="1" x14ac:dyDescent="0.25">
      <c r="A603" s="40">
        <v>602</v>
      </c>
      <c r="B603" s="41" t="s">
        <v>2727</v>
      </c>
      <c r="C603" s="41" t="str">
        <f ca="1">VLOOKUP(B603,lists!A$2:B1000,2)</f>
        <v>Счётчик недопустимых по паузе перенапряжений</v>
      </c>
      <c r="D603" s="41"/>
    </row>
    <row r="604" spans="1:4" ht="15.75" customHeight="1" x14ac:dyDescent="0.25">
      <c r="A604" s="40">
        <v>603</v>
      </c>
      <c r="B604" s="41" t="s">
        <v>2728</v>
      </c>
      <c r="C604" s="41" t="str">
        <f ca="1">VLOOKUP(B604,lists!A$2:B1000,2)</f>
        <v>Поправка на добавленную воду</v>
      </c>
      <c r="D604" s="41" t="s">
        <v>2729</v>
      </c>
    </row>
    <row r="605" spans="1:4" ht="15.75" customHeight="1" x14ac:dyDescent="0.25">
      <c r="A605" s="40">
        <v>604</v>
      </c>
      <c r="B605" s="41" t="s">
        <v>2730</v>
      </c>
      <c r="C605" s="41" t="str">
        <f ca="1">VLOOKUP(B605,lists!A$2:B1000,2)</f>
        <v>Счётчик недопустимых по паузе перенапряжений</v>
      </c>
      <c r="D605" s="9" t="s">
        <v>2731</v>
      </c>
    </row>
    <row r="606" spans="1:4" ht="15.75" customHeight="1" x14ac:dyDescent="0.25">
      <c r="A606" s="40">
        <v>605</v>
      </c>
      <c r="B606" s="41" t="s">
        <v>2732</v>
      </c>
      <c r="C606" s="41" t="str">
        <f ca="1">VLOOKUP(B606,lists!A$2:B1000,2)</f>
        <v>Счётчик недопустимых по паузе перенапряжений</v>
      </c>
      <c r="D606" s="9" t="s">
        <v>2733</v>
      </c>
    </row>
    <row r="607" spans="1:4" ht="15.75" customHeight="1" x14ac:dyDescent="0.25">
      <c r="A607" s="40">
        <v>606</v>
      </c>
      <c r="B607" s="41" t="s">
        <v>2734</v>
      </c>
      <c r="C607" s="41" t="str">
        <f ca="1">VLOOKUP(B607,lists!A$2:B1000,2)</f>
        <v>Счётчик недопустимых по паузе перенапряжений</v>
      </c>
      <c r="D607" s="9" t="s">
        <v>2735</v>
      </c>
    </row>
    <row r="608" spans="1:4" ht="15.75" customHeight="1" x14ac:dyDescent="0.25">
      <c r="A608" s="40">
        <v>607</v>
      </c>
      <c r="B608" s="41" t="s">
        <v>2736</v>
      </c>
      <c r="C608" s="41" t="str">
        <f ca="1">VLOOKUP(B608,lists!A$2:B1000,2)</f>
        <v>Счётчик недопустимых по паузе перенапряжений</v>
      </c>
      <c r="D608" s="9" t="s">
        <v>2737</v>
      </c>
    </row>
    <row r="609" spans="1:4" ht="15.75" customHeight="1" x14ac:dyDescent="0.25">
      <c r="A609" s="40">
        <v>608</v>
      </c>
      <c r="B609" s="41" t="s">
        <v>2738</v>
      </c>
      <c r="C609" s="41" t="str">
        <f ca="1">VLOOKUP(B609,lists!A$2:B1000,2)</f>
        <v>Счётчик недопустимых по паузе перенапряжений</v>
      </c>
      <c r="D609" s="41" t="s">
        <v>2739</v>
      </c>
    </row>
    <row r="610" spans="1:4" ht="15.75" customHeight="1" x14ac:dyDescent="0.25">
      <c r="A610" s="40">
        <v>609</v>
      </c>
      <c r="B610" s="41" t="s">
        <v>2740</v>
      </c>
      <c r="C610" s="41" t="str">
        <f ca="1">VLOOKUP(B610,lists!A$2:B1000,2)</f>
        <v>Счётчик недопустимых по паузе перенапряжений</v>
      </c>
      <c r="D610" s="9" t="s">
        <v>2741</v>
      </c>
    </row>
    <row r="611" spans="1:4" ht="15.75" customHeight="1" x14ac:dyDescent="0.25">
      <c r="A611" s="40">
        <v>610</v>
      </c>
      <c r="B611" s="41" t="s">
        <v>2742</v>
      </c>
      <c r="C611" s="41" t="str">
        <f ca="1">VLOOKUP(B611,lists!A$2:B1000,2)</f>
        <v>Счётчик недопустимых по паузе перенапряжений</v>
      </c>
      <c r="D611" s="41"/>
    </row>
    <row r="612" spans="1:4" ht="15.75" customHeight="1" x14ac:dyDescent="0.25">
      <c r="A612" s="40">
        <v>611</v>
      </c>
      <c r="B612" s="41" t="s">
        <v>2743</v>
      </c>
      <c r="C612" s="41" t="str">
        <f ca="1">VLOOKUP(B612,lists!A$2:B1000,2)</f>
        <v>Счётчик недопустимых по паузе перенапряжений</v>
      </c>
      <c r="D612" s="9" t="s">
        <v>2744</v>
      </c>
    </row>
    <row r="613" spans="1:4" ht="15.75" customHeight="1" x14ac:dyDescent="0.25">
      <c r="A613" s="40">
        <v>612</v>
      </c>
      <c r="B613" s="41" t="s">
        <v>2745</v>
      </c>
      <c r="C613" s="41" t="str">
        <f ca="1">VLOOKUP(B613,lists!A$2:B1000,2)</f>
        <v>Счётчик недопустимых по паузе перенапряжений</v>
      </c>
      <c r="D613" s="41"/>
    </row>
    <row r="614" spans="1:4" ht="15.75" customHeight="1" x14ac:dyDescent="0.25">
      <c r="A614" s="40">
        <v>613</v>
      </c>
      <c r="B614" s="41" t="s">
        <v>2746</v>
      </c>
      <c r="C614" s="41" t="str">
        <f ca="1">VLOOKUP(B614,lists!A$2:B1000,2)</f>
        <v>Счётчик недопустимых по паузе перенапряжений</v>
      </c>
      <c r="D614" s="41"/>
    </row>
    <row r="615" spans="1:4" ht="15.75" customHeight="1" x14ac:dyDescent="0.25">
      <c r="A615" s="40">
        <v>614</v>
      </c>
      <c r="B615" s="41" t="s">
        <v>2747</v>
      </c>
      <c r="C615" s="41" t="str">
        <f ca="1">VLOOKUP(B615,lists!A$2:B1000,2)</f>
        <v>Счётчик недопустимых по паузе перенапряжений</v>
      </c>
      <c r="D615" s="9" t="s">
        <v>2748</v>
      </c>
    </row>
    <row r="616" spans="1:4" ht="15.75" customHeight="1" x14ac:dyDescent="0.25">
      <c r="A616" s="40">
        <v>615</v>
      </c>
      <c r="B616" s="41" t="s">
        <v>2749</v>
      </c>
      <c r="C616" s="41" t="str">
        <f ca="1">VLOOKUP(B616,lists!A$2:B1000,2)</f>
        <v>Счётчик недопустимых по паузе перенапряжений</v>
      </c>
      <c r="D616" s="9" t="s">
        <v>2750</v>
      </c>
    </row>
    <row r="617" spans="1:4" ht="15.75" customHeight="1" x14ac:dyDescent="0.25">
      <c r="A617" s="40">
        <v>616</v>
      </c>
      <c r="B617" s="41" t="s">
        <v>2751</v>
      </c>
      <c r="C617" s="41" t="str">
        <f ca="1">VLOOKUP(B617,lists!A$2:B1000,2)</f>
        <v>Счётчик недопустимых по паузе перенапряжений</v>
      </c>
      <c r="D617" s="41"/>
    </row>
    <row r="618" spans="1:4" ht="15.75" customHeight="1" x14ac:dyDescent="0.25">
      <c r="A618" s="40">
        <v>617</v>
      </c>
      <c r="B618" s="41" t="s">
        <v>2752</v>
      </c>
      <c r="C618" s="41" t="str">
        <f ca="1">VLOOKUP(B618,lists!A$2:B1000,2)</f>
        <v>Счётчик недопустимых по паузе перенапряжений</v>
      </c>
      <c r="D618" s="41"/>
    </row>
    <row r="619" spans="1:4" ht="15.75" customHeight="1" x14ac:dyDescent="0.25">
      <c r="A619" s="40">
        <v>618</v>
      </c>
      <c r="B619" s="41" t="s">
        <v>2753</v>
      </c>
      <c r="C619" s="41" t="str">
        <f ca="1">VLOOKUP(B619,lists!A$2:B1000,2)</f>
        <v>Счётчик недопустимых по паузе перенапряжений</v>
      </c>
      <c r="D619" s="41"/>
    </row>
    <row r="620" spans="1:4" ht="15.75" customHeight="1" x14ac:dyDescent="0.25">
      <c r="A620" s="40">
        <v>619</v>
      </c>
      <c r="B620" s="41" t="s">
        <v>2754</v>
      </c>
      <c r="C620" s="41" t="str">
        <f ca="1">VLOOKUP(B620,lists!A$2:B1000,2)</f>
        <v>Счётчик недопустимых по паузе перенапряжений</v>
      </c>
      <c r="D620" s="41"/>
    </row>
    <row r="621" spans="1:4" ht="15.75" customHeight="1" x14ac:dyDescent="0.25">
      <c r="A621" s="40">
        <v>620</v>
      </c>
      <c r="B621" s="41" t="s">
        <v>2755</v>
      </c>
      <c r="C621" s="41" t="str">
        <f ca="1">VLOOKUP(B621,lists!A$2:B1000,2)</f>
        <v>Счётчик недопустимых по паузе перенапряжений</v>
      </c>
      <c r="D621" s="41" t="s">
        <v>2756</v>
      </c>
    </row>
    <row r="622" spans="1:4" ht="15.75" customHeight="1" x14ac:dyDescent="0.25">
      <c r="A622" s="40">
        <v>621</v>
      </c>
      <c r="B622" s="41" t="s">
        <v>2757</v>
      </c>
      <c r="C622" s="41" t="str">
        <f ca="1">VLOOKUP(B622,lists!A$2:B1000,2)</f>
        <v>Положение выключателя</v>
      </c>
      <c r="D622" s="9" t="s">
        <v>2758</v>
      </c>
    </row>
    <row r="623" spans="1:4" ht="15.75" customHeight="1" x14ac:dyDescent="0.25">
      <c r="A623" s="40">
        <v>622</v>
      </c>
      <c r="B623" s="41" t="s">
        <v>2759</v>
      </c>
      <c r="C623" s="41" t="str">
        <f ca="1">VLOOKUP(B623,lists!A$2:B1000,2)</f>
        <v>Положение выключателя</v>
      </c>
      <c r="D623" s="9" t="s">
        <v>2760</v>
      </c>
    </row>
    <row r="624" spans="1:4" ht="15.75" customHeight="1" x14ac:dyDescent="0.25">
      <c r="A624" s="40">
        <v>623</v>
      </c>
      <c r="B624" s="41" t="s">
        <v>2761</v>
      </c>
      <c r="C624" s="41" t="str">
        <f ca="1">VLOOKUP(B624,lists!A$2:B1000,2)</f>
        <v>Верхняя граница тангенса дельта</v>
      </c>
      <c r="D624" s="9" t="s">
        <v>2762</v>
      </c>
    </row>
    <row r="625" spans="1:4" ht="15.75" customHeight="1" x14ac:dyDescent="0.25">
      <c r="A625" s="40">
        <v>624</v>
      </c>
      <c r="B625" s="41" t="s">
        <v>2763</v>
      </c>
      <c r="C625" s="41" t="str">
        <f ca="1">VLOOKUP(B625,lists!A$2:B1000,2)</f>
        <v>Верхняя граница тангенса дельта, ручное</v>
      </c>
      <c r="D625" s="9" t="s">
        <v>2764</v>
      </c>
    </row>
    <row r="626" spans="1:4" ht="15.75" customHeight="1" x14ac:dyDescent="0.25">
      <c r="A626" s="40">
        <v>625</v>
      </c>
      <c r="B626" s="41" t="s">
        <v>2765</v>
      </c>
      <c r="C626" s="41" t="str">
        <f ca="1">VLOOKUP(B626,lists!A$2:B1000,2)</f>
        <v>Положение выключателя</v>
      </c>
      <c r="D626" s="9" t="s">
        <v>2766</v>
      </c>
    </row>
    <row r="627" spans="1:4" ht="15.75" customHeight="1" x14ac:dyDescent="0.25">
      <c r="A627" s="40">
        <v>626</v>
      </c>
      <c r="B627" s="41" t="s">
        <v>2767</v>
      </c>
      <c r="C627" s="41" t="str">
        <f ca="1">VLOOKUP(B627,lists!A$2:B1000,2)</f>
        <v>Положение выключателя</v>
      </c>
      <c r="D627" s="9" t="s">
        <v>2768</v>
      </c>
    </row>
    <row r="628" spans="1:4" ht="15.75" customHeight="1" x14ac:dyDescent="0.25">
      <c r="A628" s="40">
        <v>627</v>
      </c>
      <c r="B628" s="41" t="s">
        <v>2769</v>
      </c>
      <c r="C628" s="41" t="str">
        <f ca="1">VLOOKUP(B628,lists!A$2:B1000,2)</f>
        <v>Положение выключателя</v>
      </c>
      <c r="D628" s="9" t="s">
        <v>2770</v>
      </c>
    </row>
    <row r="629" spans="1:4" ht="15.75" customHeight="1" x14ac:dyDescent="0.25">
      <c r="A629" s="40">
        <v>628</v>
      </c>
      <c r="B629" s="41" t="s">
        <v>2771</v>
      </c>
      <c r="C629" s="41" t="str">
        <f ca="1">VLOOKUP(B629,lists!A$2:B1000,2)</f>
        <v>Положение выключателя</v>
      </c>
      <c r="D629" s="9" t="s">
        <v>2772</v>
      </c>
    </row>
    <row r="630" spans="1:4" ht="15.75" customHeight="1" x14ac:dyDescent="0.25">
      <c r="A630" s="40">
        <v>629</v>
      </c>
      <c r="B630" s="41" t="s">
        <v>2773</v>
      </c>
      <c r="C630" s="41" t="str">
        <f ca="1">VLOOKUP(B630,lists!A$2:B1000,2)</f>
        <v>ДЗ изменения тангенса дельта</v>
      </c>
      <c r="D630" s="9" t="s">
        <v>2774</v>
      </c>
    </row>
    <row r="631" spans="1:4" ht="15.75" customHeight="1" x14ac:dyDescent="0.25">
      <c r="A631" s="40">
        <v>630</v>
      </c>
      <c r="B631" s="41" t="s">
        <v>2775</v>
      </c>
      <c r="C631" s="41" t="str">
        <f ca="1">VLOOKUP(B631,lists!A$2:B1000,2)</f>
        <v>ПДЗ изменения тангенса дельта</v>
      </c>
      <c r="D631" s="9" t="s">
        <v>2776</v>
      </c>
    </row>
    <row r="632" spans="1:4" ht="15.75" customHeight="1" x14ac:dyDescent="0.25">
      <c r="A632" s="40">
        <v>631</v>
      </c>
      <c r="B632" s="41" t="s">
        <v>2777</v>
      </c>
      <c r="C632" s="41" t="str">
        <f ca="1">VLOOKUP(B632,lists!A$2:B1000,2)</f>
        <v>ДЗ изменения тангенса дельта, ручное</v>
      </c>
      <c r="D632" s="9" t="s">
        <v>2778</v>
      </c>
    </row>
    <row r="633" spans="1:4" ht="15.75" customHeight="1" x14ac:dyDescent="0.25">
      <c r="A633" s="40">
        <v>632</v>
      </c>
      <c r="B633" s="41" t="s">
        <v>2779</v>
      </c>
      <c r="C633" s="41" t="str">
        <f ca="1">VLOOKUP(B633,lists!A$2:B1000,2)</f>
        <v>ПДЗ изменения тангенса дельта, ручное</v>
      </c>
      <c r="D633" s="9" t="s">
        <v>2780</v>
      </c>
    </row>
    <row r="634" spans="1:4" ht="15.75" customHeight="1" x14ac:dyDescent="0.25">
      <c r="A634" s="40">
        <v>633</v>
      </c>
      <c r="B634" s="41" t="s">
        <v>2781</v>
      </c>
      <c r="C634" s="41" t="str">
        <f ca="1">VLOOKUP(B634,lists!A$2:B1000,2)</f>
        <v>Счётчик недопустимых по паузе перенапряжений</v>
      </c>
      <c r="D634" s="13" t="s">
        <v>2782</v>
      </c>
    </row>
    <row r="635" spans="1:4" ht="15.75" customHeight="1" x14ac:dyDescent="0.25">
      <c r="A635" s="40">
        <v>634</v>
      </c>
      <c r="B635" s="41" t="s">
        <v>2783</v>
      </c>
      <c r="C635" s="41" t="str">
        <f ca="1">VLOOKUP(B635,lists!A$2:B1000,2)</f>
        <v>Счётчик недопустимых по паузе перенапряжений</v>
      </c>
      <c r="D635" s="13" t="s">
        <v>2784</v>
      </c>
    </row>
    <row r="636" spans="1:4" ht="15.75" customHeight="1" x14ac:dyDescent="0.25">
      <c r="A636" s="40">
        <v>635</v>
      </c>
      <c r="B636" s="41" t="s">
        <v>2785</v>
      </c>
      <c r="C636" s="41" t="str">
        <f ca="1">VLOOKUP(B636,lists!A$2:B1000,2)</f>
        <v>Счётчик недопустимых по паузе перенапряжений</v>
      </c>
      <c r="D636" s="13" t="s">
        <v>2786</v>
      </c>
    </row>
    <row r="637" spans="1:4" ht="15.75" customHeight="1" x14ac:dyDescent="0.25">
      <c r="A637" s="40">
        <v>636</v>
      </c>
      <c r="B637" s="41" t="s">
        <v>2787</v>
      </c>
      <c r="C637" s="41" t="str">
        <f ca="1">VLOOKUP(B637,lists!A$2:B1000,2)</f>
        <v>Счётчик недопустимых по паузе перенапряжений</v>
      </c>
      <c r="D637" s="13" t="s">
        <v>2788</v>
      </c>
    </row>
    <row r="638" spans="1:4" ht="15.75" customHeight="1" x14ac:dyDescent="0.25">
      <c r="A638" s="40">
        <v>637</v>
      </c>
      <c r="B638" s="41" t="s">
        <v>2789</v>
      </c>
      <c r="C638" s="41" t="str">
        <f ca="1">VLOOKUP(B638,lists!A$2:B1000,2)</f>
        <v>ДЗ активности ЧР</v>
      </c>
      <c r="D638" s="41"/>
    </row>
    <row r="639" spans="1:4" ht="15.75" customHeight="1" x14ac:dyDescent="0.25">
      <c r="A639" s="40">
        <v>638</v>
      </c>
      <c r="B639" s="41" t="s">
        <v>2790</v>
      </c>
      <c r="C639" s="41" t="str">
        <f ca="1">VLOOKUP(B639,lists!A$2:B1000,2)</f>
        <v>ПДЗ активности ЧР</v>
      </c>
      <c r="D639" s="41"/>
    </row>
    <row r="640" spans="1:4" ht="15.75" customHeight="1" x14ac:dyDescent="0.25">
      <c r="A640" s="40">
        <v>639</v>
      </c>
      <c r="B640" s="41" t="s">
        <v>2791</v>
      </c>
      <c r="C640" s="41" t="str">
        <f ca="1">VLOOKUP(B640,lists!A$2:B1000,2)</f>
        <v>Тангенс для 20 град. ввод ВН, фаза A</v>
      </c>
      <c r="D640" s="41"/>
    </row>
    <row r="641" spans="1:4" ht="15.75" customHeight="1" x14ac:dyDescent="0.25">
      <c r="A641" s="40">
        <v>640</v>
      </c>
      <c r="B641" s="41" t="s">
        <v>2792</v>
      </c>
      <c r="C641" s="41" t="str">
        <f ca="1">VLOOKUP(B641,lists!A$2:B1000,2)</f>
        <v>Тангенс для 20 град. ввод ВН, фаза B</v>
      </c>
      <c r="D641" s="41"/>
    </row>
    <row r="642" spans="1:4" ht="15.75" customHeight="1" x14ac:dyDescent="0.25">
      <c r="A642" s="40">
        <v>641</v>
      </c>
      <c r="B642" s="41" t="s">
        <v>2793</v>
      </c>
      <c r="C642" s="41" t="str">
        <f ca="1">VLOOKUP(B642,lists!A$2:B1000,2)</f>
        <v>Тангенс для 20 град. ввод ВН, фаза C</v>
      </c>
      <c r="D642" s="41"/>
    </row>
    <row r="643" spans="1:4" ht="15.75" customHeight="1" x14ac:dyDescent="0.25">
      <c r="A643" s="40">
        <v>642</v>
      </c>
      <c r="B643" s="41" t="s">
        <v>2794</v>
      </c>
      <c r="C643" s="41" t="str">
        <f ca="1">VLOOKUP(B643,lists!A$2:B1000,2)</f>
        <v>Положение выключателя</v>
      </c>
      <c r="D643" s="41"/>
    </row>
    <row r="644" spans="1:4" ht="15.75" customHeight="1" x14ac:dyDescent="0.25">
      <c r="A644" s="40">
        <v>643</v>
      </c>
      <c r="B644" s="41" t="s">
        <v>2795</v>
      </c>
      <c r="C644" s="41" t="str">
        <f ca="1">VLOOKUP(B644,lists!A$2:B1000,2)</f>
        <v>Положение выключателя</v>
      </c>
      <c r="D644" s="41"/>
    </row>
    <row r="645" spans="1:4" ht="15.75" customHeight="1" x14ac:dyDescent="0.25">
      <c r="A645" s="40">
        <v>644</v>
      </c>
      <c r="B645" s="41" t="s">
        <v>2796</v>
      </c>
      <c r="C645" s="41" t="str">
        <f ca="1">VLOOKUP(B645,lists!A$2:B1000,2)</f>
        <v>Положение выключателя</v>
      </c>
      <c r="D645" s="41"/>
    </row>
    <row r="646" spans="1:4" ht="15.75" customHeight="1" x14ac:dyDescent="0.25">
      <c r="A646" s="40">
        <v>645</v>
      </c>
      <c r="B646" s="41" t="s">
        <v>2797</v>
      </c>
      <c r="C646" s="41" t="str">
        <f ca="1">VLOOKUP(B646,lists!A$2:B1000,2)</f>
        <v>Счётчик недопустимых по паузе перенапряжений</v>
      </c>
      <c r="D646" s="41"/>
    </row>
    <row r="647" spans="1:4" ht="15.75" customHeight="1" x14ac:dyDescent="0.25">
      <c r="A647" s="40">
        <v>646</v>
      </c>
      <c r="B647" s="41" t="s">
        <v>2798</v>
      </c>
      <c r="C647" s="41" t="str">
        <f ca="1">VLOOKUP(B647,lists!A$2:B1000,2)</f>
        <v>Счётчик недопустимых по паузе перенапряжений</v>
      </c>
      <c r="D647" s="41"/>
    </row>
    <row r="648" spans="1:4" ht="15.75" customHeight="1" x14ac:dyDescent="0.25">
      <c r="A648" s="40">
        <v>647</v>
      </c>
      <c r="B648" s="41" t="s">
        <v>2799</v>
      </c>
      <c r="C648" s="41" t="str">
        <f ca="1">VLOOKUP(B648,lists!A$2:B1000,2)</f>
        <v>Счётчик недопустимых по паузе перенапряжений</v>
      </c>
      <c r="D648" s="41"/>
    </row>
    <row r="649" spans="1:4" ht="15.75" customHeight="1" x14ac:dyDescent="0.25">
      <c r="A649" s="40">
        <v>648</v>
      </c>
      <c r="B649" s="41" t="s">
        <v>2800</v>
      </c>
      <c r="C649" s="41" t="str">
        <f ca="1">VLOOKUP(B649,lists!A$2:B1000,2)</f>
        <v>Счётчик недопустимых по паузе перенапряжений</v>
      </c>
      <c r="D649" s="41"/>
    </row>
    <row r="650" spans="1:4" ht="15.75" customHeight="1" x14ac:dyDescent="0.25">
      <c r="A650" s="40">
        <v>649</v>
      </c>
      <c r="B650" s="41" t="s">
        <v>2801</v>
      </c>
      <c r="C650" s="41" t="str">
        <f ca="1">VLOOKUP(B650,lists!A$2:B1000,2)</f>
        <v>Счётчик недопустимых по паузе перенапряжений</v>
      </c>
      <c r="D650" s="41"/>
    </row>
    <row r="651" spans="1:4" ht="15.75" customHeight="1" x14ac:dyDescent="0.25">
      <c r="A651" s="40">
        <v>650</v>
      </c>
      <c r="B651" s="41" t="s">
        <v>2802</v>
      </c>
      <c r="C651" s="41" t="str">
        <f ca="1">VLOOKUP(B651,lists!A$2:B1000,2)</f>
        <v>Счётчик недопустимых по паузе перенапряжений</v>
      </c>
      <c r="D651" s="41"/>
    </row>
    <row r="652" spans="1:4" ht="15.75" customHeight="1" x14ac:dyDescent="0.25">
      <c r="A652" s="40">
        <v>651</v>
      </c>
      <c r="B652" s="41" t="s">
        <v>2803</v>
      </c>
      <c r="C652" s="41" t="str">
        <f ca="1">VLOOKUP(B652,lists!A$2:B1000,2)</f>
        <v>Счётчик недопустимых по паузе перенапряжений</v>
      </c>
      <c r="D652" s="41"/>
    </row>
    <row r="653" spans="1:4" ht="15.75" customHeight="1" x14ac:dyDescent="0.25">
      <c r="A653" s="40">
        <v>652</v>
      </c>
      <c r="B653" s="41" t="s">
        <v>2804</v>
      </c>
      <c r="C653" s="41" t="str">
        <f ca="1">VLOOKUP(B653,lists!A$2:B1000,2)</f>
        <v>Счётчик недопустимых по паузе перенапряжений</v>
      </c>
      <c r="D653" s="41"/>
    </row>
    <row r="654" spans="1:4" ht="15.75" customHeight="1" x14ac:dyDescent="0.25">
      <c r="A654" s="40">
        <v>653</v>
      </c>
      <c r="B654" s="41" t="s">
        <v>2805</v>
      </c>
      <c r="C654" s="41" t="str">
        <f ca="1">VLOOKUP(B654,lists!A$2:B1000,2)</f>
        <v>Счётчик недопустимых по паузе перенапряжений</v>
      </c>
      <c r="D654" s="41"/>
    </row>
    <row r="655" spans="1:4" ht="15.75" customHeight="1" x14ac:dyDescent="0.25">
      <c r="A655" s="40">
        <v>654</v>
      </c>
      <c r="B655" s="41" t="s">
        <v>2806</v>
      </c>
      <c r="C655" s="41" t="str">
        <f ca="1">VLOOKUP(B655,lists!A$2:B1000,2)</f>
        <v>Счётчик недопустимых по паузе перенапряжений</v>
      </c>
      <c r="D655" s="41"/>
    </row>
    <row r="656" spans="1:4" ht="15.75" customHeight="1" x14ac:dyDescent="0.25">
      <c r="A656" s="40">
        <v>655</v>
      </c>
      <c r="B656" s="41" t="s">
        <v>2807</v>
      </c>
      <c r="C656" s="41" t="str">
        <f ca="1">VLOOKUP(B656,lists!A$2:B1000,2)</f>
        <v>Счётчик недопустимых по паузе перенапряжений</v>
      </c>
      <c r="D656" s="41"/>
    </row>
    <row r="657" spans="1:4" ht="15.75" customHeight="1" x14ac:dyDescent="0.25">
      <c r="A657" s="40">
        <v>656</v>
      </c>
      <c r="B657" s="41" t="s">
        <v>2808</v>
      </c>
      <c r="C657" s="41" t="str">
        <f ca="1">VLOOKUP(B657,lists!A$2:B1000,2)</f>
        <v>Счётчик недопустимых по паузе перенапряжений</v>
      </c>
      <c r="D657" s="41"/>
    </row>
    <row r="658" spans="1:4" ht="15.75" customHeight="1" x14ac:dyDescent="0.25">
      <c r="A658" s="40">
        <v>657</v>
      </c>
      <c r="B658" s="41" t="s">
        <v>2809</v>
      </c>
      <c r="C658" s="41" t="str">
        <f ca="1">VLOOKUP(B658,lists!A$2:B1000,2)</f>
        <v>Счётчик недопустимых по паузе перенапряжений</v>
      </c>
      <c r="D658" s="41"/>
    </row>
    <row r="659" spans="1:4" ht="15.75" customHeight="1" x14ac:dyDescent="0.25">
      <c r="A659" s="40">
        <v>658</v>
      </c>
      <c r="B659" s="41" t="s">
        <v>2810</v>
      </c>
      <c r="C659" s="41" t="str">
        <f ca="1">VLOOKUP(B659,lists!A$2:B1000,2)</f>
        <v>Счётчик недопустимых по паузе перенапряжений</v>
      </c>
      <c r="D659" s="41"/>
    </row>
    <row r="660" spans="1:4" ht="15.75" customHeight="1" x14ac:dyDescent="0.25">
      <c r="A660" s="40">
        <v>659</v>
      </c>
      <c r="B660" s="41" t="s">
        <v>2811</v>
      </c>
      <c r="C660" s="41" t="str">
        <f ca="1">VLOOKUP(B660,lists!A$2:B1000,2)</f>
        <v>Счётчик недопустимых по паузе перенапряжений</v>
      </c>
      <c r="D660" s="41"/>
    </row>
    <row r="661" spans="1:4" ht="15.75" customHeight="1" x14ac:dyDescent="0.25">
      <c r="A661" s="40">
        <v>660</v>
      </c>
      <c r="B661" s="41" t="s">
        <v>2812</v>
      </c>
      <c r="C661" s="41" t="str">
        <f ca="1">VLOOKUP(B661,lists!A$2:B1000,2)</f>
        <v>Счётчик недопустимых по паузе перенапряжений</v>
      </c>
      <c r="D661" s="41" t="s">
        <v>2813</v>
      </c>
    </row>
    <row r="662" spans="1:4" ht="15.75" customHeight="1" x14ac:dyDescent="0.25">
      <c r="A662" s="40">
        <v>661</v>
      </c>
      <c r="B662" s="41" t="s">
        <v>2814</v>
      </c>
      <c r="C662" s="41" t="str">
        <f ca="1">VLOOKUP(B662,lists!A$2:B1000,2)</f>
        <v>Счётчик недопустимых по паузе перенапряжений</v>
      </c>
      <c r="D662" s="41" t="s">
        <v>2815</v>
      </c>
    </row>
    <row r="663" spans="1:4" ht="15.75" customHeight="1" x14ac:dyDescent="0.25">
      <c r="A663" s="40">
        <v>662</v>
      </c>
      <c r="B663" s="41" t="s">
        <v>2816</v>
      </c>
      <c r="C663" s="41" t="str">
        <f ca="1">VLOOKUP(B663,lists!A$2:B1000,2)</f>
        <v>Счётчик недопустимых по паузе перенапряжений</v>
      </c>
      <c r="D663" s="41" t="s">
        <v>2817</v>
      </c>
    </row>
    <row r="664" spans="1:4" ht="15.75" customHeight="1" x14ac:dyDescent="0.25">
      <c r="A664" s="40">
        <v>663</v>
      </c>
      <c r="B664" s="41" t="s">
        <v>2818</v>
      </c>
      <c r="C664" s="41" t="str">
        <f ca="1">VLOOKUP(B664,lists!A$2:B1000,2)</f>
        <v>Счётчик недопустимых по паузе перенапряжений</v>
      </c>
      <c r="D664" s="41" t="s">
        <v>2819</v>
      </c>
    </row>
    <row r="665" spans="1:4" ht="15.75" customHeight="1" x14ac:dyDescent="0.25">
      <c r="A665" s="40">
        <v>664</v>
      </c>
      <c r="B665" s="41" t="s">
        <v>2820</v>
      </c>
      <c r="C665" s="41" t="str">
        <f ca="1">VLOOKUP(B665,lists!A$2:B1000,2)</f>
        <v>Счётчик недопустимых по паузе перенапряжений</v>
      </c>
      <c r="D665" s="9" t="s">
        <v>2821</v>
      </c>
    </row>
    <row r="666" spans="1:4" ht="15.75" customHeight="1" x14ac:dyDescent="0.25">
      <c r="A666" s="40">
        <v>665</v>
      </c>
      <c r="B666" s="41" t="s">
        <v>2822</v>
      </c>
      <c r="C666" s="41" t="str">
        <f ca="1">VLOOKUP(B666,lists!A$2:B1000,2)</f>
        <v>Счётчик недопустимых по паузе перенапряжений</v>
      </c>
      <c r="D666" s="9" t="s">
        <v>2823</v>
      </c>
    </row>
    <row r="667" spans="1:4" ht="15.75" customHeight="1" x14ac:dyDescent="0.25">
      <c r="A667" s="40">
        <v>666</v>
      </c>
      <c r="B667" s="41" t="s">
        <v>2824</v>
      </c>
      <c r="C667" s="41" t="str">
        <f ca="1">VLOOKUP(B667,lists!A$2:B1000,2)</f>
        <v>Счётчик недопустимых по паузе перенапряжений</v>
      </c>
      <c r="D667" s="41"/>
    </row>
    <row r="668" spans="1:4" ht="15.75" customHeight="1" x14ac:dyDescent="0.25">
      <c r="A668" s="40">
        <v>667</v>
      </c>
      <c r="B668" s="41" t="s">
        <v>2825</v>
      </c>
      <c r="C668" s="41" t="str">
        <f ca="1">VLOOKUP(B668,lists!A$2:B1000,2)</f>
        <v>Счётчик недопустимых по паузе перенапряжений</v>
      </c>
      <c r="D668" s="41"/>
    </row>
    <row r="669" spans="1:4" ht="15.75" customHeight="1" x14ac:dyDescent="0.25">
      <c r="A669" s="40">
        <v>668</v>
      </c>
      <c r="B669" s="41" t="s">
        <v>2826</v>
      </c>
      <c r="C669" s="41" t="str">
        <f ca="1">VLOOKUP(B669,lists!A$2:B1000,2)</f>
        <v>ДЗ скорости износа</v>
      </c>
      <c r="D669" s="9" t="s">
        <v>2827</v>
      </c>
    </row>
    <row r="670" spans="1:4" ht="15.75" customHeight="1" x14ac:dyDescent="0.25">
      <c r="A670" s="40">
        <v>669</v>
      </c>
      <c r="B670" s="41" t="s">
        <v>2828</v>
      </c>
      <c r="C670" s="41" t="str">
        <f ca="1">VLOOKUP(B670,lists!A$2:B1000,2)</f>
        <v>ПДЗ скорости износа</v>
      </c>
      <c r="D670" s="9" t="s">
        <v>2829</v>
      </c>
    </row>
    <row r="671" spans="1:4" ht="15.75" customHeight="1" x14ac:dyDescent="0.25">
      <c r="A671" s="40">
        <v>670</v>
      </c>
      <c r="B671" s="41" t="s">
        <v>2830</v>
      </c>
      <c r="C671" s="41" t="str">
        <f ca="1">VLOOKUP(B671,lists!A$2:B1000,2)</f>
        <v>ДЗ скорости износа, ручное</v>
      </c>
      <c r="D671" s="9" t="s">
        <v>2831</v>
      </c>
    </row>
    <row r="672" spans="1:4" ht="15.75" customHeight="1" x14ac:dyDescent="0.25">
      <c r="A672" s="40">
        <v>671</v>
      </c>
      <c r="B672" s="41" t="s">
        <v>2832</v>
      </c>
      <c r="C672" s="41" t="str">
        <f ca="1">VLOOKUP(B672,lists!A$2:B1000,2)</f>
        <v>ПДЗ скорости износа, ручное</v>
      </c>
      <c r="D672" s="9" t="s">
        <v>2833</v>
      </c>
    </row>
    <row r="673" spans="1:4" ht="15.75" customHeight="1" x14ac:dyDescent="0.25">
      <c r="A673" s="40">
        <v>672</v>
      </c>
      <c r="B673" s="41" t="s">
        <v>2834</v>
      </c>
      <c r="C673" s="41" t="str">
        <f ca="1">VLOOKUP(B673,lists!A$2:B1000,2)</f>
        <v>Счётчик недопустимых по паузе перенапряжений</v>
      </c>
      <c r="D673" s="9" t="s">
        <v>2835</v>
      </c>
    </row>
    <row r="674" spans="1:4" ht="15.75" customHeight="1" x14ac:dyDescent="0.25">
      <c r="A674" s="40">
        <v>673</v>
      </c>
      <c r="B674" s="41" t="s">
        <v>2836</v>
      </c>
      <c r="C674" s="41" t="str">
        <f ca="1">VLOOKUP(B674,lists!A$2:B1000,2)</f>
        <v>Счётчик недопустимых по паузе перенапряжений</v>
      </c>
      <c r="D674" s="9" t="s">
        <v>2837</v>
      </c>
    </row>
    <row r="675" spans="1:4" ht="15.75" customHeight="1" x14ac:dyDescent="0.25">
      <c r="A675" s="40">
        <v>674</v>
      </c>
      <c r="B675" s="41" t="s">
        <v>2838</v>
      </c>
      <c r="C675" s="41" t="str">
        <f ca="1">VLOOKUP(B675,lists!A$2:B1000,2)</f>
        <v>Счётчик недопустимых по паузе перенапряжений</v>
      </c>
      <c r="D675" s="41"/>
    </row>
    <row r="676" spans="1:4" ht="15.75" customHeight="1" x14ac:dyDescent="0.25">
      <c r="A676" s="40">
        <v>675</v>
      </c>
      <c r="B676" s="41" t="s">
        <v>2839</v>
      </c>
      <c r="C676" s="41" t="str">
        <f ca="1">VLOOKUP(B676,lists!A$2:B1000,2)</f>
        <v>Счётчик недопустимых по паузе перенапряжений</v>
      </c>
      <c r="D676" s="41"/>
    </row>
    <row r="677" spans="1:4" ht="15.75" customHeight="1" x14ac:dyDescent="0.25">
      <c r="A677" s="40">
        <v>676</v>
      </c>
      <c r="B677" s="41" t="s">
        <v>2840</v>
      </c>
      <c r="C677" s="41" t="str">
        <f ca="1">VLOOKUP(B677,lists!A$2:B1000,2)</f>
        <v>Счётчик недопустимых по паузе перенапряжений</v>
      </c>
      <c r="D677" s="41" t="s">
        <v>2841</v>
      </c>
    </row>
    <row r="678" spans="1:4" ht="15.75" customHeight="1" x14ac:dyDescent="0.25">
      <c r="A678" s="40">
        <v>677</v>
      </c>
      <c r="B678" s="41" t="s">
        <v>2842</v>
      </c>
      <c r="C678" s="41" t="str">
        <f ca="1">VLOOKUP(B678,lists!A$2:B1000,2)</f>
        <v>Счётчик недопустимых по паузе перенапряжений</v>
      </c>
      <c r="D678" s="41" t="s">
        <v>2843</v>
      </c>
    </row>
    <row r="679" spans="1:4" ht="15.75" customHeight="1" x14ac:dyDescent="0.25">
      <c r="A679" s="40">
        <v>678</v>
      </c>
      <c r="B679" s="41" t="s">
        <v>2844</v>
      </c>
      <c r="C679" s="41" t="str">
        <f ca="1">VLOOKUP(B679,lists!A$2:B1000,2)</f>
        <v>Счётчик недопустимых по паузе перенапряжений</v>
      </c>
      <c r="D679" s="13" t="s">
        <v>2845</v>
      </c>
    </row>
    <row r="680" spans="1:4" ht="15.75" customHeight="1" x14ac:dyDescent="0.25">
      <c r="A680" s="40">
        <v>679</v>
      </c>
      <c r="B680" s="41" t="s">
        <v>2846</v>
      </c>
      <c r="C680" s="41" t="str">
        <f ca="1">VLOOKUP(B680,lists!A$2:B1000,2)</f>
        <v>Счётчик недопустимых по паузе перенапряжений</v>
      </c>
      <c r="D680" s="13" t="s">
        <v>2847</v>
      </c>
    </row>
    <row r="681" spans="1:4" ht="15.75" customHeight="1" x14ac:dyDescent="0.25">
      <c r="A681" s="40">
        <v>680</v>
      </c>
      <c r="B681" s="41" t="s">
        <v>2848</v>
      </c>
      <c r="C681" s="41" t="str">
        <f ca="1">VLOOKUP(B681,lists!A$2:B1000,2)</f>
        <v>Счётчик недопустимых по паузе перенапряжений</v>
      </c>
      <c r="D681" s="41"/>
    </row>
    <row r="682" spans="1:4" ht="15.75" customHeight="1" x14ac:dyDescent="0.25">
      <c r="A682" s="40">
        <v>681</v>
      </c>
      <c r="B682" s="41" t="s">
        <v>2849</v>
      </c>
      <c r="C682" s="41" t="str">
        <f ca="1">VLOOKUP(B682,lists!A$2:B1000,2)</f>
        <v>Счётчик недопустимых по паузе перенапряжений</v>
      </c>
      <c r="D682" s="41"/>
    </row>
    <row r="683" spans="1:4" ht="15.75" customHeight="1" x14ac:dyDescent="0.25">
      <c r="A683" s="40">
        <v>682</v>
      </c>
      <c r="B683" s="41" t="s">
        <v>1901</v>
      </c>
      <c r="C683" s="41" t="str">
        <f ca="1">VLOOKUP(B683,lists!A$2:B1000,2)</f>
        <v>Счётчик недопустимых по паузе перенапряжений</v>
      </c>
      <c r="D683" s="41"/>
    </row>
    <row r="684" spans="1:4" ht="15.75" customHeight="1" x14ac:dyDescent="0.25">
      <c r="A684" s="40">
        <v>683</v>
      </c>
      <c r="B684" s="41" t="s">
        <v>2850</v>
      </c>
      <c r="C684" s="41" t="str">
        <f ca="1">VLOOKUP(B684,lists!A$2:B1000,2)</f>
        <v>Счётчик недопустимых по паузе перенапряжений</v>
      </c>
      <c r="D684" s="41"/>
    </row>
    <row r="685" spans="1:4" ht="15.75" customHeight="1" x14ac:dyDescent="0.25">
      <c r="A685" s="40">
        <v>684</v>
      </c>
      <c r="B685" s="41" t="s">
        <v>2851</v>
      </c>
      <c r="C685" s="41" t="str">
        <f ca="1">VLOOKUP(B685,lists!A$2:B1000,2)</f>
        <v>Счётчик недопустимых по паузе перенапряжений</v>
      </c>
      <c r="D685" s="41"/>
    </row>
    <row r="686" spans="1:4" ht="15.75" customHeight="1" x14ac:dyDescent="0.25">
      <c r="A686" s="40">
        <v>685</v>
      </c>
      <c r="B686" s="41" t="s">
        <v>2852</v>
      </c>
      <c r="C686" s="41" t="str">
        <f ca="1">VLOOKUP(B686,lists!A$2:B1000,2)</f>
        <v>Счётчик недопустимых по паузе перенапряжений</v>
      </c>
      <c r="D686" s="41"/>
    </row>
    <row r="687" spans="1:4" ht="15.75" customHeight="1" x14ac:dyDescent="0.25">
      <c r="A687" s="40">
        <v>686</v>
      </c>
      <c r="B687" s="41" t="s">
        <v>2853</v>
      </c>
      <c r="C687" s="41" t="str">
        <f ca="1">VLOOKUP(B687,lists!A$2:B1000,2)</f>
        <v>Счётчик недопустимых по паузе перенапряжений</v>
      </c>
      <c r="D687" s="41"/>
    </row>
    <row r="688" spans="1:4" ht="15.75" customHeight="1" x14ac:dyDescent="0.25">
      <c r="A688" s="40">
        <v>687</v>
      </c>
      <c r="B688" s="41" t="s">
        <v>1903</v>
      </c>
      <c r="C688" s="41" t="str">
        <f ca="1">VLOOKUP(B688,lists!A$2:B1000,2)</f>
        <v>Счётчик недопустимых по паузе перенапряжений</v>
      </c>
      <c r="D688" s="41"/>
    </row>
    <row r="689" spans="1:4" ht="15.75" customHeight="1" x14ac:dyDescent="0.25">
      <c r="A689" s="40">
        <v>688</v>
      </c>
      <c r="B689" s="41" t="s">
        <v>2854</v>
      </c>
      <c r="C689" s="41" t="str">
        <f ca="1">VLOOKUP(B689,lists!A$2:B1000,2)</f>
        <v>Счётчик недопустимых по паузе перенапряжений</v>
      </c>
      <c r="D689" s="41"/>
    </row>
    <row r="690" spans="1:4" ht="15.75" customHeight="1" x14ac:dyDescent="0.25">
      <c r="A690" s="40">
        <v>689</v>
      </c>
      <c r="B690" s="41" t="s">
        <v>2855</v>
      </c>
      <c r="C690" s="41" t="str">
        <f ca="1">VLOOKUP(B690,lists!A$2:B1000,2)</f>
        <v>Скорость износа изоляции обобщённая</v>
      </c>
      <c r="D690" s="41"/>
    </row>
    <row r="691" spans="1:4" ht="15.75" customHeight="1" x14ac:dyDescent="0.25">
      <c r="A691" s="40">
        <v>690</v>
      </c>
      <c r="B691" s="41" t="s">
        <v>2856</v>
      </c>
      <c r="C691" s="41" t="str">
        <f ca="1">VLOOKUP(B691,lists!A$2:B1000,2)</f>
        <v>Счётчик недопустимых по паузе перенапряжений</v>
      </c>
      <c r="D691" s="41"/>
    </row>
    <row r="692" spans="1:4" ht="15.75" customHeight="1" x14ac:dyDescent="0.25">
      <c r="A692" s="40">
        <v>691</v>
      </c>
      <c r="B692" s="41" t="s">
        <v>2857</v>
      </c>
      <c r="C692" s="41" t="str">
        <f ca="1">VLOOKUP(B692,lists!A$2:B1000,2)</f>
        <v>Состояние</v>
      </c>
      <c r="D692" s="41" t="s">
        <v>1114</v>
      </c>
    </row>
    <row r="693" spans="1:4" ht="15.75" customHeight="1" x14ac:dyDescent="0.25">
      <c r="A693" s="40">
        <v>692</v>
      </c>
      <c r="B693" s="41" t="s">
        <v>2858</v>
      </c>
      <c r="C693" s="41" t="str">
        <f ca="1">VLOOKUP(B693,lists!A$2:B1000,2)</f>
        <v>Счётчик недопустимых по паузе перенапряжений</v>
      </c>
      <c r="D693" s="41" t="s">
        <v>2859</v>
      </c>
    </row>
    <row r="694" spans="1:4" ht="15.75" customHeight="1" x14ac:dyDescent="0.25">
      <c r="A694" s="40">
        <v>693</v>
      </c>
      <c r="B694" s="45" t="s">
        <v>2860</v>
      </c>
      <c r="C694" s="41" t="str">
        <f ca="1">VLOOKUP(B694,lists!A$2:B1000,2)</f>
        <v>Счётчик недопустимых по паузе перенапряжений</v>
      </c>
      <c r="D694" s="46" t="s">
        <v>2861</v>
      </c>
    </row>
    <row r="695" spans="1:4" ht="15.75" customHeight="1" x14ac:dyDescent="0.25">
      <c r="A695" s="40">
        <v>694</v>
      </c>
      <c r="B695" s="45" t="s">
        <v>2862</v>
      </c>
      <c r="C695" s="41" t="str">
        <f ca="1">VLOOKUP(B695,lists!A$2:B1000,2)</f>
        <v>Счётчик недопустимых по паузе перенапряжений</v>
      </c>
      <c r="D695" s="47" t="s">
        <v>2863</v>
      </c>
    </row>
    <row r="696" spans="1:4" ht="15.75" customHeight="1" x14ac:dyDescent="0.25">
      <c r="A696" s="40">
        <v>695</v>
      </c>
      <c r="B696" s="45" t="s">
        <v>2864</v>
      </c>
      <c r="C696" s="41" t="str">
        <f ca="1">VLOOKUP(B696,lists!A$2:B1000,2)</f>
        <v>Счётчик недопустимых по паузе перенапряжений</v>
      </c>
      <c r="D696" s="46" t="s">
        <v>2865</v>
      </c>
    </row>
    <row r="697" spans="1:4" ht="15.75" customHeight="1" x14ac:dyDescent="0.25">
      <c r="A697" s="40">
        <v>696</v>
      </c>
      <c r="B697" s="45" t="s">
        <v>2866</v>
      </c>
      <c r="C697" s="41" t="str">
        <f ca="1">VLOOKUP(B697,lists!A$2:B1000,2)</f>
        <v>Счётчик недопустимых по паузе перенапряжений</v>
      </c>
      <c r="D697" s="46" t="s">
        <v>2867</v>
      </c>
    </row>
    <row r="698" spans="1:4" ht="15.75" customHeight="1" x14ac:dyDescent="0.25">
      <c r="A698" s="40">
        <v>697</v>
      </c>
      <c r="B698" s="45" t="s">
        <v>2868</v>
      </c>
      <c r="C698" s="41" t="str">
        <f ca="1">VLOOKUP(B698,lists!A$2:B1000,2)</f>
        <v>Счётчик недопустимых по паузе перенапряжений</v>
      </c>
      <c r="D698" s="46" t="s">
        <v>2869</v>
      </c>
    </row>
    <row r="699" spans="1:4" ht="15.75" customHeight="1" x14ac:dyDescent="0.25">
      <c r="A699" s="40">
        <v>698</v>
      </c>
      <c r="B699" s="45" t="s">
        <v>2870</v>
      </c>
      <c r="C699" s="41" t="str">
        <f ca="1">VLOOKUP(B699,lists!A$2:B1000,2)</f>
        <v>Счётчик недопустимых по паузе перенапряжений</v>
      </c>
      <c r="D699" s="47" t="s">
        <v>2871</v>
      </c>
    </row>
    <row r="700" spans="1:4" ht="15.75" customHeight="1" x14ac:dyDescent="0.25">
      <c r="A700" s="40">
        <v>699</v>
      </c>
      <c r="B700" s="45" t="s">
        <v>2872</v>
      </c>
      <c r="C700" s="41" t="str">
        <f ca="1">VLOOKUP(B700,lists!A$2:B1000,2)</f>
        <v>Счётчик недопустимых по паузе перенапряжений</v>
      </c>
      <c r="D700" s="46" t="s">
        <v>2873</v>
      </c>
    </row>
    <row r="701" spans="1:4" ht="15.75" customHeight="1" x14ac:dyDescent="0.25">
      <c r="A701" s="40">
        <v>700</v>
      </c>
      <c r="B701" s="45" t="s">
        <v>2874</v>
      </c>
      <c r="C701" s="41" t="str">
        <f ca="1">VLOOKUP(B701,lists!A$2:B1000,2)</f>
        <v>Счётчик недопустимых по паузе перенапряжений</v>
      </c>
      <c r="D701" s="46" t="s">
        <v>2875</v>
      </c>
    </row>
    <row r="702" spans="1:4" ht="15.75" customHeight="1" x14ac:dyDescent="0.25">
      <c r="A702" s="40">
        <v>701</v>
      </c>
      <c r="B702" s="41" t="s">
        <v>2876</v>
      </c>
      <c r="C702" s="41" t="str">
        <f ca="1">VLOOKUP(B702,lists!A$2:B1000,2)</f>
        <v>Счётчик недопустимых по паузе перенапряжений</v>
      </c>
      <c r="D702" s="41"/>
    </row>
    <row r="703" spans="1:4" ht="15.75" customHeight="1" x14ac:dyDescent="0.25">
      <c r="A703" s="40">
        <v>702</v>
      </c>
      <c r="B703" s="41" t="s">
        <v>2877</v>
      </c>
      <c r="C703" s="41" t="str">
        <f ca="1">VLOOKUP(B703,lists!A$2:B1000,2)</f>
        <v>Счётчик недопустимых по паузе перенапряжений</v>
      </c>
      <c r="D703" s="41"/>
    </row>
    <row r="704" spans="1:4" ht="15.75" customHeight="1" x14ac:dyDescent="0.25">
      <c r="A704" s="40">
        <v>703</v>
      </c>
      <c r="B704" s="41" t="s">
        <v>2878</v>
      </c>
      <c r="C704" s="41" t="str">
        <f ca="1">VLOOKUP(B704,lists!A$2:B1000,2)</f>
        <v>Счётчик недопустимых по паузе перенапряжений</v>
      </c>
      <c r="D704" s="41"/>
    </row>
    <row r="705" spans="1:4" ht="15.75" customHeight="1" x14ac:dyDescent="0.25">
      <c r="A705" s="40">
        <v>704</v>
      </c>
      <c r="B705" s="41" t="s">
        <v>2879</v>
      </c>
      <c r="C705" s="41" t="str">
        <f ca="1">VLOOKUP(B705,lists!A$2:B1000,2)</f>
        <v>Счётчик недопустимых по паузе перенапряжений</v>
      </c>
      <c r="D705" s="41"/>
    </row>
    <row r="706" spans="1:4" ht="15.75" customHeight="1" x14ac:dyDescent="0.25">
      <c r="A706" s="40">
        <v>705</v>
      </c>
      <c r="B706" s="41" t="s">
        <v>2880</v>
      </c>
      <c r="C706" s="41" t="str">
        <f ca="1">VLOOKUP(B706,lists!A$2:B1000,2)</f>
        <v>Счётчик недопустимых по паузе перенапряжений</v>
      </c>
      <c r="D706" s="41"/>
    </row>
    <row r="707" spans="1:4" ht="15.75" customHeight="1" x14ac:dyDescent="0.25">
      <c r="A707" s="40">
        <v>706</v>
      </c>
      <c r="B707" s="41" t="s">
        <v>2881</v>
      </c>
      <c r="C707" s="41" t="str">
        <f ca="1">VLOOKUP(B707,lists!A$2:B1000,2)</f>
        <v>Счётчик недопустимых по паузе перенапряжений</v>
      </c>
      <c r="D707" s="41" t="s">
        <v>2882</v>
      </c>
    </row>
    <row r="708" spans="1:4" ht="15.75" customHeight="1" x14ac:dyDescent="0.25">
      <c r="A708" s="40">
        <v>707</v>
      </c>
      <c r="B708" s="41" t="s">
        <v>2883</v>
      </c>
      <c r="C708" s="41" t="str">
        <f ca="1">VLOOKUP(B708,lists!A$2:B1000,2)</f>
        <v>Счётчик недопустимых по паузе перенапряжений</v>
      </c>
      <c r="D708" s="41" t="s">
        <v>2884</v>
      </c>
    </row>
    <row r="709" spans="1:4" ht="15.75" customHeight="1" x14ac:dyDescent="0.25">
      <c r="A709" s="40">
        <v>708</v>
      </c>
      <c r="B709" s="41" t="s">
        <v>2885</v>
      </c>
      <c r="C709" s="41" t="str">
        <f ca="1">VLOOKUP(B709,lists!A$2:B1000,2)</f>
        <v>Счётчик недопустимых по паузе перенапряжений</v>
      </c>
      <c r="D709" s="41" t="s">
        <v>2886</v>
      </c>
    </row>
    <row r="710" spans="1:4" ht="15.75" customHeight="1" x14ac:dyDescent="0.25">
      <c r="A710" s="40">
        <v>709</v>
      </c>
      <c r="B710" s="41" t="s">
        <v>2887</v>
      </c>
      <c r="C710" s="41" t="str">
        <f ca="1">VLOOKUP(B710,lists!A$2:B1000,2)</f>
        <v>Счётчик недопустимых по паузе перенапряжений</v>
      </c>
      <c r="D710" s="41"/>
    </row>
    <row r="711" spans="1:4" ht="15.75" customHeight="1" x14ac:dyDescent="0.25">
      <c r="A711" s="40">
        <v>710</v>
      </c>
      <c r="B711" s="41" t="s">
        <v>2888</v>
      </c>
      <c r="C711" s="41" t="str">
        <f ca="1">VLOOKUP(B711,lists!A$2:B1000,2)</f>
        <v>Счётчик недопустимых по паузе перенапряжений</v>
      </c>
      <c r="D711" s="41"/>
    </row>
    <row r="712" spans="1:4" ht="15.75" customHeight="1" x14ac:dyDescent="0.25">
      <c r="A712" s="40">
        <v>711</v>
      </c>
      <c r="B712" s="41" t="s">
        <v>2889</v>
      </c>
      <c r="C712" s="41" t="str">
        <f ca="1">VLOOKUP(B712,lists!A$2:B1000,2)</f>
        <v>Счётчик недопустимых по паузе перенапряжений</v>
      </c>
      <c r="D712" s="41"/>
    </row>
    <row r="713" spans="1:4" ht="15.75" customHeight="1" x14ac:dyDescent="0.25">
      <c r="A713" s="40">
        <v>712</v>
      </c>
      <c r="B713" s="41" t="s">
        <v>2890</v>
      </c>
      <c r="C713" s="41" t="str">
        <f ca="1">VLOOKUP(B713,lists!A$2:B1000,2)</f>
        <v>Счётчик недопустимых по паузе перенапряжений</v>
      </c>
      <c r="D713" s="41" t="s">
        <v>2891</v>
      </c>
    </row>
    <row r="714" spans="1:4" ht="15.75" customHeight="1" x14ac:dyDescent="0.25">
      <c r="A714" s="40">
        <v>713</v>
      </c>
      <c r="B714" s="41" t="s">
        <v>2892</v>
      </c>
      <c r="C714" s="41" t="str">
        <f ca="1">VLOOKUP(B714,lists!A$2:B1000,2)</f>
        <v>Счётчик недопустимых по паузе перенапряжений</v>
      </c>
      <c r="D714" s="41" t="s">
        <v>2893</v>
      </c>
    </row>
    <row r="715" spans="1:4" ht="15.75" customHeight="1" x14ac:dyDescent="0.25">
      <c r="A715" s="40">
        <v>714</v>
      </c>
      <c r="B715" s="41" t="s">
        <v>2894</v>
      </c>
      <c r="C715" s="41" t="str">
        <f ca="1">VLOOKUP(B715,lists!A$2:B1000,2)</f>
        <v>Счётчик недопустимых по паузе перенапряжений</v>
      </c>
      <c r="D715" s="41" t="s">
        <v>2895</v>
      </c>
    </row>
    <row r="716" spans="1:4" ht="15.75" customHeight="1" x14ac:dyDescent="0.25">
      <c r="A716" s="40">
        <v>715</v>
      </c>
      <c r="B716" s="41" t="s">
        <v>2896</v>
      </c>
      <c r="C716" s="41" t="str">
        <f ca="1">VLOOKUP(B716,lists!A$2:B1000,2)</f>
        <v>Счётчик недопустимых по паузе перенапряжений</v>
      </c>
      <c r="D716" s="41" t="s">
        <v>2897</v>
      </c>
    </row>
    <row r="717" spans="1:4" ht="15.75" customHeight="1" x14ac:dyDescent="0.25">
      <c r="A717" s="40">
        <v>716</v>
      </c>
      <c r="B717" s="41" t="s">
        <v>2898</v>
      </c>
      <c r="C717" s="41" t="str">
        <f ca="1">VLOOKUP(B717,lists!A$2:B1000,2)</f>
        <v>Счётчик недопустимых по паузе перенапряжений</v>
      </c>
      <c r="D717" s="41" t="s">
        <v>2899</v>
      </c>
    </row>
    <row r="718" spans="1:4" ht="15.75" customHeight="1" x14ac:dyDescent="0.25">
      <c r="A718" s="40">
        <v>717</v>
      </c>
      <c r="B718" s="41" t="s">
        <v>2900</v>
      </c>
      <c r="C718" s="41" t="str">
        <f ca="1">VLOOKUP(B718,lists!A$2:B1000,2)</f>
        <v>Счётчик недопустимых по паузе перенапряжений</v>
      </c>
      <c r="D718" s="41" t="s">
        <v>2901</v>
      </c>
    </row>
    <row r="719" spans="1:4" ht="15.75" customHeight="1" x14ac:dyDescent="0.25">
      <c r="A719" s="40">
        <v>718</v>
      </c>
      <c r="B719" s="41" t="s">
        <v>2902</v>
      </c>
      <c r="C719" s="41" t="str">
        <f ca="1">VLOOKUP(B719,lists!A$2:B1000,2)</f>
        <v>Счётчик недопустимых по паузе перенапряжений</v>
      </c>
      <c r="D719" s="41" t="s">
        <v>2903</v>
      </c>
    </row>
    <row r="720" spans="1:4" ht="15.75" customHeight="1" x14ac:dyDescent="0.25">
      <c r="A720" s="40">
        <v>719</v>
      </c>
      <c r="B720" s="41" t="s">
        <v>2904</v>
      </c>
      <c r="C720" s="41" t="str">
        <f ca="1">VLOOKUP(B720,lists!A$2:B1000,2)</f>
        <v>Счётчик недопустимых по паузе перенапряжений</v>
      </c>
      <c r="D720" s="41" t="s">
        <v>2905</v>
      </c>
    </row>
    <row r="721" spans="1:4" ht="15.75" customHeight="1" x14ac:dyDescent="0.25">
      <c r="A721" s="40">
        <v>720</v>
      </c>
      <c r="B721" s="41" t="s">
        <v>2906</v>
      </c>
      <c r="C721" s="41" t="str">
        <f ca="1">VLOOKUP(B721,lists!A$2:B1000,2)</f>
        <v>Счётчик недопустимых по паузе перенапряжений</v>
      </c>
      <c r="D721" s="41" t="s">
        <v>2907</v>
      </c>
    </row>
    <row r="722" spans="1:4" ht="15.75" customHeight="1" x14ac:dyDescent="0.25">
      <c r="A722" s="40">
        <v>721</v>
      </c>
      <c r="B722" s="41" t="s">
        <v>2908</v>
      </c>
      <c r="C722" s="41" t="str">
        <f ca="1">VLOOKUP(B722,lists!A$2:B1000,2)</f>
        <v>Счётчик недопустимых по паузе перенапряжений</v>
      </c>
      <c r="D722" s="41" t="s">
        <v>2909</v>
      </c>
    </row>
    <row r="723" spans="1:4" ht="15.75" customHeight="1" x14ac:dyDescent="0.25">
      <c r="A723" s="40">
        <v>722</v>
      </c>
      <c r="B723" s="41" t="s">
        <v>2910</v>
      </c>
      <c r="C723" s="41" t="str">
        <f ca="1">VLOOKUP(B723,lists!A$2:B1000,2)</f>
        <v>Счётчик недопустимых по паузе перенапряжений</v>
      </c>
      <c r="D723" s="41" t="s">
        <v>2911</v>
      </c>
    </row>
    <row r="724" spans="1:4" ht="15.75" customHeight="1" x14ac:dyDescent="0.25">
      <c r="A724" s="40">
        <v>723</v>
      </c>
      <c r="B724" s="41" t="s">
        <v>2912</v>
      </c>
      <c r="C724" s="41" t="str">
        <f ca="1">VLOOKUP(B724,lists!A$2:B1000,2)</f>
        <v>Счётчик недопустимых по паузе перенапряжений</v>
      </c>
      <c r="D724" s="41" t="s">
        <v>2913</v>
      </c>
    </row>
    <row r="725" spans="1:4" ht="15.75" customHeight="1" x14ac:dyDescent="0.25">
      <c r="A725" s="40">
        <v>724</v>
      </c>
      <c r="B725" s="41" t="s">
        <v>2914</v>
      </c>
      <c r="C725" s="41" t="str">
        <f ca="1">VLOOKUP(B725,lists!A$2:B1000,2)</f>
        <v>Счётчик недопустимых по паузе перенапряжений</v>
      </c>
      <c r="D725" s="41" t="s">
        <v>2915</v>
      </c>
    </row>
    <row r="726" spans="1:4" ht="15.75" customHeight="1" x14ac:dyDescent="0.25">
      <c r="A726" s="40">
        <v>725</v>
      </c>
      <c r="B726" s="41" t="s">
        <v>2916</v>
      </c>
      <c r="C726" s="41" t="str">
        <f ca="1">VLOOKUP(B726,lists!A$2:B1000,2)</f>
        <v>Счётчик недопустимых по паузе перенапряжений</v>
      </c>
      <c r="D726" s="41" t="s">
        <v>2917</v>
      </c>
    </row>
    <row r="727" spans="1:4" ht="15.75" customHeight="1" x14ac:dyDescent="0.25">
      <c r="A727" s="40">
        <v>726</v>
      </c>
      <c r="B727" s="41" t="s">
        <v>2918</v>
      </c>
      <c r="C727" s="41" t="str">
        <f ca="1">VLOOKUP(B727,lists!A$2:B1000,2)</f>
        <v>Счётчик недопустимых по паузе перенапряжений</v>
      </c>
      <c r="D727" s="41" t="s">
        <v>2919</v>
      </c>
    </row>
    <row r="728" spans="1:4" ht="15.75" customHeight="1" x14ac:dyDescent="0.25">
      <c r="A728" s="40">
        <v>727</v>
      </c>
      <c r="B728" s="41" t="s">
        <v>2920</v>
      </c>
      <c r="C728" s="41" t="str">
        <f ca="1">VLOOKUP(B728,lists!A$2:B1000,2)</f>
        <v>Счётчик недопустимых по паузе перенапряжений</v>
      </c>
      <c r="D728" s="41" t="s">
        <v>2921</v>
      </c>
    </row>
    <row r="729" spans="1:4" ht="15.75" customHeight="1" x14ac:dyDescent="0.25">
      <c r="A729" s="40">
        <v>728</v>
      </c>
      <c r="B729" s="41" t="s">
        <v>2922</v>
      </c>
      <c r="C729" s="41" t="str">
        <f ca="1">VLOOKUP(B729,lists!A$2:B1000,2)</f>
        <v>Счётчик недопустимых по паузе перенапряжений</v>
      </c>
      <c r="D729" s="41" t="s">
        <v>2923</v>
      </c>
    </row>
    <row r="730" spans="1:4" ht="15.75" customHeight="1" x14ac:dyDescent="0.25">
      <c r="A730" s="40">
        <v>729</v>
      </c>
      <c r="B730" s="41" t="s">
        <v>2924</v>
      </c>
      <c r="C730" s="41" t="str">
        <f ca="1">VLOOKUP(B730,lists!A$2:B1000,2)</f>
        <v>Счётчик недопустимых по паузе перенапряжений</v>
      </c>
      <c r="D730" s="41" t="s">
        <v>2925</v>
      </c>
    </row>
    <row r="731" spans="1:4" ht="15.75" customHeight="1" x14ac:dyDescent="0.25">
      <c r="A731" s="40">
        <v>730</v>
      </c>
      <c r="B731" s="41" t="s">
        <v>2926</v>
      </c>
      <c r="C731" s="41" t="str">
        <f ca="1">VLOOKUP(B731,lists!A$2:B1000,2)</f>
        <v>Счётчик недопустимых по паузе перенапряжений</v>
      </c>
      <c r="D731" s="41" t="s">
        <v>2927</v>
      </c>
    </row>
    <row r="732" spans="1:4" ht="15.75" customHeight="1" x14ac:dyDescent="0.25">
      <c r="A732" s="40">
        <v>731</v>
      </c>
      <c r="B732" s="41" t="s">
        <v>2928</v>
      </c>
      <c r="C732" s="41" t="str">
        <f ca="1">VLOOKUP(B732,lists!A$2:B1000,2)</f>
        <v>Счётчик недопустимых по паузе перенапряжений</v>
      </c>
      <c r="D732" s="41" t="s">
        <v>2929</v>
      </c>
    </row>
    <row r="733" spans="1:4" ht="15.75" customHeight="1" x14ac:dyDescent="0.25">
      <c r="A733" s="40">
        <v>732</v>
      </c>
      <c r="B733" s="41" t="s">
        <v>2930</v>
      </c>
      <c r="C733" s="41" t="str">
        <f ca="1">VLOOKUP(B733,lists!A$2:B1000,2)</f>
        <v>Счётчик недопустимых по паузе перенапряжений</v>
      </c>
      <c r="D733" s="41" t="s">
        <v>2931</v>
      </c>
    </row>
    <row r="734" spans="1:4" ht="15.75" customHeight="1" x14ac:dyDescent="0.25">
      <c r="A734" s="40">
        <v>733</v>
      </c>
      <c r="B734" s="41" t="s">
        <v>2932</v>
      </c>
      <c r="C734" s="41" t="str">
        <f ca="1">VLOOKUP(B734,lists!A$2:B1000,2)</f>
        <v>Счётчик недопустимых по паузе перенапряжений</v>
      </c>
      <c r="D734" s="41" t="s">
        <v>2933</v>
      </c>
    </row>
    <row r="735" spans="1:4" ht="15.75" customHeight="1" x14ac:dyDescent="0.25">
      <c r="A735" s="40">
        <v>734</v>
      </c>
      <c r="B735" s="41" t="s">
        <v>2934</v>
      </c>
      <c r="C735" s="41" t="str">
        <f ca="1">VLOOKUP(B735,lists!A$2:B1000,2)</f>
        <v>Счётчик недопустимых по паузе перенапряжений</v>
      </c>
      <c r="D735" s="41" t="s">
        <v>2935</v>
      </c>
    </row>
    <row r="736" spans="1:4" ht="15.75" customHeight="1" x14ac:dyDescent="0.25">
      <c r="A736" s="40">
        <v>735</v>
      </c>
      <c r="B736" s="41" t="s">
        <v>2936</v>
      </c>
      <c r="C736" s="41" t="str">
        <f ca="1">VLOOKUP(B736,lists!A$2:B1000,2)</f>
        <v>Счётчик недопустимых по паузе перенапряжений</v>
      </c>
      <c r="D736" s="41" t="s">
        <v>2937</v>
      </c>
    </row>
    <row r="737" spans="1:4" ht="15.75" customHeight="1" x14ac:dyDescent="0.25">
      <c r="A737" s="40">
        <v>736</v>
      </c>
      <c r="B737" s="41" t="s">
        <v>2938</v>
      </c>
      <c r="C737" s="41" t="str">
        <f ca="1">VLOOKUP(B737,lists!A$2:B1000,2)</f>
        <v>Счётчик недопустимых по паузе перенапряжений</v>
      </c>
      <c r="D737" s="42" t="s">
        <v>2939</v>
      </c>
    </row>
    <row r="738" spans="1:4" ht="15.75" customHeight="1" x14ac:dyDescent="0.25">
      <c r="A738" s="40">
        <v>737</v>
      </c>
      <c r="B738" s="41" t="s">
        <v>2940</v>
      </c>
      <c r="C738" s="41" t="str">
        <f ca="1">VLOOKUP(B738,lists!A$2:B1000,2)</f>
        <v>Счётчик недопустимых по паузе перенапряжений</v>
      </c>
      <c r="D738" s="42" t="s">
        <v>2941</v>
      </c>
    </row>
    <row r="739" spans="1:4" ht="15.75" customHeight="1" x14ac:dyDescent="0.25">
      <c r="A739" s="40">
        <v>738</v>
      </c>
      <c r="B739" s="41" t="s">
        <v>2942</v>
      </c>
      <c r="C739" s="41" t="str">
        <f ca="1">VLOOKUP(B739,lists!A$2:B1000,2)</f>
        <v>Счётчик недопустимых по паузе перенапряжений</v>
      </c>
      <c r="D739" s="42" t="s">
        <v>2943</v>
      </c>
    </row>
    <row r="740" spans="1:4" ht="15.75" customHeight="1" x14ac:dyDescent="0.25">
      <c r="A740" s="40">
        <v>739</v>
      </c>
      <c r="B740" s="41" t="s">
        <v>2944</v>
      </c>
      <c r="C740" s="41" t="str">
        <f ca="1">VLOOKUP(B740,lists!A$2:B1000,2)</f>
        <v>Счётчик недопустимых по паузе перенапряжений</v>
      </c>
      <c r="D740" s="42" t="s">
        <v>2945</v>
      </c>
    </row>
    <row r="741" spans="1:4" ht="15.75" customHeight="1" x14ac:dyDescent="0.25">
      <c r="A741" s="40">
        <v>740</v>
      </c>
      <c r="B741" s="41" t="s">
        <v>2946</v>
      </c>
      <c r="C741" s="41" t="str">
        <f ca="1">VLOOKUP(B741,lists!A$2:B1000,2)</f>
        <v>Счётчик недопустимых по паузе перенапряжений</v>
      </c>
      <c r="D741" s="42" t="s">
        <v>2947</v>
      </c>
    </row>
    <row r="742" spans="1:4" ht="15.75" customHeight="1" x14ac:dyDescent="0.25">
      <c r="A742" s="40">
        <v>741</v>
      </c>
      <c r="B742" s="41" t="s">
        <v>2948</v>
      </c>
      <c r="C742" s="41" t="str">
        <f ca="1">VLOOKUP(B742,lists!A$2:B1000,2)</f>
        <v>Счётчик недопустимых по паузе перенапряжений</v>
      </c>
      <c r="D742" s="42" t="s">
        <v>2949</v>
      </c>
    </row>
    <row r="743" spans="1:4" ht="15.75" customHeight="1" x14ac:dyDescent="0.25">
      <c r="A743" s="40">
        <v>742</v>
      </c>
      <c r="B743" s="41" t="s">
        <v>2950</v>
      </c>
      <c r="C743" s="41" t="str">
        <f ca="1">VLOOKUP(B743,lists!A$2:B1000,2)</f>
        <v>Счётчик недопустимых по паузе перенапряжений</v>
      </c>
      <c r="D743" s="42" t="s">
        <v>2951</v>
      </c>
    </row>
    <row r="744" spans="1:4" ht="15.75" customHeight="1" x14ac:dyDescent="0.25">
      <c r="A744" s="40">
        <v>743</v>
      </c>
      <c r="B744" s="41" t="s">
        <v>2952</v>
      </c>
      <c r="C744" s="41" t="str">
        <f ca="1">VLOOKUP(B744,lists!A$2:B1000,2)</f>
        <v>Счётчик недопустимых по паузе перенапряжений</v>
      </c>
      <c r="D744" s="42" t="s">
        <v>2953</v>
      </c>
    </row>
    <row r="745" spans="1:4" ht="15.75" customHeight="1" x14ac:dyDescent="0.25">
      <c r="A745" s="40">
        <v>744</v>
      </c>
      <c r="B745" s="41" t="s">
        <v>2954</v>
      </c>
      <c r="C745" s="41" t="str">
        <f ca="1">VLOOKUP(B745,lists!A$2:B1000,2)</f>
        <v>Счётчик недопустимых по паузе перенапряжений</v>
      </c>
      <c r="D745" s="42" t="s">
        <v>2955</v>
      </c>
    </row>
    <row r="746" spans="1:4" ht="15.75" customHeight="1" x14ac:dyDescent="0.25">
      <c r="A746" s="40">
        <v>745</v>
      </c>
      <c r="B746" s="41" t="s">
        <v>2956</v>
      </c>
      <c r="C746" s="41" t="str">
        <f ca="1">VLOOKUP(B746,lists!A$2:B1000,2)</f>
        <v>Счётчик недопустимых по паузе перенапряжений</v>
      </c>
      <c r="D746" s="42" t="s">
        <v>2957</v>
      </c>
    </row>
    <row r="747" spans="1:4" ht="15.75" customHeight="1" x14ac:dyDescent="0.25">
      <c r="A747" s="40">
        <v>746</v>
      </c>
      <c r="B747" s="41" t="s">
        <v>2958</v>
      </c>
      <c r="C747" s="41" t="str">
        <f ca="1">VLOOKUP(B747,lists!A$2:B1000,2)</f>
        <v>Счётчик недопустимых по паузе перенапряжений</v>
      </c>
      <c r="D747" s="42" t="s">
        <v>2959</v>
      </c>
    </row>
    <row r="748" spans="1:4" ht="15.75" customHeight="1" x14ac:dyDescent="0.25">
      <c r="A748" s="40">
        <v>747</v>
      </c>
      <c r="B748" s="41" t="s">
        <v>2960</v>
      </c>
      <c r="C748" s="41" t="str">
        <f ca="1">VLOOKUP(B748,lists!A$2:B1000,2)</f>
        <v>Счётчик недопустимых по паузе перенапряжений</v>
      </c>
      <c r="D748" s="42" t="s">
        <v>2961</v>
      </c>
    </row>
    <row r="749" spans="1:4" ht="15.75" customHeight="1" x14ac:dyDescent="0.25">
      <c r="A749" s="40">
        <v>748</v>
      </c>
      <c r="B749" s="41" t="s">
        <v>2962</v>
      </c>
      <c r="C749" s="41" t="str">
        <f ca="1">VLOOKUP(B749,lists!A$2:B1000,2)</f>
        <v>Счётчик недопустимых по паузе перенапряжений</v>
      </c>
      <c r="D749" s="42" t="s">
        <v>2963</v>
      </c>
    </row>
    <row r="750" spans="1:4" ht="15.75" customHeight="1" x14ac:dyDescent="0.25">
      <c r="A750" s="40">
        <v>749</v>
      </c>
      <c r="B750" s="41" t="s">
        <v>2964</v>
      </c>
      <c r="C750" s="41" t="str">
        <f ca="1">VLOOKUP(B750,lists!A$2:B1000,2)</f>
        <v>Счётчик недопустимых по паузе перенапряжений</v>
      </c>
      <c r="D750" s="42" t="s">
        <v>2965</v>
      </c>
    </row>
    <row r="751" spans="1:4" ht="15.75" customHeight="1" x14ac:dyDescent="0.25">
      <c r="A751" s="40">
        <v>750</v>
      </c>
      <c r="B751" s="41" t="s">
        <v>2966</v>
      </c>
      <c r="C751" s="41" t="str">
        <f ca="1">VLOOKUP(B751,lists!A$2:B1000,2)</f>
        <v>Счётчик недопустимых по паузе перенапряжений</v>
      </c>
      <c r="D751" s="42" t="s">
        <v>2967</v>
      </c>
    </row>
    <row r="752" spans="1:4" ht="15.75" customHeight="1" x14ac:dyDescent="0.25">
      <c r="A752" s="40">
        <v>751</v>
      </c>
      <c r="B752" s="41" t="s">
        <v>2968</v>
      </c>
      <c r="C752" s="41" t="str">
        <f ca="1">VLOOKUP(B752,lists!A$2:B1000,2)</f>
        <v>Счётчик недопустимых по паузе перенапряжений</v>
      </c>
      <c r="D752" s="42" t="s">
        <v>2969</v>
      </c>
    </row>
    <row r="753" spans="1:4" ht="15.75" customHeight="1" x14ac:dyDescent="0.25">
      <c r="A753" s="40">
        <v>752</v>
      </c>
      <c r="B753" s="41" t="s">
        <v>2970</v>
      </c>
      <c r="C753" s="41" t="str">
        <f ca="1">VLOOKUP(B753,lists!A$2:B1000,2)</f>
        <v>Счётчик недопустимых по паузе перенапряжений</v>
      </c>
      <c r="D753" s="42" t="s">
        <v>2971</v>
      </c>
    </row>
    <row r="754" spans="1:4" ht="15.75" customHeight="1" x14ac:dyDescent="0.25">
      <c r="A754" s="40">
        <v>753</v>
      </c>
      <c r="B754" s="41" t="s">
        <v>2972</v>
      </c>
      <c r="C754" s="41" t="str">
        <f ca="1">VLOOKUP(B754,lists!A$2:B1000,2)</f>
        <v>Счётчик недопустимых по паузе перенапряжений</v>
      </c>
      <c r="D754" s="42" t="s">
        <v>2973</v>
      </c>
    </row>
    <row r="755" spans="1:4" ht="15.75" customHeight="1" x14ac:dyDescent="0.25">
      <c r="A755" s="40">
        <v>754</v>
      </c>
      <c r="B755" s="41" t="s">
        <v>2974</v>
      </c>
      <c r="C755" s="41" t="str">
        <f ca="1">VLOOKUP(B755,lists!A$2:B1000,2)</f>
        <v>Счётчик недопустимых по паузе перенапряжений</v>
      </c>
      <c r="D755" s="42" t="s">
        <v>2975</v>
      </c>
    </row>
    <row r="756" spans="1:4" ht="15.75" customHeight="1" x14ac:dyDescent="0.25">
      <c r="A756" s="40">
        <v>755</v>
      </c>
      <c r="B756" s="41" t="s">
        <v>2976</v>
      </c>
      <c r="C756" s="41" t="str">
        <f ca="1">VLOOKUP(B756,lists!A$2:B1000,2)</f>
        <v>Счётчик недопустимых по паузе перенапряжений</v>
      </c>
      <c r="D756" s="42" t="s">
        <v>2977</v>
      </c>
    </row>
    <row r="757" spans="1:4" ht="15.75" customHeight="1" x14ac:dyDescent="0.25">
      <c r="A757" s="40">
        <v>756</v>
      </c>
      <c r="B757" s="41" t="s">
        <v>2978</v>
      </c>
      <c r="C757" s="41" t="str">
        <f ca="1">VLOOKUP(B757,lists!A$2:B1000,2)</f>
        <v>Счётчик недопустимых по паузе перенапряжений</v>
      </c>
      <c r="D757" s="42" t="s">
        <v>2979</v>
      </c>
    </row>
    <row r="758" spans="1:4" ht="15.75" customHeight="1" x14ac:dyDescent="0.25">
      <c r="A758" s="40">
        <v>757</v>
      </c>
      <c r="B758" s="41" t="s">
        <v>2980</v>
      </c>
      <c r="C758" s="41" t="str">
        <f ca="1">VLOOKUP(B758,lists!A$2:B1000,2)</f>
        <v>Счётчик недопустимых по паузе перенапряжений</v>
      </c>
      <c r="D758" s="42" t="s">
        <v>934</v>
      </c>
    </row>
    <row r="759" spans="1:4" ht="15.75" customHeight="1" x14ac:dyDescent="0.25">
      <c r="A759" s="40">
        <v>758</v>
      </c>
      <c r="B759" s="41" t="s">
        <v>2981</v>
      </c>
      <c r="C759" s="41" t="str">
        <f ca="1">VLOOKUP(B759,lists!A$2:B1000,2)</f>
        <v>Счётчик недопустимых по паузе перенапряжений</v>
      </c>
      <c r="D759" s="42" t="s">
        <v>2982</v>
      </c>
    </row>
    <row r="760" spans="1:4" ht="15.75" customHeight="1" x14ac:dyDescent="0.25">
      <c r="A760" s="40">
        <v>759</v>
      </c>
      <c r="B760" s="41" t="s">
        <v>2983</v>
      </c>
      <c r="C760" s="41" t="str">
        <f ca="1">VLOOKUP(B760,lists!A$2:B1000,2)</f>
        <v>Счётчик недопустимых по паузе перенапряжений</v>
      </c>
      <c r="D760" s="42" t="s">
        <v>2984</v>
      </c>
    </row>
    <row r="761" spans="1:4" ht="15.75" customHeight="1" x14ac:dyDescent="0.25">
      <c r="A761" s="40">
        <v>760</v>
      </c>
      <c r="B761" s="48" t="s">
        <v>2985</v>
      </c>
      <c r="C761" s="41" t="str">
        <f ca="1">VLOOKUP(B761,lists!A$2:B1000,2)</f>
        <v>Счётчик недопустимых по паузе перенапряжений</v>
      </c>
      <c r="D761" s="48" t="s">
        <v>2986</v>
      </c>
    </row>
    <row r="762" spans="1:4" ht="15.75" customHeight="1" x14ac:dyDescent="0.25">
      <c r="A762" s="40">
        <v>761</v>
      </c>
      <c r="B762" s="48" t="s">
        <v>2987</v>
      </c>
      <c r="C762" s="41" t="str">
        <f ca="1">VLOOKUP(B762,lists!A$2:B1000,2)</f>
        <v>Счётчик недопустимых по паузе перенапряжений</v>
      </c>
      <c r="D762" s="48" t="s">
        <v>2988</v>
      </c>
    </row>
    <row r="763" spans="1:4" ht="15.75" customHeight="1" x14ac:dyDescent="0.25">
      <c r="A763" s="40">
        <v>762</v>
      </c>
      <c r="B763" s="48" t="s">
        <v>2989</v>
      </c>
      <c r="C763" s="41" t="str">
        <f ca="1">VLOOKUP(B763,lists!A$2:B1000,2)</f>
        <v>Счётчик недопустимых по паузе перенапряжений</v>
      </c>
      <c r="D763" s="48" t="s">
        <v>2990</v>
      </c>
    </row>
    <row r="764" spans="1:4" ht="15.75" customHeight="1" x14ac:dyDescent="0.25">
      <c r="A764" s="40">
        <v>763</v>
      </c>
      <c r="B764" s="48" t="s">
        <v>2991</v>
      </c>
      <c r="C764" s="41" t="str">
        <f ca="1">VLOOKUP(B764,lists!A$2:B1000,2)</f>
        <v>Счётчик недопустимых по паузе перенапряжений</v>
      </c>
      <c r="D764" s="48" t="s">
        <v>2992</v>
      </c>
    </row>
    <row r="765" spans="1:4" ht="15.75" customHeight="1" x14ac:dyDescent="0.25">
      <c r="A765" s="40">
        <v>764</v>
      </c>
      <c r="B765" s="48" t="s">
        <v>2993</v>
      </c>
      <c r="C765" s="41" t="str">
        <f ca="1">VLOOKUP(B765,lists!A$2:B1000,2)</f>
        <v>Счётчик недопустимых по паузе перенапряжений</v>
      </c>
      <c r="D765" s="48" t="s">
        <v>2994</v>
      </c>
    </row>
    <row r="766" spans="1:4" ht="15.75" customHeight="1" x14ac:dyDescent="0.25">
      <c r="A766" s="40">
        <v>765</v>
      </c>
      <c r="B766" s="48" t="s">
        <v>2995</v>
      </c>
      <c r="C766" s="41" t="str">
        <f ca="1">VLOOKUP(B766,lists!A$2:B1000,2)</f>
        <v>Счётчик недопустимых по паузе перенапряжений</v>
      </c>
      <c r="D766" s="48" t="s">
        <v>2996</v>
      </c>
    </row>
    <row r="767" spans="1:4" ht="15.75" customHeight="1" x14ac:dyDescent="0.25">
      <c r="A767" s="40">
        <v>766</v>
      </c>
      <c r="B767" s="48" t="s">
        <v>2997</v>
      </c>
      <c r="C767" s="41" t="str">
        <f ca="1">VLOOKUP(B767,lists!A$2:B1000,2)</f>
        <v>Счётчик недопустимых по паузе перенапряжений</v>
      </c>
      <c r="D767" s="48" t="s">
        <v>2998</v>
      </c>
    </row>
    <row r="768" spans="1:4" ht="15.75" customHeight="1" x14ac:dyDescent="0.25">
      <c r="A768" s="40">
        <v>767</v>
      </c>
      <c r="B768" s="48" t="s">
        <v>2999</v>
      </c>
      <c r="C768" s="41" t="str">
        <f ca="1">VLOOKUP(B768,lists!A$2:B1000,2)</f>
        <v>Счётчик недопустимых по паузе перенапряжений</v>
      </c>
      <c r="D768" s="48" t="s">
        <v>3000</v>
      </c>
    </row>
    <row r="769" spans="1:4" ht="15.75" customHeight="1" x14ac:dyDescent="0.25">
      <c r="A769" s="40">
        <v>768</v>
      </c>
      <c r="B769" s="48" t="s">
        <v>3001</v>
      </c>
      <c r="C769" s="41" t="str">
        <f ca="1">VLOOKUP(B769,lists!A$2:B1000,2)</f>
        <v>Счётчик недопустимых по паузе перенапряжений</v>
      </c>
      <c r="D769" s="48" t="s">
        <v>3002</v>
      </c>
    </row>
    <row r="770" spans="1:4" ht="15.75" customHeight="1" x14ac:dyDescent="0.25">
      <c r="A770" s="40">
        <v>769</v>
      </c>
      <c r="B770" s="48" t="s">
        <v>3003</v>
      </c>
      <c r="C770" s="41" t="str">
        <f ca="1">VLOOKUP(B770,lists!A$2:B1000,2)</f>
        <v>Счётчик недопустимых по паузе перенапряжений</v>
      </c>
      <c r="D770" s="48" t="s">
        <v>3004</v>
      </c>
    </row>
    <row r="771" spans="1:4" ht="15.75" customHeight="1" x14ac:dyDescent="0.25">
      <c r="A771" s="40">
        <v>770</v>
      </c>
      <c r="B771" s="48" t="s">
        <v>3005</v>
      </c>
      <c r="C771" s="41" t="str">
        <f ca="1">VLOOKUP(B771,lists!A$2:B1000,2)</f>
        <v>Счётчик недопустимых по паузе перенапряжений</v>
      </c>
      <c r="D771" s="48" t="s">
        <v>3006</v>
      </c>
    </row>
    <row r="772" spans="1:4" ht="15.75" customHeight="1" x14ac:dyDescent="0.25">
      <c r="A772" s="40">
        <v>771</v>
      </c>
      <c r="B772" s="48" t="s">
        <v>3007</v>
      </c>
      <c r="C772" s="41" t="str">
        <f ca="1">VLOOKUP(B772,lists!A$2:B1000,2)</f>
        <v>Счётчик недопустимых по паузе перенапряжений</v>
      </c>
      <c r="D772" s="48" t="s">
        <v>3008</v>
      </c>
    </row>
    <row r="773" spans="1:4" ht="15.75" customHeight="1" x14ac:dyDescent="0.25">
      <c r="A773" s="40">
        <v>772</v>
      </c>
      <c r="B773" s="48" t="s">
        <v>3009</v>
      </c>
      <c r="C773" s="41" t="str">
        <f ca="1">VLOOKUP(B773,lists!A$2:B1000,2)</f>
        <v>Счётчик недопустимых по паузе перенапряжений</v>
      </c>
      <c r="D773" s="48" t="s">
        <v>3010</v>
      </c>
    </row>
    <row r="774" spans="1:4" ht="15.75" customHeight="1" x14ac:dyDescent="0.25">
      <c r="A774" s="40">
        <v>773</v>
      </c>
      <c r="B774" s="48" t="s">
        <v>3011</v>
      </c>
      <c r="C774" s="41" t="str">
        <f ca="1">VLOOKUP(B774,lists!A$2:B1000,2)</f>
        <v>Счётчик недопустимых по паузе перенапряжений</v>
      </c>
      <c r="D774" s="46" t="s">
        <v>3012</v>
      </c>
    </row>
    <row r="775" spans="1:4" ht="15.75" customHeight="1" x14ac:dyDescent="0.25">
      <c r="A775" s="40">
        <v>774</v>
      </c>
      <c r="B775" s="48" t="s">
        <v>3013</v>
      </c>
      <c r="C775" s="41" t="str">
        <f ca="1">VLOOKUP(B775,lists!A$2:B1000,2)</f>
        <v>Счётчик недопустимых по паузе перенапряжений</v>
      </c>
      <c r="D775" s="46" t="s">
        <v>3014</v>
      </c>
    </row>
    <row r="776" spans="1:4" ht="15.75" customHeight="1" x14ac:dyDescent="0.25">
      <c r="A776" s="40">
        <v>775</v>
      </c>
      <c r="B776" s="48" t="s">
        <v>3015</v>
      </c>
      <c r="C776" s="41" t="str">
        <f ca="1">VLOOKUP(B776,lists!A$2:B1000,2)</f>
        <v>Счётчик недопустимых по паузе перенапряжений</v>
      </c>
      <c r="D776" s="46" t="s">
        <v>3016</v>
      </c>
    </row>
    <row r="777" spans="1:4" ht="15.75" customHeight="1" x14ac:dyDescent="0.25">
      <c r="A777" s="40">
        <v>776</v>
      </c>
      <c r="B777" s="48" t="s">
        <v>3017</v>
      </c>
      <c r="C777" s="41" t="str">
        <f ca="1">VLOOKUP(B777,lists!A$2:B1000,2)</f>
        <v>Счётчик недопустимых по паузе перенапряжений</v>
      </c>
      <c r="D777" s="46" t="s">
        <v>3018</v>
      </c>
    </row>
    <row r="778" spans="1:4" ht="15.75" customHeight="1" x14ac:dyDescent="0.25">
      <c r="B778" s="13"/>
      <c r="C778" s="41" t="e">
        <f ca="1">VLOOKUP(B778,lists!A$2:B1000,2)</f>
        <v>#N/A</v>
      </c>
    </row>
    <row r="779" spans="1:4" ht="15.75" customHeight="1" x14ac:dyDescent="0.25">
      <c r="B779" s="13"/>
      <c r="C779" s="41" t="e">
        <f ca="1">VLOOKUP(B779,lists!A$2:B1000,2)</f>
        <v>#N/A</v>
      </c>
    </row>
    <row r="780" spans="1:4" ht="15.75" customHeight="1" x14ac:dyDescent="0.25">
      <c r="B780" s="13"/>
      <c r="C780" s="41" t="e">
        <f ca="1">VLOOKUP(B780,lists!A$2:B1000,2)</f>
        <v>#N/A</v>
      </c>
    </row>
    <row r="781" spans="1:4" ht="15.75" customHeight="1" x14ac:dyDescent="0.25">
      <c r="B781" s="13"/>
      <c r="C781" s="41" t="e">
        <f ca="1">VLOOKUP(B781,lists!A$2:B1000,2)</f>
        <v>#N/A</v>
      </c>
    </row>
    <row r="782" spans="1:4" ht="15.75" customHeight="1" x14ac:dyDescent="0.25">
      <c r="B782" s="13"/>
      <c r="C782" s="41" t="e">
        <f ca="1">VLOOKUP(B782,lists!A$2:B1000,2)</f>
        <v>#N/A</v>
      </c>
    </row>
    <row r="783" spans="1:4" ht="15.75" customHeight="1" x14ac:dyDescent="0.25">
      <c r="B783" s="13"/>
      <c r="C783" s="41" t="e">
        <f ca="1">VLOOKUP(B783,lists!A$2:B1000,2)</f>
        <v>#N/A</v>
      </c>
    </row>
    <row r="784" spans="1:4" ht="15.75" customHeight="1" x14ac:dyDescent="0.25">
      <c r="B784" s="13"/>
      <c r="C784" s="41" t="e">
        <f ca="1">VLOOKUP(B784,lists!A$2:B1000,2)</f>
        <v>#N/A</v>
      </c>
    </row>
    <row r="785" spans="2:3" ht="15.75" customHeight="1" x14ac:dyDescent="0.25">
      <c r="B785" s="13"/>
      <c r="C785" s="41" t="e">
        <f ca="1">VLOOKUP(B785,lists!A$2:B1000,2)</f>
        <v>#N/A</v>
      </c>
    </row>
    <row r="786" spans="2:3" ht="15.75" customHeight="1" x14ac:dyDescent="0.25">
      <c r="B786" s="13"/>
      <c r="C786" s="41" t="e">
        <f ca="1">VLOOKUP(B786,lists!A$2:B1000,2)</f>
        <v>#N/A</v>
      </c>
    </row>
    <row r="787" spans="2:3" ht="15.75" customHeight="1" x14ac:dyDescent="0.25">
      <c r="B787" s="13"/>
      <c r="C787" s="41" t="e">
        <f ca="1">VLOOKUP(B787,lists!A$2:B1000,2)</f>
        <v>#N/A</v>
      </c>
    </row>
    <row r="788" spans="2:3" ht="15.75" customHeight="1" x14ac:dyDescent="0.25">
      <c r="B788" s="13"/>
      <c r="C788" s="41" t="e">
        <f ca="1">VLOOKUP(B788,lists!A$2:B1000,2)</f>
        <v>#N/A</v>
      </c>
    </row>
    <row r="789" spans="2:3" ht="15.75" customHeight="1" x14ac:dyDescent="0.25">
      <c r="B789" s="13"/>
      <c r="C789" s="41" t="e">
        <f ca="1">VLOOKUP(B789,lists!A$2:B1000,2)</f>
        <v>#N/A</v>
      </c>
    </row>
    <row r="790" spans="2:3" ht="15.75" customHeight="1" x14ac:dyDescent="0.25">
      <c r="B790" s="13"/>
      <c r="C790" s="41" t="e">
        <f ca="1">VLOOKUP(B790,lists!A$2:B1000,2)</f>
        <v>#N/A</v>
      </c>
    </row>
    <row r="791" spans="2:3" ht="15.75" customHeight="1" x14ac:dyDescent="0.25">
      <c r="B791" s="13"/>
      <c r="C791" s="41" t="e">
        <f ca="1">VLOOKUP(B791,lists!A$2:B1000,2)</f>
        <v>#N/A</v>
      </c>
    </row>
    <row r="792" spans="2:3" ht="15.75" customHeight="1" x14ac:dyDescent="0.25">
      <c r="B792" s="13"/>
      <c r="C792" s="41" t="e">
        <f ca="1">VLOOKUP(B792,lists!A$2:B1000,2)</f>
        <v>#N/A</v>
      </c>
    </row>
    <row r="793" spans="2:3" ht="15.75" customHeight="1" x14ac:dyDescent="0.25">
      <c r="B793" s="13"/>
      <c r="C793" s="41" t="e">
        <f ca="1">VLOOKUP(B793,lists!A$2:B1000,2)</f>
        <v>#N/A</v>
      </c>
    </row>
    <row r="794" spans="2:3" ht="15.75" customHeight="1" x14ac:dyDescent="0.25">
      <c r="B794" s="13"/>
      <c r="C794" s="41" t="e">
        <f ca="1">VLOOKUP(B794,lists!A$2:B1000,2)</f>
        <v>#N/A</v>
      </c>
    </row>
    <row r="795" spans="2:3" ht="15.75" customHeight="1" x14ac:dyDescent="0.25">
      <c r="B795" s="13"/>
      <c r="C795" s="41" t="e">
        <f ca="1">VLOOKUP(B795,lists!A$2:B1000,2)</f>
        <v>#N/A</v>
      </c>
    </row>
    <row r="796" spans="2:3" ht="15.75" customHeight="1" x14ac:dyDescent="0.25">
      <c r="B796" s="13"/>
      <c r="C796" s="41" t="e">
        <f ca="1">VLOOKUP(B796,lists!A$2:B1000,2)</f>
        <v>#N/A</v>
      </c>
    </row>
    <row r="797" spans="2:3" ht="15.75" customHeight="1" x14ac:dyDescent="0.25">
      <c r="B797" s="13"/>
      <c r="C797" s="41" t="e">
        <f ca="1">VLOOKUP(B797,lists!A$2:B1000,2)</f>
        <v>#N/A</v>
      </c>
    </row>
    <row r="798" spans="2:3" ht="15.75" customHeight="1" x14ac:dyDescent="0.25">
      <c r="B798" s="13"/>
      <c r="C798" s="41" t="e">
        <f ca="1">VLOOKUP(B798,lists!A$2:B1000,2)</f>
        <v>#N/A</v>
      </c>
    </row>
    <row r="799" spans="2:3" ht="15.75" customHeight="1" x14ac:dyDescent="0.25">
      <c r="B799" s="13"/>
      <c r="C799" s="41" t="e">
        <f ca="1">VLOOKUP(B799,lists!A$2:B1000,2)</f>
        <v>#N/A</v>
      </c>
    </row>
    <row r="800" spans="2:3" ht="15.75" customHeight="1" x14ac:dyDescent="0.25">
      <c r="B800" s="13"/>
      <c r="C800" s="41" t="e">
        <f ca="1">VLOOKUP(B800,lists!A$2:B1000,2)</f>
        <v>#N/A</v>
      </c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49"/>
    </row>
    <row r="979" spans="2:2" ht="15.75" customHeight="1" x14ac:dyDescent="0.25">
      <c r="B979" s="49"/>
    </row>
    <row r="980" spans="2:2" ht="15.75" customHeight="1" x14ac:dyDescent="0.25">
      <c r="B980" s="49"/>
    </row>
    <row r="981" spans="2:2" ht="15.75" customHeight="1" x14ac:dyDescent="0.25">
      <c r="B981" s="49"/>
    </row>
    <row r="982" spans="2:2" ht="15.75" customHeight="1" x14ac:dyDescent="0.25">
      <c r="B982" s="49"/>
    </row>
    <row r="983" spans="2:2" ht="15.75" customHeight="1" x14ac:dyDescent="0.25">
      <c r="B983" s="49"/>
    </row>
    <row r="984" spans="2:2" ht="15.75" customHeight="1" x14ac:dyDescent="0.25">
      <c r="B984" s="49"/>
    </row>
    <row r="985" spans="2:2" ht="15.75" customHeight="1" x14ac:dyDescent="0.25">
      <c r="B985" s="49"/>
    </row>
    <row r="986" spans="2:2" ht="15.75" customHeight="1" x14ac:dyDescent="0.25">
      <c r="B986" s="49"/>
    </row>
    <row r="987" spans="2:2" ht="15.75" customHeight="1" x14ac:dyDescent="0.25">
      <c r="B987" s="49"/>
    </row>
    <row r="988" spans="2:2" ht="15.75" customHeight="1" x14ac:dyDescent="0.25">
      <c r="B988" s="49"/>
    </row>
    <row r="989" spans="2:2" ht="15.75" customHeight="1" x14ac:dyDescent="0.25">
      <c r="B989" s="49"/>
    </row>
    <row r="990" spans="2:2" ht="15.75" customHeight="1" x14ac:dyDescent="0.25">
      <c r="B990" s="49"/>
    </row>
    <row r="991" spans="2:2" ht="15.75" customHeight="1" x14ac:dyDescent="0.25">
      <c r="B991" s="49"/>
    </row>
    <row r="992" spans="2:2" ht="15.75" customHeight="1" x14ac:dyDescent="0.25">
      <c r="B992" s="49"/>
    </row>
    <row r="993" spans="2:2" ht="15.75" customHeight="1" x14ac:dyDescent="0.25">
      <c r="B993" s="49"/>
    </row>
    <row r="994" spans="2:2" ht="15.75" customHeight="1" x14ac:dyDescent="0.25">
      <c r="B994" s="49"/>
    </row>
    <row r="995" spans="2:2" ht="15.75" customHeight="1" x14ac:dyDescent="0.25">
      <c r="B995" s="49"/>
    </row>
    <row r="996" spans="2:2" ht="15.75" customHeight="1" x14ac:dyDescent="0.25">
      <c r="B996" s="49"/>
    </row>
    <row r="997" spans="2:2" ht="15.75" customHeight="1" x14ac:dyDescent="0.25">
      <c r="B997" s="49"/>
    </row>
    <row r="998" spans="2:2" ht="15.75" customHeight="1" x14ac:dyDescent="0.25">
      <c r="B998" s="49"/>
    </row>
    <row r="999" spans="2:2" ht="15.75" customHeight="1" x14ac:dyDescent="0.25">
      <c r="B999" s="49"/>
    </row>
    <row r="1000" spans="2:2" ht="15.75" customHeight="1" x14ac:dyDescent="0.25"/>
  </sheetData>
  <dataValidations count="1">
    <dataValidation type="list" allowBlank="1" showErrorMessage="1" sqref="D2">
      <formula1>"Concentration of carbon monoxide (CO)"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lists!$A$2:$A2664</xm:f>
          </x14:formula1>
          <xm:sqref>B802:B999</xm:sqref>
        </x14:dataValidation>
        <x14:dataValidation type="list" allowBlank="1" showErrorMessage="1">
          <x14:formula1>
            <xm:f>lists!$B$2:$B3000</xm:f>
          </x14:formula1>
          <xm:sqref>C2:C800</xm:sqref>
        </x14:dataValidation>
        <x14:dataValidation type="list" allowBlank="1" showErrorMessage="1">
          <x14:formula1>
            <xm:f>lists!$A$2:$A3000</xm:f>
          </x14:formula1>
          <xm:sqref>B2:B801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32.42578125" customWidth="1"/>
    <col min="3" max="4" width="22.28515625" customWidth="1"/>
    <col min="5" max="6" width="14.42578125" customWidth="1"/>
  </cols>
  <sheetData>
    <row r="1" spans="1:4" x14ac:dyDescent="0.25">
      <c r="A1" s="5" t="s">
        <v>0</v>
      </c>
      <c r="B1" s="5" t="s">
        <v>3019</v>
      </c>
      <c r="C1" s="5" t="s">
        <v>3</v>
      </c>
      <c r="D1" s="5" t="s">
        <v>5</v>
      </c>
    </row>
    <row r="2" spans="1:4" x14ac:dyDescent="0.25">
      <c r="A2" s="38">
        <v>1</v>
      </c>
      <c r="B2" s="13" t="s">
        <v>3020</v>
      </c>
      <c r="C2" s="13" t="s">
        <v>3020</v>
      </c>
      <c r="D2" s="13" t="s">
        <v>3021</v>
      </c>
    </row>
    <row r="3" spans="1:4" x14ac:dyDescent="0.25">
      <c r="A3" s="38">
        <v>2</v>
      </c>
      <c r="B3" s="13" t="s">
        <v>3022</v>
      </c>
      <c r="C3" s="13" t="s">
        <v>3022</v>
      </c>
      <c r="D3" s="13" t="s">
        <v>3023</v>
      </c>
    </row>
    <row r="4" spans="1:4" x14ac:dyDescent="0.25">
      <c r="A4" s="38">
        <v>3</v>
      </c>
      <c r="B4" s="13" t="s">
        <v>3024</v>
      </c>
      <c r="C4" s="13" t="s">
        <v>3024</v>
      </c>
      <c r="D4" s="13" t="s">
        <v>3025</v>
      </c>
    </row>
    <row r="5" spans="1:4" x14ac:dyDescent="0.25">
      <c r="A5" s="38">
        <v>4</v>
      </c>
      <c r="B5" s="13" t="s">
        <v>3026</v>
      </c>
      <c r="C5" s="13" t="s">
        <v>3026</v>
      </c>
      <c r="D5" s="13" t="s">
        <v>3027</v>
      </c>
    </row>
    <row r="6" spans="1:4" x14ac:dyDescent="0.25">
      <c r="A6" s="38">
        <v>5</v>
      </c>
      <c r="B6" s="13" t="s">
        <v>3020</v>
      </c>
      <c r="C6" s="13" t="s">
        <v>3020</v>
      </c>
      <c r="D6" s="13" t="s">
        <v>3021</v>
      </c>
    </row>
    <row r="7" spans="1:4" x14ac:dyDescent="0.25">
      <c r="A7" s="38">
        <v>6</v>
      </c>
      <c r="B7" s="13" t="s">
        <v>3028</v>
      </c>
      <c r="C7" s="13" t="s">
        <v>3028</v>
      </c>
      <c r="D7" s="13" t="s">
        <v>3029</v>
      </c>
    </row>
    <row r="8" spans="1:4" x14ac:dyDescent="0.25">
      <c r="A8" s="38">
        <v>7</v>
      </c>
      <c r="B8" s="13" t="s">
        <v>3030</v>
      </c>
      <c r="C8" s="13" t="s">
        <v>3030</v>
      </c>
      <c r="D8" s="13" t="s">
        <v>3031</v>
      </c>
    </row>
    <row r="9" spans="1:4" x14ac:dyDescent="0.25">
      <c r="A9" s="38">
        <v>8</v>
      </c>
      <c r="B9" s="13" t="s">
        <v>3032</v>
      </c>
      <c r="C9" s="13" t="s">
        <v>3032</v>
      </c>
      <c r="D9" s="13" t="s">
        <v>3033</v>
      </c>
    </row>
    <row r="10" spans="1:4" x14ac:dyDescent="0.25">
      <c r="A10" s="38">
        <v>9</v>
      </c>
      <c r="B10" s="13" t="s">
        <v>3034</v>
      </c>
      <c r="C10" s="13" t="s">
        <v>3034</v>
      </c>
      <c r="D10" s="13" t="s">
        <v>3035</v>
      </c>
    </row>
    <row r="11" spans="1:4" x14ac:dyDescent="0.25">
      <c r="A11" s="38">
        <v>10</v>
      </c>
      <c r="B11" s="13" t="s">
        <v>3036</v>
      </c>
      <c r="C11" s="13" t="s">
        <v>3036</v>
      </c>
      <c r="D11" s="13" t="s">
        <v>3037</v>
      </c>
    </row>
    <row r="12" spans="1:4" x14ac:dyDescent="0.25">
      <c r="A12" s="38">
        <v>11</v>
      </c>
      <c r="B12" s="13" t="s">
        <v>3038</v>
      </c>
      <c r="C12" s="13" t="s">
        <v>3038</v>
      </c>
      <c r="D12" s="13" t="s">
        <v>3039</v>
      </c>
    </row>
    <row r="13" spans="1:4" x14ac:dyDescent="0.25">
      <c r="A13" s="38">
        <v>12</v>
      </c>
      <c r="B13" s="13" t="s">
        <v>786</v>
      </c>
      <c r="C13" s="13" t="s">
        <v>786</v>
      </c>
      <c r="D13" s="13" t="s">
        <v>785</v>
      </c>
    </row>
    <row r="14" spans="1:4" x14ac:dyDescent="0.25">
      <c r="A14" s="38">
        <v>13</v>
      </c>
      <c r="B14" s="13" t="s">
        <v>3040</v>
      </c>
      <c r="C14" s="13" t="s">
        <v>3040</v>
      </c>
      <c r="D14" s="13" t="s">
        <v>3041</v>
      </c>
    </row>
    <row r="15" spans="1:4" x14ac:dyDescent="0.25">
      <c r="A15" s="38">
        <v>14</v>
      </c>
      <c r="B15" s="13" t="s">
        <v>3042</v>
      </c>
      <c r="C15" s="13" t="s">
        <v>3042</v>
      </c>
      <c r="D15" s="13" t="s">
        <v>3043</v>
      </c>
    </row>
    <row r="16" spans="1:4" x14ac:dyDescent="0.25">
      <c r="A16" s="38">
        <v>15</v>
      </c>
      <c r="B16" s="13" t="s">
        <v>3044</v>
      </c>
      <c r="C16" s="13" t="s">
        <v>3044</v>
      </c>
      <c r="D16" s="13" t="s">
        <v>3045</v>
      </c>
    </row>
    <row r="17" spans="1:4" x14ac:dyDescent="0.25">
      <c r="A17" s="38">
        <v>16</v>
      </c>
      <c r="B17" s="13" t="s">
        <v>3046</v>
      </c>
      <c r="C17" s="13" t="s">
        <v>3046</v>
      </c>
      <c r="D17" s="13" t="s">
        <v>3047</v>
      </c>
    </row>
    <row r="18" spans="1:4" x14ac:dyDescent="0.25">
      <c r="A18" s="38">
        <v>17</v>
      </c>
      <c r="B18" s="13" t="s">
        <v>3048</v>
      </c>
      <c r="C18" s="13" t="s">
        <v>3048</v>
      </c>
      <c r="D18" s="13" t="s">
        <v>3049</v>
      </c>
    </row>
    <row r="19" spans="1:4" x14ac:dyDescent="0.25">
      <c r="A19" s="38">
        <v>18</v>
      </c>
      <c r="B19" s="13" t="s">
        <v>3050</v>
      </c>
      <c r="C19" s="13" t="s">
        <v>3050</v>
      </c>
      <c r="D19" s="13" t="s">
        <v>3051</v>
      </c>
    </row>
    <row r="20" spans="1:4" x14ac:dyDescent="0.25">
      <c r="A20" s="38">
        <v>19</v>
      </c>
      <c r="B20" s="13" t="s">
        <v>3052</v>
      </c>
      <c r="C20" s="13" t="s">
        <v>3052</v>
      </c>
      <c r="D20" s="13" t="s">
        <v>3053</v>
      </c>
    </row>
    <row r="21" spans="1:4" ht="15.75" customHeight="1" x14ac:dyDescent="0.25">
      <c r="A21" s="38">
        <v>20</v>
      </c>
      <c r="B21" s="13" t="s">
        <v>3054</v>
      </c>
      <c r="C21" s="13" t="s">
        <v>3054</v>
      </c>
      <c r="D21" s="13" t="s">
        <v>3055</v>
      </c>
    </row>
    <row r="22" spans="1:4" ht="15.75" customHeight="1" x14ac:dyDescent="0.25">
      <c r="A22" s="38">
        <v>21</v>
      </c>
      <c r="B22" s="13" t="s">
        <v>3056</v>
      </c>
      <c r="C22" s="13" t="s">
        <v>3056</v>
      </c>
      <c r="D22" s="13" t="s">
        <v>3057</v>
      </c>
    </row>
    <row r="23" spans="1:4" ht="15.75" customHeight="1" x14ac:dyDescent="0.25">
      <c r="A23" s="38">
        <v>22</v>
      </c>
      <c r="B23" s="13" t="s">
        <v>3058</v>
      </c>
      <c r="C23" s="13" t="s">
        <v>3058</v>
      </c>
      <c r="D23" s="13" t="s">
        <v>3057</v>
      </c>
    </row>
    <row r="24" spans="1:4" ht="15.75" customHeight="1" x14ac:dyDescent="0.25">
      <c r="A24" s="38">
        <v>23</v>
      </c>
      <c r="B24" s="13" t="s">
        <v>3059</v>
      </c>
      <c r="C24" s="13" t="s">
        <v>3059</v>
      </c>
      <c r="D24" s="13" t="s">
        <v>3060</v>
      </c>
    </row>
    <row r="25" spans="1:4" ht="15.75" customHeight="1" x14ac:dyDescent="0.25">
      <c r="A25" s="38">
        <v>24</v>
      </c>
      <c r="B25" s="13" t="s">
        <v>3061</v>
      </c>
      <c r="C25" s="13" t="s">
        <v>3061</v>
      </c>
      <c r="D25" s="13" t="s">
        <v>3060</v>
      </c>
    </row>
    <row r="26" spans="1:4" ht="15.75" customHeight="1" x14ac:dyDescent="0.25">
      <c r="A26" s="38">
        <v>25</v>
      </c>
      <c r="B26" s="13" t="s">
        <v>3062</v>
      </c>
      <c r="C26" s="13" t="s">
        <v>3062</v>
      </c>
      <c r="D26" s="13" t="s">
        <v>3063</v>
      </c>
    </row>
    <row r="27" spans="1:4" ht="15.75" customHeight="1" x14ac:dyDescent="0.25">
      <c r="A27" s="38">
        <v>26</v>
      </c>
      <c r="B27" s="13" t="s">
        <v>3064</v>
      </c>
      <c r="C27" s="13" t="s">
        <v>3064</v>
      </c>
      <c r="D27" s="13" t="s">
        <v>3063</v>
      </c>
    </row>
    <row r="28" spans="1:4" ht="15.75" customHeight="1" x14ac:dyDescent="0.25">
      <c r="A28" s="38">
        <v>27</v>
      </c>
      <c r="B28" s="13" t="s">
        <v>3065</v>
      </c>
      <c r="C28" s="13" t="s">
        <v>3065</v>
      </c>
      <c r="D28" s="13" t="s">
        <v>3066</v>
      </c>
    </row>
    <row r="29" spans="1:4" ht="15.75" customHeight="1" x14ac:dyDescent="0.25">
      <c r="A29" s="38">
        <v>28</v>
      </c>
      <c r="B29" s="13" t="s">
        <v>3067</v>
      </c>
      <c r="C29" s="13" t="s">
        <v>3067</v>
      </c>
      <c r="D29" s="13" t="s">
        <v>3066</v>
      </c>
    </row>
    <row r="30" spans="1:4" ht="15.75" customHeight="1" x14ac:dyDescent="0.25">
      <c r="A30" s="38">
        <v>29</v>
      </c>
      <c r="B30" s="13" t="s">
        <v>3068</v>
      </c>
      <c r="C30" s="13" t="s">
        <v>3068</v>
      </c>
      <c r="D30" s="13" t="s">
        <v>3069</v>
      </c>
    </row>
    <row r="31" spans="1:4" ht="15.75" customHeight="1" x14ac:dyDescent="0.25">
      <c r="A31" s="38">
        <v>30</v>
      </c>
      <c r="B31" s="13" t="s">
        <v>3070</v>
      </c>
      <c r="C31" s="13" t="s">
        <v>3070</v>
      </c>
      <c r="D31" s="13" t="s">
        <v>3071</v>
      </c>
    </row>
    <row r="32" spans="1:4" ht="15.75" customHeight="1" x14ac:dyDescent="0.25">
      <c r="A32" s="38">
        <v>31</v>
      </c>
      <c r="B32" s="13" t="s">
        <v>3072</v>
      </c>
      <c r="C32" s="13" t="s">
        <v>3072</v>
      </c>
      <c r="D32" s="13" t="s">
        <v>3055</v>
      </c>
    </row>
    <row r="33" spans="1:4" ht="15.75" customHeight="1" x14ac:dyDescent="0.25">
      <c r="A33" s="38">
        <v>32</v>
      </c>
      <c r="B33" s="13" t="s">
        <v>3073</v>
      </c>
      <c r="C33" s="13" t="s">
        <v>3073</v>
      </c>
      <c r="D33" s="13" t="s">
        <v>3073</v>
      </c>
    </row>
    <row r="34" spans="1:4" ht="15.75" customHeight="1" x14ac:dyDescent="0.25">
      <c r="A34" s="38">
        <v>33</v>
      </c>
      <c r="B34" s="13" t="s">
        <v>3074</v>
      </c>
      <c r="C34" s="13" t="s">
        <v>3074</v>
      </c>
      <c r="D34" s="13" t="s">
        <v>3075</v>
      </c>
    </row>
    <row r="35" spans="1:4" ht="15.75" customHeight="1" x14ac:dyDescent="0.25">
      <c r="A35" s="38">
        <v>34</v>
      </c>
      <c r="B35" s="13" t="s">
        <v>3076</v>
      </c>
      <c r="C35" s="13" t="s">
        <v>3076</v>
      </c>
      <c r="D35" s="13" t="s">
        <v>3076</v>
      </c>
    </row>
    <row r="36" spans="1:4" ht="15.75" customHeight="1" x14ac:dyDescent="0.25">
      <c r="B36" s="16" t="s">
        <v>3077</v>
      </c>
      <c r="C36" s="38" t="s">
        <v>802</v>
      </c>
      <c r="D36" s="38" t="s">
        <v>803</v>
      </c>
    </row>
    <row r="37" spans="1:4" ht="15.75" customHeight="1" x14ac:dyDescent="0.25">
      <c r="B37" s="13"/>
    </row>
    <row r="38" spans="1:4" ht="15.75" customHeight="1" x14ac:dyDescent="0.25">
      <c r="B38" s="13"/>
    </row>
    <row r="39" spans="1:4" ht="15.75" customHeight="1" x14ac:dyDescent="0.25">
      <c r="B39" s="13"/>
    </row>
    <row r="40" spans="1:4" ht="15.75" customHeight="1" x14ac:dyDescent="0.25">
      <c r="B40" s="13"/>
    </row>
    <row r="41" spans="1:4" ht="15.75" customHeight="1" x14ac:dyDescent="0.25">
      <c r="B41" s="13"/>
    </row>
    <row r="42" spans="1:4" ht="15.75" customHeight="1" x14ac:dyDescent="0.25">
      <c r="B42" s="13"/>
    </row>
    <row r="43" spans="1:4" ht="15.75" customHeight="1" x14ac:dyDescent="0.25">
      <c r="B43" s="13"/>
    </row>
    <row r="44" spans="1:4" ht="15.75" customHeight="1" x14ac:dyDescent="0.25">
      <c r="B44" s="13"/>
    </row>
    <row r="45" spans="1:4" ht="15.75" customHeight="1" x14ac:dyDescent="0.25">
      <c r="B45" s="13"/>
    </row>
    <row r="46" spans="1:4" ht="15.75" customHeight="1" x14ac:dyDescent="0.25">
      <c r="B46" s="13"/>
    </row>
    <row r="47" spans="1:4" ht="15.75" customHeight="1" x14ac:dyDescent="0.25">
      <c r="B47" s="13"/>
    </row>
    <row r="48" spans="1:4" ht="15.75" customHeight="1" x14ac:dyDescent="0.25">
      <c r="B48" s="13"/>
    </row>
    <row r="49" spans="2:2" ht="15.75" customHeight="1" x14ac:dyDescent="0.25">
      <c r="B49" s="13"/>
    </row>
    <row r="50" spans="2:2" ht="15.75" customHeight="1" x14ac:dyDescent="0.25">
      <c r="B50" s="13"/>
    </row>
    <row r="51" spans="2:2" ht="15.75" customHeight="1" x14ac:dyDescent="0.25">
      <c r="B51" s="13"/>
    </row>
    <row r="52" spans="2:2" ht="15.75" customHeight="1" x14ac:dyDescent="0.25">
      <c r="B52" s="13"/>
    </row>
    <row r="53" spans="2:2" ht="15.75" customHeight="1" x14ac:dyDescent="0.25">
      <c r="B53" s="13"/>
    </row>
    <row r="54" spans="2:2" ht="15.75" customHeight="1" x14ac:dyDescent="0.25">
      <c r="B54" s="13"/>
    </row>
    <row r="55" spans="2:2" ht="15.75" customHeight="1" x14ac:dyDescent="0.25">
      <c r="B55" s="13"/>
    </row>
    <row r="56" spans="2:2" ht="15.75" customHeight="1" x14ac:dyDescent="0.25">
      <c r="B56" s="13"/>
    </row>
    <row r="57" spans="2:2" ht="15.75" customHeight="1" x14ac:dyDescent="0.25">
      <c r="B57" s="13"/>
    </row>
    <row r="58" spans="2:2" ht="15.75" customHeight="1" x14ac:dyDescent="0.25">
      <c r="B58" s="13"/>
    </row>
    <row r="59" spans="2:2" ht="15.75" customHeight="1" x14ac:dyDescent="0.25">
      <c r="B59" s="13"/>
    </row>
    <row r="60" spans="2:2" ht="15.75" customHeight="1" x14ac:dyDescent="0.25">
      <c r="B60" s="13"/>
    </row>
    <row r="61" spans="2:2" ht="15.75" customHeight="1" x14ac:dyDescent="0.25">
      <c r="B61" s="13"/>
    </row>
    <row r="62" spans="2:2" ht="15.75" customHeight="1" x14ac:dyDescent="0.25">
      <c r="B62" s="13"/>
    </row>
    <row r="63" spans="2:2" ht="15.75" customHeight="1" x14ac:dyDescent="0.25">
      <c r="B63" s="13"/>
    </row>
    <row r="64" spans="2:2" ht="15.75" customHeight="1" x14ac:dyDescent="0.25">
      <c r="B64" s="13"/>
    </row>
    <row r="65" spans="2:2" ht="15.75" customHeight="1" x14ac:dyDescent="0.25">
      <c r="B65" s="13"/>
    </row>
    <row r="66" spans="2:2" ht="15.75" customHeight="1" x14ac:dyDescent="0.25">
      <c r="B66" s="13"/>
    </row>
    <row r="67" spans="2:2" ht="15.75" customHeight="1" x14ac:dyDescent="0.25">
      <c r="B67" s="13"/>
    </row>
    <row r="68" spans="2:2" ht="15.75" customHeight="1" x14ac:dyDescent="0.25">
      <c r="B68" s="13"/>
    </row>
    <row r="69" spans="2:2" ht="15.75" customHeight="1" x14ac:dyDescent="0.25">
      <c r="B69" s="13"/>
    </row>
    <row r="70" spans="2:2" ht="15.75" customHeight="1" x14ac:dyDescent="0.25">
      <c r="B70" s="13"/>
    </row>
    <row r="71" spans="2:2" ht="15.75" customHeight="1" x14ac:dyDescent="0.25">
      <c r="B71" s="13"/>
    </row>
    <row r="72" spans="2:2" ht="15.75" customHeight="1" x14ac:dyDescent="0.25">
      <c r="B72" s="13"/>
    </row>
    <row r="73" spans="2:2" ht="15.75" customHeight="1" x14ac:dyDescent="0.25">
      <c r="B73" s="13"/>
    </row>
    <row r="74" spans="2:2" ht="15.75" customHeight="1" x14ac:dyDescent="0.25">
      <c r="B74" s="13"/>
    </row>
    <row r="75" spans="2:2" ht="15.75" customHeight="1" x14ac:dyDescent="0.25">
      <c r="B75" s="13"/>
    </row>
    <row r="76" spans="2:2" ht="15.75" customHeight="1" x14ac:dyDescent="0.25">
      <c r="B76" s="13"/>
    </row>
    <row r="77" spans="2:2" ht="15.75" customHeight="1" x14ac:dyDescent="0.25">
      <c r="B77" s="13"/>
    </row>
    <row r="78" spans="2:2" ht="15.75" customHeight="1" x14ac:dyDescent="0.25">
      <c r="B78" s="13"/>
    </row>
    <row r="79" spans="2:2" ht="15.75" customHeight="1" x14ac:dyDescent="0.25">
      <c r="B79" s="13"/>
    </row>
    <row r="80" spans="2:2" ht="15.75" customHeight="1" x14ac:dyDescent="0.25">
      <c r="B80" s="13"/>
    </row>
    <row r="81" spans="2:2" ht="15.75" customHeight="1" x14ac:dyDescent="0.25">
      <c r="B81" s="13"/>
    </row>
    <row r="82" spans="2:2" ht="15.75" customHeight="1" x14ac:dyDescent="0.25">
      <c r="B82" s="13"/>
    </row>
    <row r="83" spans="2:2" ht="15.75" customHeight="1" x14ac:dyDescent="0.25">
      <c r="B83" s="13"/>
    </row>
    <row r="84" spans="2:2" ht="15.75" customHeight="1" x14ac:dyDescent="0.25">
      <c r="B84" s="13"/>
    </row>
    <row r="85" spans="2:2" ht="15.75" customHeight="1" x14ac:dyDescent="0.25">
      <c r="B85" s="13"/>
    </row>
    <row r="86" spans="2:2" ht="15.75" customHeight="1" x14ac:dyDescent="0.25">
      <c r="B86" s="13"/>
    </row>
    <row r="87" spans="2:2" ht="15.75" customHeight="1" x14ac:dyDescent="0.25">
      <c r="B87" s="13"/>
    </row>
    <row r="88" spans="2:2" ht="15.75" customHeight="1" x14ac:dyDescent="0.25">
      <c r="B88" s="13"/>
    </row>
    <row r="89" spans="2:2" ht="15.75" customHeight="1" x14ac:dyDescent="0.25">
      <c r="B89" s="13"/>
    </row>
    <row r="90" spans="2:2" ht="15.75" customHeight="1" x14ac:dyDescent="0.25">
      <c r="B90" s="13"/>
    </row>
    <row r="91" spans="2:2" ht="15.75" customHeight="1" x14ac:dyDescent="0.25">
      <c r="B91" s="13"/>
    </row>
    <row r="92" spans="2:2" ht="15.75" customHeight="1" x14ac:dyDescent="0.25">
      <c r="B92" s="13"/>
    </row>
    <row r="93" spans="2:2" ht="15.75" customHeight="1" x14ac:dyDescent="0.25">
      <c r="B93" s="13"/>
    </row>
    <row r="94" spans="2:2" ht="15.75" customHeight="1" x14ac:dyDescent="0.25">
      <c r="B94" s="13"/>
    </row>
    <row r="95" spans="2:2" ht="15.75" customHeight="1" x14ac:dyDescent="0.25">
      <c r="B95" s="13"/>
    </row>
    <row r="96" spans="2:2" ht="15.75" customHeight="1" x14ac:dyDescent="0.25">
      <c r="B96" s="13"/>
    </row>
    <row r="97" spans="2:2" ht="15.75" customHeight="1" x14ac:dyDescent="0.25">
      <c r="B97" s="13"/>
    </row>
    <row r="98" spans="2:2" ht="15.75" customHeight="1" x14ac:dyDescent="0.25">
      <c r="B98" s="13"/>
    </row>
    <row r="99" spans="2:2" ht="15.75" customHeight="1" x14ac:dyDescent="0.25">
      <c r="B99" s="13"/>
    </row>
    <row r="100" spans="2:2" ht="15.75" customHeight="1" x14ac:dyDescent="0.25">
      <c r="B100" s="13"/>
    </row>
    <row r="101" spans="2:2" ht="15.75" customHeight="1" x14ac:dyDescent="0.25">
      <c r="B101" s="13"/>
    </row>
    <row r="102" spans="2:2" ht="15.75" customHeight="1" x14ac:dyDescent="0.25">
      <c r="B102" s="13"/>
    </row>
    <row r="103" spans="2:2" ht="15.75" customHeight="1" x14ac:dyDescent="0.25">
      <c r="B103" s="13"/>
    </row>
    <row r="104" spans="2:2" ht="15.75" customHeight="1" x14ac:dyDescent="0.25">
      <c r="B104" s="13"/>
    </row>
    <row r="105" spans="2:2" ht="15.75" customHeight="1" x14ac:dyDescent="0.25">
      <c r="B105" s="13"/>
    </row>
    <row r="106" spans="2:2" ht="15.75" customHeight="1" x14ac:dyDescent="0.25">
      <c r="B106" s="13"/>
    </row>
    <row r="107" spans="2:2" ht="15.75" customHeight="1" x14ac:dyDescent="0.25">
      <c r="B107" s="13"/>
    </row>
    <row r="108" spans="2:2" ht="15.75" customHeight="1" x14ac:dyDescent="0.25">
      <c r="B108" s="13"/>
    </row>
    <row r="109" spans="2:2" ht="15.75" customHeight="1" x14ac:dyDescent="0.25">
      <c r="B109" s="13"/>
    </row>
    <row r="110" spans="2:2" ht="15.75" customHeight="1" x14ac:dyDescent="0.25">
      <c r="B110" s="13"/>
    </row>
    <row r="111" spans="2:2" ht="15.75" customHeight="1" x14ac:dyDescent="0.25">
      <c r="B111" s="13"/>
    </row>
    <row r="112" spans="2:2" ht="15.75" customHeight="1" x14ac:dyDescent="0.25">
      <c r="B112" s="13"/>
    </row>
    <row r="113" spans="2:2" ht="15.75" customHeight="1" x14ac:dyDescent="0.25">
      <c r="B113" s="13"/>
    </row>
    <row r="114" spans="2:2" ht="15.75" customHeight="1" x14ac:dyDescent="0.25">
      <c r="B114" s="13"/>
    </row>
    <row r="115" spans="2:2" ht="15.75" customHeight="1" x14ac:dyDescent="0.25">
      <c r="B115" s="13"/>
    </row>
    <row r="116" spans="2:2" ht="15.75" customHeight="1" x14ac:dyDescent="0.25">
      <c r="B116" s="13"/>
    </row>
    <row r="117" spans="2:2" ht="15.75" customHeight="1" x14ac:dyDescent="0.25">
      <c r="B117" s="13"/>
    </row>
    <row r="118" spans="2:2" ht="15.75" customHeight="1" x14ac:dyDescent="0.25">
      <c r="B118" s="13"/>
    </row>
    <row r="119" spans="2:2" ht="15.75" customHeight="1" x14ac:dyDescent="0.25">
      <c r="B119" s="13"/>
    </row>
    <row r="120" spans="2:2" ht="15.75" customHeight="1" x14ac:dyDescent="0.25">
      <c r="B120" s="13"/>
    </row>
    <row r="121" spans="2:2" ht="15.75" customHeight="1" x14ac:dyDescent="0.25">
      <c r="B121" s="13"/>
    </row>
    <row r="122" spans="2:2" ht="15.75" customHeight="1" x14ac:dyDescent="0.25">
      <c r="B122" s="13"/>
    </row>
    <row r="123" spans="2:2" ht="15.75" customHeight="1" x14ac:dyDescent="0.25">
      <c r="B123" s="13"/>
    </row>
    <row r="124" spans="2:2" ht="15.75" customHeight="1" x14ac:dyDescent="0.25">
      <c r="B124" s="13"/>
    </row>
    <row r="125" spans="2:2" ht="15.75" customHeight="1" x14ac:dyDescent="0.25">
      <c r="B125" s="13"/>
    </row>
    <row r="126" spans="2:2" ht="15.75" customHeight="1" x14ac:dyDescent="0.25">
      <c r="B126" s="13"/>
    </row>
    <row r="127" spans="2:2" ht="15.75" customHeight="1" x14ac:dyDescent="0.25">
      <c r="B127" s="13"/>
    </row>
    <row r="128" spans="2:2" ht="15.75" customHeight="1" x14ac:dyDescent="0.25">
      <c r="B128" s="13"/>
    </row>
    <row r="129" spans="2:2" ht="15.75" customHeight="1" x14ac:dyDescent="0.25">
      <c r="B129" s="13"/>
    </row>
    <row r="130" spans="2:2" ht="15.75" customHeight="1" x14ac:dyDescent="0.25">
      <c r="B130" s="13"/>
    </row>
    <row r="131" spans="2:2" ht="15.75" customHeight="1" x14ac:dyDescent="0.25">
      <c r="B131" s="13"/>
    </row>
    <row r="132" spans="2:2" ht="15.75" customHeight="1" x14ac:dyDescent="0.25">
      <c r="B132" s="13"/>
    </row>
    <row r="133" spans="2:2" ht="15.75" customHeight="1" x14ac:dyDescent="0.25">
      <c r="B133" s="13"/>
    </row>
    <row r="134" spans="2:2" ht="15.75" customHeight="1" x14ac:dyDescent="0.25">
      <c r="B134" s="13"/>
    </row>
    <row r="135" spans="2:2" ht="15.75" customHeight="1" x14ac:dyDescent="0.25">
      <c r="B135" s="13"/>
    </row>
    <row r="136" spans="2:2" ht="15.75" customHeight="1" x14ac:dyDescent="0.25">
      <c r="B136" s="13"/>
    </row>
    <row r="137" spans="2:2" ht="15.75" customHeight="1" x14ac:dyDescent="0.25">
      <c r="B137" s="13"/>
    </row>
    <row r="138" spans="2:2" ht="15.75" customHeight="1" x14ac:dyDescent="0.25">
      <c r="B138" s="13"/>
    </row>
    <row r="139" spans="2:2" ht="15.75" customHeight="1" x14ac:dyDescent="0.25">
      <c r="B139" s="13"/>
    </row>
    <row r="140" spans="2:2" ht="15.75" customHeight="1" x14ac:dyDescent="0.25">
      <c r="B140" s="13"/>
    </row>
    <row r="141" spans="2:2" ht="15.75" customHeight="1" x14ac:dyDescent="0.25">
      <c r="B141" s="13"/>
    </row>
    <row r="142" spans="2:2" ht="15.75" customHeight="1" x14ac:dyDescent="0.25">
      <c r="B142" s="13"/>
    </row>
    <row r="143" spans="2:2" ht="15.75" customHeight="1" x14ac:dyDescent="0.25">
      <c r="B143" s="13"/>
    </row>
    <row r="144" spans="2:2" ht="15.75" customHeight="1" x14ac:dyDescent="0.25">
      <c r="B144" s="13"/>
    </row>
    <row r="145" spans="2:2" ht="15.75" customHeight="1" x14ac:dyDescent="0.25">
      <c r="B145" s="13"/>
    </row>
    <row r="146" spans="2:2" ht="15.75" customHeight="1" x14ac:dyDescent="0.25">
      <c r="B146" s="13"/>
    </row>
    <row r="147" spans="2:2" ht="15.75" customHeight="1" x14ac:dyDescent="0.25">
      <c r="B147" s="13"/>
    </row>
    <row r="148" spans="2:2" ht="15.75" customHeight="1" x14ac:dyDescent="0.25">
      <c r="B148" s="13"/>
    </row>
    <row r="149" spans="2:2" ht="15.75" customHeight="1" x14ac:dyDescent="0.25">
      <c r="B149" s="13"/>
    </row>
    <row r="150" spans="2:2" ht="15.75" customHeight="1" x14ac:dyDescent="0.25">
      <c r="B150" s="13"/>
    </row>
    <row r="151" spans="2:2" ht="15.75" customHeight="1" x14ac:dyDescent="0.25">
      <c r="B151" s="13"/>
    </row>
    <row r="152" spans="2:2" ht="15.75" customHeight="1" x14ac:dyDescent="0.25">
      <c r="B152" s="13"/>
    </row>
    <row r="153" spans="2:2" ht="15.75" customHeight="1" x14ac:dyDescent="0.25">
      <c r="B153" s="13"/>
    </row>
    <row r="154" spans="2:2" ht="15.75" customHeight="1" x14ac:dyDescent="0.25">
      <c r="B154" s="13"/>
    </row>
    <row r="155" spans="2:2" ht="15.75" customHeight="1" x14ac:dyDescent="0.25">
      <c r="B155" s="13"/>
    </row>
    <row r="156" spans="2:2" ht="15.75" customHeight="1" x14ac:dyDescent="0.25">
      <c r="B156" s="13"/>
    </row>
    <row r="157" spans="2:2" ht="15.75" customHeight="1" x14ac:dyDescent="0.25">
      <c r="B157" s="13"/>
    </row>
    <row r="158" spans="2:2" ht="15.75" customHeight="1" x14ac:dyDescent="0.25">
      <c r="B158" s="13"/>
    </row>
    <row r="159" spans="2:2" ht="15.75" customHeight="1" x14ac:dyDescent="0.25">
      <c r="B159" s="13"/>
    </row>
    <row r="160" spans="2:2" ht="15.75" customHeight="1" x14ac:dyDescent="0.25">
      <c r="B160" s="13"/>
    </row>
    <row r="161" spans="2:2" ht="15.75" customHeight="1" x14ac:dyDescent="0.25">
      <c r="B161" s="13"/>
    </row>
    <row r="162" spans="2:2" ht="15.75" customHeight="1" x14ac:dyDescent="0.25">
      <c r="B162" s="13"/>
    </row>
    <row r="163" spans="2:2" ht="15.75" customHeight="1" x14ac:dyDescent="0.25">
      <c r="B163" s="13"/>
    </row>
    <row r="164" spans="2:2" ht="15.75" customHeight="1" x14ac:dyDescent="0.25">
      <c r="B164" s="13"/>
    </row>
    <row r="165" spans="2:2" ht="15.75" customHeight="1" x14ac:dyDescent="0.25">
      <c r="B165" s="13"/>
    </row>
    <row r="166" spans="2:2" ht="15.75" customHeight="1" x14ac:dyDescent="0.25">
      <c r="B166" s="13"/>
    </row>
    <row r="167" spans="2:2" ht="15.75" customHeight="1" x14ac:dyDescent="0.25">
      <c r="B167" s="13"/>
    </row>
    <row r="168" spans="2:2" ht="15.75" customHeight="1" x14ac:dyDescent="0.25">
      <c r="B168" s="13"/>
    </row>
    <row r="169" spans="2:2" ht="15.75" customHeight="1" x14ac:dyDescent="0.25">
      <c r="B169" s="13"/>
    </row>
    <row r="170" spans="2:2" ht="15.75" customHeight="1" x14ac:dyDescent="0.25">
      <c r="B170" s="13"/>
    </row>
    <row r="171" spans="2:2" ht="15.75" customHeight="1" x14ac:dyDescent="0.25">
      <c r="B171" s="13"/>
    </row>
    <row r="172" spans="2:2" ht="15.75" customHeight="1" x14ac:dyDescent="0.25">
      <c r="B172" s="13"/>
    </row>
    <row r="173" spans="2:2" ht="15.75" customHeight="1" x14ac:dyDescent="0.25">
      <c r="B173" s="13"/>
    </row>
    <row r="174" spans="2:2" ht="15.75" customHeight="1" x14ac:dyDescent="0.25">
      <c r="B174" s="13"/>
    </row>
    <row r="175" spans="2:2" ht="15.75" customHeight="1" x14ac:dyDescent="0.25">
      <c r="B175" s="13"/>
    </row>
    <row r="176" spans="2:2" ht="15.75" customHeight="1" x14ac:dyDescent="0.25">
      <c r="B176" s="13"/>
    </row>
    <row r="177" spans="2:2" ht="15.75" customHeight="1" x14ac:dyDescent="0.25">
      <c r="B177" s="13"/>
    </row>
    <row r="178" spans="2:2" ht="15.75" customHeight="1" x14ac:dyDescent="0.25">
      <c r="B178" s="13"/>
    </row>
    <row r="179" spans="2:2" ht="15.75" customHeight="1" x14ac:dyDescent="0.25">
      <c r="B179" s="13"/>
    </row>
    <row r="180" spans="2:2" ht="15.75" customHeight="1" x14ac:dyDescent="0.25">
      <c r="B180" s="13"/>
    </row>
    <row r="181" spans="2:2" ht="15.75" customHeight="1" x14ac:dyDescent="0.25">
      <c r="B181" s="13"/>
    </row>
    <row r="182" spans="2:2" ht="15.75" customHeight="1" x14ac:dyDescent="0.25">
      <c r="B182" s="13"/>
    </row>
    <row r="183" spans="2:2" ht="15.75" customHeight="1" x14ac:dyDescent="0.25">
      <c r="B183" s="13"/>
    </row>
    <row r="184" spans="2:2" ht="15.75" customHeight="1" x14ac:dyDescent="0.25">
      <c r="B184" s="13"/>
    </row>
    <row r="185" spans="2:2" ht="15.75" customHeight="1" x14ac:dyDescent="0.25">
      <c r="B185" s="13"/>
    </row>
    <row r="186" spans="2:2" ht="15.75" customHeight="1" x14ac:dyDescent="0.25">
      <c r="B186" s="13"/>
    </row>
    <row r="187" spans="2:2" ht="15.75" customHeight="1" x14ac:dyDescent="0.25">
      <c r="B187" s="13"/>
    </row>
    <row r="188" spans="2:2" ht="15.75" customHeight="1" x14ac:dyDescent="0.25">
      <c r="B188" s="13"/>
    </row>
    <row r="189" spans="2:2" ht="15.75" customHeight="1" x14ac:dyDescent="0.25">
      <c r="B189" s="13"/>
    </row>
    <row r="190" spans="2:2" ht="15.75" customHeight="1" x14ac:dyDescent="0.25">
      <c r="B190" s="13"/>
    </row>
    <row r="191" spans="2:2" ht="15.75" customHeight="1" x14ac:dyDescent="0.25">
      <c r="B191" s="13"/>
    </row>
    <row r="192" spans="2:2" ht="15.75" customHeight="1" x14ac:dyDescent="0.25">
      <c r="B192" s="13"/>
    </row>
    <row r="193" spans="2:2" ht="15.75" customHeight="1" x14ac:dyDescent="0.25">
      <c r="B193" s="13"/>
    </row>
    <row r="194" spans="2:2" ht="15.75" customHeight="1" x14ac:dyDescent="0.25">
      <c r="B194" s="13"/>
    </row>
    <row r="195" spans="2:2" ht="15.75" customHeight="1" x14ac:dyDescent="0.25">
      <c r="B195" s="13"/>
    </row>
    <row r="196" spans="2:2" ht="15.75" customHeight="1" x14ac:dyDescent="0.25">
      <c r="B196" s="13"/>
    </row>
    <row r="197" spans="2:2" ht="15.75" customHeight="1" x14ac:dyDescent="0.25">
      <c r="B197" s="13"/>
    </row>
    <row r="198" spans="2:2" ht="15.75" customHeight="1" x14ac:dyDescent="0.25">
      <c r="B198" s="13"/>
    </row>
    <row r="199" spans="2:2" ht="15.75" customHeight="1" x14ac:dyDescent="0.25">
      <c r="B199" s="13"/>
    </row>
    <row r="200" spans="2:2" ht="15.75" customHeight="1" x14ac:dyDescent="0.25">
      <c r="B200" s="13"/>
    </row>
    <row r="201" spans="2:2" ht="15.75" customHeight="1" x14ac:dyDescent="0.25">
      <c r="B201" s="13"/>
    </row>
    <row r="202" spans="2:2" ht="15.75" customHeight="1" x14ac:dyDescent="0.25">
      <c r="B202" s="13"/>
    </row>
    <row r="203" spans="2:2" ht="15.75" customHeight="1" x14ac:dyDescent="0.25">
      <c r="B203" s="13"/>
    </row>
    <row r="204" spans="2:2" ht="15.75" customHeight="1" x14ac:dyDescent="0.25">
      <c r="B204" s="13"/>
    </row>
    <row r="205" spans="2:2" ht="15.75" customHeight="1" x14ac:dyDescent="0.25">
      <c r="B205" s="13"/>
    </row>
    <row r="206" spans="2:2" ht="15.75" customHeight="1" x14ac:dyDescent="0.25">
      <c r="B206" s="13"/>
    </row>
    <row r="207" spans="2:2" ht="15.75" customHeight="1" x14ac:dyDescent="0.25">
      <c r="B207" s="13"/>
    </row>
    <row r="208" spans="2:2" ht="15.75" customHeight="1" x14ac:dyDescent="0.25">
      <c r="B208" s="13"/>
    </row>
    <row r="209" spans="2:2" ht="15.75" customHeight="1" x14ac:dyDescent="0.25">
      <c r="B209" s="13"/>
    </row>
    <row r="210" spans="2:2" ht="15.75" customHeight="1" x14ac:dyDescent="0.25">
      <c r="B210" s="13"/>
    </row>
    <row r="211" spans="2:2" ht="15.75" customHeight="1" x14ac:dyDescent="0.25">
      <c r="B211" s="13"/>
    </row>
    <row r="212" spans="2:2" ht="15.75" customHeight="1" x14ac:dyDescent="0.25">
      <c r="B212" s="13"/>
    </row>
    <row r="213" spans="2:2" ht="15.75" customHeight="1" x14ac:dyDescent="0.25">
      <c r="B213" s="13"/>
    </row>
    <row r="214" spans="2:2" ht="15.75" customHeight="1" x14ac:dyDescent="0.25">
      <c r="B214" s="13"/>
    </row>
    <row r="215" spans="2:2" ht="15.75" customHeight="1" x14ac:dyDescent="0.25">
      <c r="B215" s="13"/>
    </row>
    <row r="216" spans="2:2" ht="15.75" customHeight="1" x14ac:dyDescent="0.25">
      <c r="B216" s="13"/>
    </row>
    <row r="217" spans="2:2" ht="15.75" customHeight="1" x14ac:dyDescent="0.25">
      <c r="B217" s="13"/>
    </row>
    <row r="218" spans="2:2" ht="15.75" customHeight="1" x14ac:dyDescent="0.25">
      <c r="B218" s="13"/>
    </row>
    <row r="219" spans="2:2" ht="15.75" customHeight="1" x14ac:dyDescent="0.25">
      <c r="B219" s="13"/>
    </row>
    <row r="220" spans="2:2" ht="15.75" customHeight="1" x14ac:dyDescent="0.25">
      <c r="B220" s="13"/>
    </row>
    <row r="221" spans="2:2" ht="15.75" customHeight="1" x14ac:dyDescent="0.25">
      <c r="B221" s="13"/>
    </row>
    <row r="222" spans="2:2" ht="15.75" customHeight="1" x14ac:dyDescent="0.25">
      <c r="B222" s="13"/>
    </row>
    <row r="223" spans="2:2" ht="15.75" customHeight="1" x14ac:dyDescent="0.25">
      <c r="B223" s="13"/>
    </row>
    <row r="224" spans="2:2" ht="15.75" customHeight="1" x14ac:dyDescent="0.25">
      <c r="B224" s="13"/>
    </row>
    <row r="225" spans="2:2" ht="15.75" customHeight="1" x14ac:dyDescent="0.25">
      <c r="B225" s="13"/>
    </row>
    <row r="226" spans="2:2" ht="15.75" customHeight="1" x14ac:dyDescent="0.25">
      <c r="B226" s="13"/>
    </row>
    <row r="227" spans="2:2" ht="15.75" customHeight="1" x14ac:dyDescent="0.25">
      <c r="B227" s="13"/>
    </row>
    <row r="228" spans="2:2" ht="15.75" customHeight="1" x14ac:dyDescent="0.25">
      <c r="B228" s="13"/>
    </row>
    <row r="229" spans="2:2" ht="15.75" customHeight="1" x14ac:dyDescent="0.25">
      <c r="B229" s="13"/>
    </row>
    <row r="230" spans="2:2" ht="15.75" customHeight="1" x14ac:dyDescent="0.25">
      <c r="B230" s="13"/>
    </row>
    <row r="231" spans="2:2" ht="15.75" customHeight="1" x14ac:dyDescent="0.25">
      <c r="B231" s="13"/>
    </row>
    <row r="232" spans="2:2" ht="15.75" customHeight="1" x14ac:dyDescent="0.25">
      <c r="B232" s="13"/>
    </row>
    <row r="233" spans="2:2" ht="15.75" customHeight="1" x14ac:dyDescent="0.25">
      <c r="B233" s="13"/>
    </row>
    <row r="234" spans="2:2" ht="15.75" customHeight="1" x14ac:dyDescent="0.25">
      <c r="B234" s="13"/>
    </row>
    <row r="235" spans="2:2" ht="15.75" customHeight="1" x14ac:dyDescent="0.25">
      <c r="B235" s="13"/>
    </row>
    <row r="236" spans="2:2" ht="15.75" customHeight="1" x14ac:dyDescent="0.25">
      <c r="B236" s="49"/>
    </row>
    <row r="237" spans="2:2" ht="15.75" customHeight="1" x14ac:dyDescent="0.25">
      <c r="B237" s="49"/>
    </row>
    <row r="238" spans="2:2" ht="15.75" customHeight="1" x14ac:dyDescent="0.25">
      <c r="B238" s="49"/>
    </row>
    <row r="239" spans="2:2" ht="15.75" customHeight="1" x14ac:dyDescent="0.25">
      <c r="B239" s="49"/>
    </row>
    <row r="240" spans="2:2" ht="15.75" customHeight="1" x14ac:dyDescent="0.25">
      <c r="B240" s="49"/>
    </row>
    <row r="241" spans="2:2" ht="15.75" customHeight="1" x14ac:dyDescent="0.25">
      <c r="B241" s="49"/>
    </row>
    <row r="242" spans="2:2" ht="15.75" customHeight="1" x14ac:dyDescent="0.25">
      <c r="B242" s="49"/>
    </row>
    <row r="243" spans="2:2" ht="15.75" customHeight="1" x14ac:dyDescent="0.25">
      <c r="B243" s="49"/>
    </row>
    <row r="244" spans="2:2" ht="15.75" customHeight="1" x14ac:dyDescent="0.25">
      <c r="B244" s="49"/>
    </row>
    <row r="245" spans="2:2" ht="15.75" customHeight="1" x14ac:dyDescent="0.25">
      <c r="B245" s="49"/>
    </row>
    <row r="246" spans="2:2" ht="15.75" customHeight="1" x14ac:dyDescent="0.25">
      <c r="B246" s="49"/>
    </row>
    <row r="247" spans="2:2" ht="15.75" customHeight="1" x14ac:dyDescent="0.25">
      <c r="B247" s="49"/>
    </row>
    <row r="248" spans="2:2" ht="15.75" customHeight="1" x14ac:dyDescent="0.25">
      <c r="B248" s="49"/>
    </row>
    <row r="249" spans="2:2" ht="15.75" customHeight="1" x14ac:dyDescent="0.25">
      <c r="B249" s="49"/>
    </row>
    <row r="250" spans="2:2" ht="15.75" customHeight="1" x14ac:dyDescent="0.25">
      <c r="B250" s="49"/>
    </row>
    <row r="251" spans="2:2" ht="15.75" customHeight="1" x14ac:dyDescent="0.25">
      <c r="B251" s="49"/>
    </row>
    <row r="252" spans="2:2" ht="15.75" customHeight="1" x14ac:dyDescent="0.25">
      <c r="B252" s="49"/>
    </row>
    <row r="253" spans="2:2" ht="15.75" customHeight="1" x14ac:dyDescent="0.25">
      <c r="B253" s="49"/>
    </row>
    <row r="254" spans="2:2" ht="15.75" customHeight="1" x14ac:dyDescent="0.25">
      <c r="B254" s="49"/>
    </row>
    <row r="255" spans="2:2" ht="15.75" customHeight="1" x14ac:dyDescent="0.25">
      <c r="B255" s="49"/>
    </row>
    <row r="256" spans="2:2" ht="15.75" customHeight="1" x14ac:dyDescent="0.25">
      <c r="B256" s="49"/>
    </row>
    <row r="257" spans="2:2" ht="15.75" customHeight="1" x14ac:dyDescent="0.25">
      <c r="B257" s="49"/>
    </row>
    <row r="258" spans="2:2" ht="15.75" customHeight="1" x14ac:dyDescent="0.25">
      <c r="B258" s="49"/>
    </row>
    <row r="259" spans="2:2" ht="15.75" customHeight="1" x14ac:dyDescent="0.25">
      <c r="B259" s="49"/>
    </row>
    <row r="260" spans="2:2" ht="15.75" customHeight="1" x14ac:dyDescent="0.25">
      <c r="B260" s="49"/>
    </row>
    <row r="261" spans="2:2" ht="15.75" customHeight="1" x14ac:dyDescent="0.25">
      <c r="B261" s="49"/>
    </row>
    <row r="262" spans="2:2" ht="15.75" customHeight="1" x14ac:dyDescent="0.25">
      <c r="B262" s="49"/>
    </row>
    <row r="263" spans="2:2" ht="15.75" customHeight="1" x14ac:dyDescent="0.25">
      <c r="B263" s="49"/>
    </row>
    <row r="264" spans="2:2" ht="15.75" customHeight="1" x14ac:dyDescent="0.25">
      <c r="B264" s="49"/>
    </row>
    <row r="265" spans="2:2" ht="15.75" customHeight="1" x14ac:dyDescent="0.25">
      <c r="B265" s="49"/>
    </row>
    <row r="266" spans="2:2" ht="15.75" customHeight="1" x14ac:dyDescent="0.25">
      <c r="B266" s="49"/>
    </row>
    <row r="267" spans="2:2" ht="15.75" customHeight="1" x14ac:dyDescent="0.25">
      <c r="B267" s="49"/>
    </row>
    <row r="268" spans="2:2" ht="15.75" customHeight="1" x14ac:dyDescent="0.25">
      <c r="B268" s="49"/>
    </row>
    <row r="269" spans="2:2" ht="15.75" customHeight="1" x14ac:dyDescent="0.25">
      <c r="B269" s="49"/>
    </row>
    <row r="270" spans="2:2" ht="15.75" customHeight="1" x14ac:dyDescent="0.25">
      <c r="B270" s="49"/>
    </row>
    <row r="271" spans="2:2" ht="15.75" customHeight="1" x14ac:dyDescent="0.25">
      <c r="B271" s="49"/>
    </row>
    <row r="272" spans="2:2" ht="15.75" customHeight="1" x14ac:dyDescent="0.25">
      <c r="B272" s="49"/>
    </row>
    <row r="273" spans="2:2" ht="15.75" customHeight="1" x14ac:dyDescent="0.25">
      <c r="B273" s="49"/>
    </row>
    <row r="274" spans="2:2" ht="15.75" customHeight="1" x14ac:dyDescent="0.25">
      <c r="B274" s="49"/>
    </row>
    <row r="275" spans="2:2" ht="15.75" customHeight="1" x14ac:dyDescent="0.25">
      <c r="B275" s="49"/>
    </row>
    <row r="276" spans="2:2" ht="15.75" customHeight="1" x14ac:dyDescent="0.25">
      <c r="B276" s="49"/>
    </row>
    <row r="277" spans="2:2" ht="15.75" customHeight="1" x14ac:dyDescent="0.25">
      <c r="B277" s="49"/>
    </row>
    <row r="278" spans="2:2" ht="15.75" customHeight="1" x14ac:dyDescent="0.25">
      <c r="B278" s="49"/>
    </row>
    <row r="279" spans="2:2" ht="15.75" customHeight="1" x14ac:dyDescent="0.25">
      <c r="B279" s="49"/>
    </row>
    <row r="280" spans="2:2" ht="15.75" customHeight="1" x14ac:dyDescent="0.25">
      <c r="B280" s="49"/>
    </row>
    <row r="281" spans="2:2" ht="15.75" customHeight="1" x14ac:dyDescent="0.25">
      <c r="B281" s="49"/>
    </row>
    <row r="282" spans="2:2" ht="15.75" customHeight="1" x14ac:dyDescent="0.25">
      <c r="B282" s="49"/>
    </row>
    <row r="283" spans="2:2" ht="15.75" customHeight="1" x14ac:dyDescent="0.25">
      <c r="B283" s="49"/>
    </row>
    <row r="284" spans="2:2" ht="15.75" customHeight="1" x14ac:dyDescent="0.25">
      <c r="B284" s="49"/>
    </row>
    <row r="285" spans="2:2" ht="15.75" customHeight="1" x14ac:dyDescent="0.25">
      <c r="B285" s="49"/>
    </row>
    <row r="286" spans="2:2" ht="15.75" customHeight="1" x14ac:dyDescent="0.25">
      <c r="B286" s="49"/>
    </row>
    <row r="287" spans="2:2" ht="15.75" customHeight="1" x14ac:dyDescent="0.25">
      <c r="B287" s="49"/>
    </row>
    <row r="288" spans="2:2" ht="15.75" customHeight="1" x14ac:dyDescent="0.25">
      <c r="B288" s="49"/>
    </row>
    <row r="289" spans="2:2" ht="15.75" customHeight="1" x14ac:dyDescent="0.25">
      <c r="B289" s="49"/>
    </row>
    <row r="290" spans="2:2" ht="15.75" customHeight="1" x14ac:dyDescent="0.25">
      <c r="B290" s="49"/>
    </row>
    <row r="291" spans="2:2" ht="15.75" customHeight="1" x14ac:dyDescent="0.25">
      <c r="B291" s="49"/>
    </row>
    <row r="292" spans="2:2" ht="15.75" customHeight="1" x14ac:dyDescent="0.25">
      <c r="B292" s="49"/>
    </row>
    <row r="293" spans="2:2" ht="15.75" customHeight="1" x14ac:dyDescent="0.25">
      <c r="B293" s="49"/>
    </row>
    <row r="294" spans="2:2" ht="15.75" customHeight="1" x14ac:dyDescent="0.25">
      <c r="B294" s="49"/>
    </row>
    <row r="295" spans="2:2" ht="15.75" customHeight="1" x14ac:dyDescent="0.25">
      <c r="B295" s="49"/>
    </row>
    <row r="296" spans="2:2" ht="15.75" customHeight="1" x14ac:dyDescent="0.25">
      <c r="B296" s="49"/>
    </row>
    <row r="297" spans="2:2" ht="15.75" customHeight="1" x14ac:dyDescent="0.25">
      <c r="B297" s="49"/>
    </row>
    <row r="298" spans="2:2" ht="15.75" customHeight="1" x14ac:dyDescent="0.25">
      <c r="B298" s="49"/>
    </row>
    <row r="299" spans="2:2" ht="15.75" customHeight="1" x14ac:dyDescent="0.25">
      <c r="B299" s="49"/>
    </row>
    <row r="300" spans="2:2" ht="15.75" customHeight="1" x14ac:dyDescent="0.25">
      <c r="B300" s="49"/>
    </row>
    <row r="301" spans="2:2" ht="15.75" customHeight="1" x14ac:dyDescent="0.25">
      <c r="B301" s="49"/>
    </row>
    <row r="302" spans="2:2" ht="15.75" customHeight="1" x14ac:dyDescent="0.25">
      <c r="B302" s="49"/>
    </row>
    <row r="303" spans="2:2" ht="15.75" customHeight="1" x14ac:dyDescent="0.25">
      <c r="B303" s="49"/>
    </row>
    <row r="304" spans="2:2" ht="15.75" customHeight="1" x14ac:dyDescent="0.25">
      <c r="B304" s="49"/>
    </row>
    <row r="305" spans="2:2" ht="15.75" customHeight="1" x14ac:dyDescent="0.25">
      <c r="B305" s="49"/>
    </row>
    <row r="306" spans="2:2" ht="15.75" customHeight="1" x14ac:dyDescent="0.25">
      <c r="B306" s="49"/>
    </row>
    <row r="307" spans="2:2" ht="15.75" customHeight="1" x14ac:dyDescent="0.25">
      <c r="B307" s="49"/>
    </row>
    <row r="308" spans="2:2" ht="15.75" customHeight="1" x14ac:dyDescent="0.25">
      <c r="B308" s="49"/>
    </row>
    <row r="309" spans="2:2" ht="15.75" customHeight="1" x14ac:dyDescent="0.25">
      <c r="B309" s="49"/>
    </row>
    <row r="310" spans="2:2" ht="15.75" customHeight="1" x14ac:dyDescent="0.25">
      <c r="B310" s="49"/>
    </row>
    <row r="311" spans="2:2" ht="15.75" customHeight="1" x14ac:dyDescent="0.25">
      <c r="B311" s="49"/>
    </row>
    <row r="312" spans="2:2" ht="15.75" customHeight="1" x14ac:dyDescent="0.25">
      <c r="B312" s="49"/>
    </row>
    <row r="313" spans="2:2" ht="15.75" customHeight="1" x14ac:dyDescent="0.25">
      <c r="B313" s="49"/>
    </row>
    <row r="314" spans="2:2" ht="15.75" customHeight="1" x14ac:dyDescent="0.25">
      <c r="B314" s="49"/>
    </row>
    <row r="315" spans="2:2" ht="15.75" customHeight="1" x14ac:dyDescent="0.25">
      <c r="B315" s="49"/>
    </row>
    <row r="316" spans="2:2" ht="15.75" customHeight="1" x14ac:dyDescent="0.25">
      <c r="B316" s="49"/>
    </row>
    <row r="317" spans="2:2" ht="15.75" customHeight="1" x14ac:dyDescent="0.25">
      <c r="B317" s="49"/>
    </row>
    <row r="318" spans="2:2" ht="15.75" customHeight="1" x14ac:dyDescent="0.25">
      <c r="B318" s="49"/>
    </row>
    <row r="319" spans="2:2" ht="15.75" customHeight="1" x14ac:dyDescent="0.25">
      <c r="B319" s="49"/>
    </row>
    <row r="320" spans="2:2" ht="15.75" customHeight="1" x14ac:dyDescent="0.25">
      <c r="B320" s="49"/>
    </row>
    <row r="321" spans="2:2" ht="15.75" customHeight="1" x14ac:dyDescent="0.25">
      <c r="B321" s="49"/>
    </row>
    <row r="322" spans="2:2" ht="15.75" customHeight="1" x14ac:dyDescent="0.25">
      <c r="B322" s="49"/>
    </row>
    <row r="323" spans="2:2" ht="15.75" customHeight="1" x14ac:dyDescent="0.25">
      <c r="B323" s="49"/>
    </row>
    <row r="324" spans="2:2" ht="15.75" customHeight="1" x14ac:dyDescent="0.25">
      <c r="B324" s="49"/>
    </row>
    <row r="325" spans="2:2" ht="15.75" customHeight="1" x14ac:dyDescent="0.25">
      <c r="B325" s="49"/>
    </row>
    <row r="326" spans="2:2" ht="15.75" customHeight="1" x14ac:dyDescent="0.25">
      <c r="B326" s="49"/>
    </row>
    <row r="327" spans="2:2" ht="15.75" customHeight="1" x14ac:dyDescent="0.25">
      <c r="B327" s="49"/>
    </row>
    <row r="328" spans="2:2" ht="15.75" customHeight="1" x14ac:dyDescent="0.25">
      <c r="B328" s="49"/>
    </row>
    <row r="329" spans="2:2" ht="15.75" customHeight="1" x14ac:dyDescent="0.25">
      <c r="B329" s="49"/>
    </row>
    <row r="330" spans="2:2" ht="15.75" customHeight="1" x14ac:dyDescent="0.25">
      <c r="B330" s="49"/>
    </row>
    <row r="331" spans="2:2" ht="15.75" customHeight="1" x14ac:dyDescent="0.25">
      <c r="B331" s="49"/>
    </row>
    <row r="332" spans="2:2" ht="15.75" customHeight="1" x14ac:dyDescent="0.25">
      <c r="B332" s="49"/>
    </row>
    <row r="333" spans="2:2" ht="15.75" customHeight="1" x14ac:dyDescent="0.25">
      <c r="B333" s="49"/>
    </row>
    <row r="334" spans="2:2" ht="15.75" customHeight="1" x14ac:dyDescent="0.25">
      <c r="B334" s="49"/>
    </row>
    <row r="335" spans="2:2" ht="15.75" customHeight="1" x14ac:dyDescent="0.25">
      <c r="B335" s="49"/>
    </row>
    <row r="336" spans="2:2" ht="15.75" customHeight="1" x14ac:dyDescent="0.25">
      <c r="B336" s="49"/>
    </row>
    <row r="337" spans="2:2" ht="15.75" customHeight="1" x14ac:dyDescent="0.25">
      <c r="B337" s="49"/>
    </row>
    <row r="338" spans="2:2" ht="15.75" customHeight="1" x14ac:dyDescent="0.25">
      <c r="B338" s="49"/>
    </row>
    <row r="339" spans="2:2" ht="15.75" customHeight="1" x14ac:dyDescent="0.25">
      <c r="B339" s="49"/>
    </row>
    <row r="340" spans="2:2" ht="15.75" customHeight="1" x14ac:dyDescent="0.25">
      <c r="B340" s="49"/>
    </row>
    <row r="341" spans="2:2" ht="15.75" customHeight="1" x14ac:dyDescent="0.25">
      <c r="B341" s="49"/>
    </row>
    <row r="342" spans="2:2" ht="15.75" customHeight="1" x14ac:dyDescent="0.25">
      <c r="B342" s="49"/>
    </row>
    <row r="343" spans="2:2" ht="15.75" customHeight="1" x14ac:dyDescent="0.25">
      <c r="B343" s="49"/>
    </row>
    <row r="344" spans="2:2" ht="15.75" customHeight="1" x14ac:dyDescent="0.25">
      <c r="B344" s="49"/>
    </row>
    <row r="345" spans="2:2" ht="15.75" customHeight="1" x14ac:dyDescent="0.25">
      <c r="B345" s="49"/>
    </row>
    <row r="346" spans="2:2" ht="15.75" customHeight="1" x14ac:dyDescent="0.25">
      <c r="B346" s="49"/>
    </row>
    <row r="347" spans="2:2" ht="15.75" customHeight="1" x14ac:dyDescent="0.25">
      <c r="B347" s="49"/>
    </row>
    <row r="348" spans="2:2" ht="15.75" customHeight="1" x14ac:dyDescent="0.25">
      <c r="B348" s="49"/>
    </row>
    <row r="349" spans="2:2" ht="15.75" customHeight="1" x14ac:dyDescent="0.25">
      <c r="B349" s="49"/>
    </row>
    <row r="350" spans="2:2" ht="15.75" customHeight="1" x14ac:dyDescent="0.25">
      <c r="B350" s="49"/>
    </row>
    <row r="351" spans="2:2" ht="15.75" customHeight="1" x14ac:dyDescent="0.25">
      <c r="B351" s="49"/>
    </row>
    <row r="352" spans="2:2" ht="15.75" customHeight="1" x14ac:dyDescent="0.25">
      <c r="B352" s="49"/>
    </row>
    <row r="353" spans="2:2" ht="15.75" customHeight="1" x14ac:dyDescent="0.25">
      <c r="B353" s="49"/>
    </row>
    <row r="354" spans="2:2" ht="15.75" customHeight="1" x14ac:dyDescent="0.25">
      <c r="B354" s="49"/>
    </row>
    <row r="355" spans="2:2" ht="15.75" customHeight="1" x14ac:dyDescent="0.25">
      <c r="B355" s="49"/>
    </row>
    <row r="356" spans="2:2" ht="15.75" customHeight="1" x14ac:dyDescent="0.25">
      <c r="B356" s="49"/>
    </row>
    <row r="357" spans="2:2" ht="15.75" customHeight="1" x14ac:dyDescent="0.25">
      <c r="B357" s="49"/>
    </row>
    <row r="358" spans="2:2" ht="15.75" customHeight="1" x14ac:dyDescent="0.25">
      <c r="B358" s="49"/>
    </row>
    <row r="359" spans="2:2" ht="15.75" customHeight="1" x14ac:dyDescent="0.25">
      <c r="B359" s="49"/>
    </row>
    <row r="360" spans="2:2" ht="15.75" customHeight="1" x14ac:dyDescent="0.25">
      <c r="B360" s="49"/>
    </row>
    <row r="361" spans="2:2" ht="15.75" customHeight="1" x14ac:dyDescent="0.25">
      <c r="B361" s="49"/>
    </row>
    <row r="362" spans="2:2" ht="15.75" customHeight="1" x14ac:dyDescent="0.25">
      <c r="B362" s="49"/>
    </row>
    <row r="363" spans="2:2" ht="15.75" customHeight="1" x14ac:dyDescent="0.25">
      <c r="B363" s="49"/>
    </row>
    <row r="364" spans="2:2" ht="15.75" customHeight="1" x14ac:dyDescent="0.25">
      <c r="B364" s="49"/>
    </row>
    <row r="365" spans="2:2" ht="15.75" customHeight="1" x14ac:dyDescent="0.25">
      <c r="B365" s="49"/>
    </row>
    <row r="366" spans="2:2" ht="15.75" customHeight="1" x14ac:dyDescent="0.25">
      <c r="B366" s="49"/>
    </row>
    <row r="367" spans="2:2" ht="15.75" customHeight="1" x14ac:dyDescent="0.25">
      <c r="B367" s="49"/>
    </row>
    <row r="368" spans="2:2" ht="15.75" customHeight="1" x14ac:dyDescent="0.25">
      <c r="B368" s="49"/>
    </row>
    <row r="369" spans="2:2" ht="15.75" customHeight="1" x14ac:dyDescent="0.25">
      <c r="B369" s="49"/>
    </row>
    <row r="370" spans="2:2" ht="15.75" customHeight="1" x14ac:dyDescent="0.25">
      <c r="B370" s="49"/>
    </row>
    <row r="371" spans="2:2" ht="15.75" customHeight="1" x14ac:dyDescent="0.25">
      <c r="B371" s="49"/>
    </row>
    <row r="372" spans="2:2" ht="15.75" customHeight="1" x14ac:dyDescent="0.25">
      <c r="B372" s="49"/>
    </row>
    <row r="373" spans="2:2" ht="15.75" customHeight="1" x14ac:dyDescent="0.25">
      <c r="B373" s="49"/>
    </row>
    <row r="374" spans="2:2" ht="15.75" customHeight="1" x14ac:dyDescent="0.25">
      <c r="B374" s="49"/>
    </row>
    <row r="375" spans="2:2" ht="15.75" customHeight="1" x14ac:dyDescent="0.25">
      <c r="B375" s="49"/>
    </row>
    <row r="376" spans="2:2" ht="15.75" customHeight="1" x14ac:dyDescent="0.25">
      <c r="B376" s="49"/>
    </row>
    <row r="377" spans="2:2" ht="15.75" customHeight="1" x14ac:dyDescent="0.25">
      <c r="B377" s="49"/>
    </row>
    <row r="378" spans="2:2" ht="15.75" customHeight="1" x14ac:dyDescent="0.25">
      <c r="B378" s="49"/>
    </row>
    <row r="379" spans="2:2" ht="15.75" customHeight="1" x14ac:dyDescent="0.25">
      <c r="B379" s="49"/>
    </row>
    <row r="380" spans="2:2" ht="15.75" customHeight="1" x14ac:dyDescent="0.25">
      <c r="B380" s="49"/>
    </row>
    <row r="381" spans="2:2" ht="15.75" customHeight="1" x14ac:dyDescent="0.25">
      <c r="B381" s="49"/>
    </row>
    <row r="382" spans="2:2" ht="15.75" customHeight="1" x14ac:dyDescent="0.25">
      <c r="B382" s="49"/>
    </row>
    <row r="383" spans="2:2" ht="15.75" customHeight="1" x14ac:dyDescent="0.25">
      <c r="B383" s="49"/>
    </row>
    <row r="384" spans="2:2" ht="15.75" customHeight="1" x14ac:dyDescent="0.25">
      <c r="B384" s="49"/>
    </row>
    <row r="385" spans="2:2" ht="15.75" customHeight="1" x14ac:dyDescent="0.25">
      <c r="B385" s="49"/>
    </row>
    <row r="386" spans="2:2" ht="15.75" customHeight="1" x14ac:dyDescent="0.25">
      <c r="B386" s="49"/>
    </row>
    <row r="387" spans="2:2" ht="15.75" customHeight="1" x14ac:dyDescent="0.25">
      <c r="B387" s="49"/>
    </row>
    <row r="388" spans="2:2" ht="15.75" customHeight="1" x14ac:dyDescent="0.25">
      <c r="B388" s="49"/>
    </row>
    <row r="389" spans="2:2" ht="15.75" customHeight="1" x14ac:dyDescent="0.25">
      <c r="B389" s="49"/>
    </row>
    <row r="390" spans="2:2" ht="15.75" customHeight="1" x14ac:dyDescent="0.25">
      <c r="B390" s="49"/>
    </row>
    <row r="391" spans="2:2" ht="15.75" customHeight="1" x14ac:dyDescent="0.25">
      <c r="B391" s="49"/>
    </row>
    <row r="392" spans="2:2" ht="15.75" customHeight="1" x14ac:dyDescent="0.25">
      <c r="B392" s="49"/>
    </row>
    <row r="393" spans="2:2" ht="15.75" customHeight="1" x14ac:dyDescent="0.25">
      <c r="B393" s="49"/>
    </row>
    <row r="394" spans="2:2" ht="15.75" customHeight="1" x14ac:dyDescent="0.25">
      <c r="B394" s="49"/>
    </row>
    <row r="395" spans="2:2" ht="15.75" customHeight="1" x14ac:dyDescent="0.25">
      <c r="B395" s="49"/>
    </row>
    <row r="396" spans="2:2" ht="15.75" customHeight="1" x14ac:dyDescent="0.25">
      <c r="B396" s="49"/>
    </row>
    <row r="397" spans="2:2" ht="15.75" customHeight="1" x14ac:dyDescent="0.25">
      <c r="B397" s="49"/>
    </row>
    <row r="398" spans="2:2" ht="15.75" customHeight="1" x14ac:dyDescent="0.25">
      <c r="B398" s="49"/>
    </row>
    <row r="399" spans="2:2" ht="15.75" customHeight="1" x14ac:dyDescent="0.25">
      <c r="B399" s="49"/>
    </row>
    <row r="400" spans="2:2" ht="15.75" customHeight="1" x14ac:dyDescent="0.25">
      <c r="B400" s="49"/>
    </row>
    <row r="401" spans="2:2" ht="15.75" customHeight="1" x14ac:dyDescent="0.25">
      <c r="B401" s="49"/>
    </row>
    <row r="402" spans="2:2" ht="15.75" customHeight="1" x14ac:dyDescent="0.25">
      <c r="B402" s="49"/>
    </row>
    <row r="403" spans="2:2" ht="15.75" customHeight="1" x14ac:dyDescent="0.25">
      <c r="B403" s="49"/>
    </row>
    <row r="404" spans="2:2" ht="15.75" customHeight="1" x14ac:dyDescent="0.25">
      <c r="B404" s="49"/>
    </row>
    <row r="405" spans="2:2" ht="15.75" customHeight="1" x14ac:dyDescent="0.25">
      <c r="B405" s="49"/>
    </row>
    <row r="406" spans="2:2" ht="15.75" customHeight="1" x14ac:dyDescent="0.25">
      <c r="B406" s="49"/>
    </row>
    <row r="407" spans="2:2" ht="15.75" customHeight="1" x14ac:dyDescent="0.25">
      <c r="B407" s="49"/>
    </row>
    <row r="408" spans="2:2" ht="15.75" customHeight="1" x14ac:dyDescent="0.25">
      <c r="B408" s="49"/>
    </row>
    <row r="409" spans="2:2" ht="15.75" customHeight="1" x14ac:dyDescent="0.25">
      <c r="B409" s="49"/>
    </row>
    <row r="410" spans="2:2" ht="15.75" customHeight="1" x14ac:dyDescent="0.25">
      <c r="B410" s="49"/>
    </row>
    <row r="411" spans="2:2" ht="15.75" customHeight="1" x14ac:dyDescent="0.25">
      <c r="B411" s="49"/>
    </row>
    <row r="412" spans="2:2" ht="15.75" customHeight="1" x14ac:dyDescent="0.25">
      <c r="B412" s="49"/>
    </row>
    <row r="413" spans="2:2" ht="15.75" customHeight="1" x14ac:dyDescent="0.25">
      <c r="B413" s="49"/>
    </row>
    <row r="414" spans="2:2" ht="15.75" customHeight="1" x14ac:dyDescent="0.25">
      <c r="B414" s="49"/>
    </row>
    <row r="415" spans="2:2" ht="15.75" customHeight="1" x14ac:dyDescent="0.25">
      <c r="B415" s="49"/>
    </row>
    <row r="416" spans="2:2" ht="15.75" customHeight="1" x14ac:dyDescent="0.25">
      <c r="B416" s="49"/>
    </row>
    <row r="417" spans="2:2" ht="15.75" customHeight="1" x14ac:dyDescent="0.25">
      <c r="B417" s="49"/>
    </row>
    <row r="418" spans="2:2" ht="15.75" customHeight="1" x14ac:dyDescent="0.25">
      <c r="B418" s="49"/>
    </row>
    <row r="419" spans="2:2" ht="15.75" customHeight="1" x14ac:dyDescent="0.25">
      <c r="B419" s="49"/>
    </row>
    <row r="420" spans="2:2" ht="15.75" customHeight="1" x14ac:dyDescent="0.25">
      <c r="B420" s="49"/>
    </row>
    <row r="421" spans="2:2" ht="15.75" customHeight="1" x14ac:dyDescent="0.25">
      <c r="B421" s="49"/>
    </row>
    <row r="422" spans="2:2" ht="15.75" customHeight="1" x14ac:dyDescent="0.25">
      <c r="B422" s="49"/>
    </row>
    <row r="423" spans="2:2" ht="15.75" customHeight="1" x14ac:dyDescent="0.25">
      <c r="B423" s="49"/>
    </row>
    <row r="424" spans="2:2" ht="15.75" customHeight="1" x14ac:dyDescent="0.25">
      <c r="B424" s="49"/>
    </row>
    <row r="425" spans="2:2" ht="15.75" customHeight="1" x14ac:dyDescent="0.25">
      <c r="B425" s="49"/>
    </row>
    <row r="426" spans="2:2" ht="15.75" customHeight="1" x14ac:dyDescent="0.25">
      <c r="B426" s="49"/>
    </row>
    <row r="427" spans="2:2" ht="15.75" customHeight="1" x14ac:dyDescent="0.25">
      <c r="B427" s="49"/>
    </row>
    <row r="428" spans="2:2" ht="15.75" customHeight="1" x14ac:dyDescent="0.25">
      <c r="B428" s="49"/>
    </row>
    <row r="429" spans="2:2" ht="15.75" customHeight="1" x14ac:dyDescent="0.25">
      <c r="B429" s="49"/>
    </row>
    <row r="430" spans="2:2" ht="15.75" customHeight="1" x14ac:dyDescent="0.25">
      <c r="B430" s="49"/>
    </row>
    <row r="431" spans="2:2" ht="15.75" customHeight="1" x14ac:dyDescent="0.25">
      <c r="B431" s="49"/>
    </row>
    <row r="432" spans="2:2" ht="15.75" customHeight="1" x14ac:dyDescent="0.25">
      <c r="B432" s="49"/>
    </row>
    <row r="433" spans="2:2" ht="15.75" customHeight="1" x14ac:dyDescent="0.25">
      <c r="B433" s="49"/>
    </row>
    <row r="434" spans="2:2" ht="15.75" customHeight="1" x14ac:dyDescent="0.25">
      <c r="B434" s="49"/>
    </row>
    <row r="435" spans="2:2" ht="15.75" customHeight="1" x14ac:dyDescent="0.25">
      <c r="B435" s="49"/>
    </row>
    <row r="436" spans="2:2" ht="15.75" customHeight="1" x14ac:dyDescent="0.25">
      <c r="B436" s="49"/>
    </row>
    <row r="437" spans="2:2" ht="15.75" customHeight="1" x14ac:dyDescent="0.25">
      <c r="B437" s="49"/>
    </row>
    <row r="438" spans="2:2" ht="15.75" customHeight="1" x14ac:dyDescent="0.25">
      <c r="B438" s="49"/>
    </row>
    <row r="439" spans="2:2" ht="15.75" customHeight="1" x14ac:dyDescent="0.25">
      <c r="B439" s="49"/>
    </row>
    <row r="440" spans="2:2" ht="15.75" customHeight="1" x14ac:dyDescent="0.25">
      <c r="B440" s="49"/>
    </row>
    <row r="441" spans="2:2" ht="15.75" customHeight="1" x14ac:dyDescent="0.25">
      <c r="B441" s="49"/>
    </row>
    <row r="442" spans="2:2" ht="15.75" customHeight="1" x14ac:dyDescent="0.25">
      <c r="B442" s="49"/>
    </row>
    <row r="443" spans="2:2" ht="15.75" customHeight="1" x14ac:dyDescent="0.25">
      <c r="B443" s="49"/>
    </row>
    <row r="444" spans="2:2" ht="15.75" customHeight="1" x14ac:dyDescent="0.25">
      <c r="B444" s="49"/>
    </row>
    <row r="445" spans="2:2" ht="15.75" customHeight="1" x14ac:dyDescent="0.25">
      <c r="B445" s="49"/>
    </row>
    <row r="446" spans="2:2" ht="15.75" customHeight="1" x14ac:dyDescent="0.25">
      <c r="B446" s="49"/>
    </row>
    <row r="447" spans="2:2" ht="15.75" customHeight="1" x14ac:dyDescent="0.25">
      <c r="B447" s="49"/>
    </row>
    <row r="448" spans="2:2" ht="15.75" customHeight="1" x14ac:dyDescent="0.25">
      <c r="B448" s="49"/>
    </row>
    <row r="449" spans="2:2" ht="15.75" customHeight="1" x14ac:dyDescent="0.25">
      <c r="B449" s="49"/>
    </row>
    <row r="450" spans="2:2" ht="15.75" customHeight="1" x14ac:dyDescent="0.25">
      <c r="B450" s="49"/>
    </row>
    <row r="451" spans="2:2" ht="15.75" customHeight="1" x14ac:dyDescent="0.25">
      <c r="B451" s="49"/>
    </row>
    <row r="452" spans="2:2" ht="15.75" customHeight="1" x14ac:dyDescent="0.25">
      <c r="B452" s="49"/>
    </row>
    <row r="453" spans="2:2" ht="15.75" customHeight="1" x14ac:dyDescent="0.25">
      <c r="B453" s="49"/>
    </row>
    <row r="454" spans="2:2" ht="15.75" customHeight="1" x14ac:dyDescent="0.25">
      <c r="B454" s="49"/>
    </row>
    <row r="455" spans="2:2" ht="15.75" customHeight="1" x14ac:dyDescent="0.25">
      <c r="B455" s="49"/>
    </row>
    <row r="456" spans="2:2" ht="15.75" customHeight="1" x14ac:dyDescent="0.25">
      <c r="B456" s="49"/>
    </row>
    <row r="457" spans="2:2" ht="15.75" customHeight="1" x14ac:dyDescent="0.25">
      <c r="B457" s="49"/>
    </row>
    <row r="458" spans="2:2" ht="15.75" customHeight="1" x14ac:dyDescent="0.25">
      <c r="B458" s="49"/>
    </row>
    <row r="459" spans="2:2" ht="15.75" customHeight="1" x14ac:dyDescent="0.25">
      <c r="B459" s="49"/>
    </row>
    <row r="460" spans="2:2" ht="15.75" customHeight="1" x14ac:dyDescent="0.25">
      <c r="B460" s="49"/>
    </row>
    <row r="461" spans="2:2" ht="15.75" customHeight="1" x14ac:dyDescent="0.25">
      <c r="B461" s="49"/>
    </row>
    <row r="462" spans="2:2" ht="15.75" customHeight="1" x14ac:dyDescent="0.25">
      <c r="B462" s="49"/>
    </row>
    <row r="463" spans="2:2" ht="15.75" customHeight="1" x14ac:dyDescent="0.25">
      <c r="B463" s="49"/>
    </row>
    <row r="464" spans="2:2" ht="15.75" customHeight="1" x14ac:dyDescent="0.25">
      <c r="B464" s="49"/>
    </row>
    <row r="465" spans="2:2" ht="15.75" customHeight="1" x14ac:dyDescent="0.25">
      <c r="B465" s="49"/>
    </row>
    <row r="466" spans="2:2" ht="15.75" customHeight="1" x14ac:dyDescent="0.25">
      <c r="B466" s="49"/>
    </row>
    <row r="467" spans="2:2" ht="15.75" customHeight="1" x14ac:dyDescent="0.25">
      <c r="B467" s="49"/>
    </row>
    <row r="468" spans="2:2" ht="15.75" customHeight="1" x14ac:dyDescent="0.25">
      <c r="B468" s="49"/>
    </row>
    <row r="469" spans="2:2" ht="15.75" customHeight="1" x14ac:dyDescent="0.25">
      <c r="B469" s="49"/>
    </row>
    <row r="470" spans="2:2" ht="15.75" customHeight="1" x14ac:dyDescent="0.25">
      <c r="B470" s="49"/>
    </row>
    <row r="471" spans="2:2" ht="15.75" customHeight="1" x14ac:dyDescent="0.25">
      <c r="B471" s="49"/>
    </row>
    <row r="472" spans="2:2" ht="15.75" customHeight="1" x14ac:dyDescent="0.25">
      <c r="B472" s="49"/>
    </row>
    <row r="473" spans="2:2" ht="15.75" customHeight="1" x14ac:dyDescent="0.25">
      <c r="B473" s="49"/>
    </row>
    <row r="474" spans="2:2" ht="15.75" customHeight="1" x14ac:dyDescent="0.25">
      <c r="B474" s="49"/>
    </row>
    <row r="475" spans="2:2" ht="15.75" customHeight="1" x14ac:dyDescent="0.25">
      <c r="B475" s="49"/>
    </row>
    <row r="476" spans="2:2" ht="15.75" customHeight="1" x14ac:dyDescent="0.25">
      <c r="B476" s="49"/>
    </row>
    <row r="477" spans="2:2" ht="15.75" customHeight="1" x14ac:dyDescent="0.25">
      <c r="B477" s="49"/>
    </row>
    <row r="478" spans="2:2" ht="15.75" customHeight="1" x14ac:dyDescent="0.25">
      <c r="B478" s="49"/>
    </row>
    <row r="479" spans="2:2" ht="15.75" customHeight="1" x14ac:dyDescent="0.25">
      <c r="B479" s="49"/>
    </row>
    <row r="480" spans="2:2" ht="15.75" customHeight="1" x14ac:dyDescent="0.25">
      <c r="B480" s="49"/>
    </row>
    <row r="481" spans="2:2" ht="15.75" customHeight="1" x14ac:dyDescent="0.25">
      <c r="B481" s="49"/>
    </row>
    <row r="482" spans="2:2" ht="15.75" customHeight="1" x14ac:dyDescent="0.25">
      <c r="B482" s="49"/>
    </row>
    <row r="483" spans="2:2" ht="15.75" customHeight="1" x14ac:dyDescent="0.25">
      <c r="B483" s="49"/>
    </row>
    <row r="484" spans="2:2" ht="15.75" customHeight="1" x14ac:dyDescent="0.25">
      <c r="B484" s="49"/>
    </row>
    <row r="485" spans="2:2" ht="15.75" customHeight="1" x14ac:dyDescent="0.25">
      <c r="B485" s="49"/>
    </row>
    <row r="486" spans="2:2" ht="15.75" customHeight="1" x14ac:dyDescent="0.25">
      <c r="B486" s="49"/>
    </row>
    <row r="487" spans="2:2" ht="15.75" customHeight="1" x14ac:dyDescent="0.25">
      <c r="B487" s="49"/>
    </row>
    <row r="488" spans="2:2" ht="15.75" customHeight="1" x14ac:dyDescent="0.25">
      <c r="B488" s="49"/>
    </row>
    <row r="489" spans="2:2" ht="15.75" customHeight="1" x14ac:dyDescent="0.25">
      <c r="B489" s="49"/>
    </row>
    <row r="490" spans="2:2" ht="15.75" customHeight="1" x14ac:dyDescent="0.25">
      <c r="B490" s="49"/>
    </row>
    <row r="491" spans="2:2" ht="15.75" customHeight="1" x14ac:dyDescent="0.25">
      <c r="B491" s="49"/>
    </row>
    <row r="492" spans="2:2" ht="15.75" customHeight="1" x14ac:dyDescent="0.25">
      <c r="B492" s="49"/>
    </row>
    <row r="493" spans="2:2" ht="15.75" customHeight="1" x14ac:dyDescent="0.25">
      <c r="B493" s="49"/>
    </row>
    <row r="494" spans="2:2" ht="15.75" customHeight="1" x14ac:dyDescent="0.25">
      <c r="B494" s="49"/>
    </row>
    <row r="495" spans="2:2" ht="15.75" customHeight="1" x14ac:dyDescent="0.25">
      <c r="B495" s="49"/>
    </row>
    <row r="496" spans="2:2" ht="15.75" customHeight="1" x14ac:dyDescent="0.25">
      <c r="B496" s="49"/>
    </row>
    <row r="497" spans="2:2" ht="15.75" customHeight="1" x14ac:dyDescent="0.25">
      <c r="B497" s="49"/>
    </row>
    <row r="498" spans="2:2" ht="15.75" customHeight="1" x14ac:dyDescent="0.25">
      <c r="B498" s="49"/>
    </row>
    <row r="499" spans="2:2" ht="15.75" customHeight="1" x14ac:dyDescent="0.25">
      <c r="B499" s="49"/>
    </row>
    <row r="500" spans="2:2" ht="15.75" customHeight="1" x14ac:dyDescent="0.25">
      <c r="B500" s="49"/>
    </row>
    <row r="501" spans="2:2" ht="15.75" customHeight="1" x14ac:dyDescent="0.25">
      <c r="B501" s="49"/>
    </row>
    <row r="502" spans="2:2" ht="15.75" customHeight="1" x14ac:dyDescent="0.25">
      <c r="B502" s="49"/>
    </row>
    <row r="503" spans="2:2" ht="15.75" customHeight="1" x14ac:dyDescent="0.25">
      <c r="B503" s="49"/>
    </row>
    <row r="504" spans="2:2" ht="15.75" customHeight="1" x14ac:dyDescent="0.25">
      <c r="B504" s="49"/>
    </row>
    <row r="505" spans="2:2" ht="15.75" customHeight="1" x14ac:dyDescent="0.25">
      <c r="B505" s="49"/>
    </row>
    <row r="506" spans="2:2" ht="15.75" customHeight="1" x14ac:dyDescent="0.25">
      <c r="B506" s="49"/>
    </row>
    <row r="507" spans="2:2" ht="15.75" customHeight="1" x14ac:dyDescent="0.25">
      <c r="B507" s="49"/>
    </row>
    <row r="508" spans="2:2" ht="15.75" customHeight="1" x14ac:dyDescent="0.25">
      <c r="B508" s="49"/>
    </row>
    <row r="509" spans="2:2" ht="15.75" customHeight="1" x14ac:dyDescent="0.25">
      <c r="B509" s="49"/>
    </row>
    <row r="510" spans="2:2" ht="15.75" customHeight="1" x14ac:dyDescent="0.25">
      <c r="B510" s="49"/>
    </row>
    <row r="511" spans="2:2" ht="15.75" customHeight="1" x14ac:dyDescent="0.25">
      <c r="B511" s="49"/>
    </row>
    <row r="512" spans="2:2" ht="15.75" customHeight="1" x14ac:dyDescent="0.25">
      <c r="B512" s="49"/>
    </row>
    <row r="513" spans="2:2" ht="15.75" customHeight="1" x14ac:dyDescent="0.25">
      <c r="B513" s="49"/>
    </row>
    <row r="514" spans="2:2" ht="15.75" customHeight="1" x14ac:dyDescent="0.25">
      <c r="B514" s="49"/>
    </row>
    <row r="515" spans="2:2" ht="15.75" customHeight="1" x14ac:dyDescent="0.25">
      <c r="B515" s="49"/>
    </row>
    <row r="516" spans="2:2" ht="15.75" customHeight="1" x14ac:dyDescent="0.25">
      <c r="B516" s="49"/>
    </row>
    <row r="517" spans="2:2" ht="15.75" customHeight="1" x14ac:dyDescent="0.25">
      <c r="B517" s="49"/>
    </row>
    <row r="518" spans="2:2" ht="15.75" customHeight="1" x14ac:dyDescent="0.25">
      <c r="B518" s="49"/>
    </row>
    <row r="519" spans="2:2" ht="15.75" customHeight="1" x14ac:dyDescent="0.25">
      <c r="B519" s="49"/>
    </row>
    <row r="520" spans="2:2" ht="15.75" customHeight="1" x14ac:dyDescent="0.25">
      <c r="B520" s="49"/>
    </row>
    <row r="521" spans="2:2" ht="15.75" customHeight="1" x14ac:dyDescent="0.25">
      <c r="B521" s="49"/>
    </row>
    <row r="522" spans="2:2" ht="15.75" customHeight="1" x14ac:dyDescent="0.25">
      <c r="B522" s="49"/>
    </row>
    <row r="523" spans="2:2" ht="15.75" customHeight="1" x14ac:dyDescent="0.25">
      <c r="B523" s="49"/>
    </row>
    <row r="524" spans="2:2" ht="15.75" customHeight="1" x14ac:dyDescent="0.25">
      <c r="B524" s="49"/>
    </row>
    <row r="525" spans="2:2" ht="15.75" customHeight="1" x14ac:dyDescent="0.25">
      <c r="B525" s="49"/>
    </row>
    <row r="526" spans="2:2" ht="15.75" customHeight="1" x14ac:dyDescent="0.25">
      <c r="B526" s="49"/>
    </row>
    <row r="527" spans="2:2" ht="15.75" customHeight="1" x14ac:dyDescent="0.25">
      <c r="B527" s="49"/>
    </row>
    <row r="528" spans="2:2" ht="15.75" customHeight="1" x14ac:dyDescent="0.25">
      <c r="B528" s="49"/>
    </row>
    <row r="529" spans="2:2" ht="15.75" customHeight="1" x14ac:dyDescent="0.25">
      <c r="B529" s="49"/>
    </row>
    <row r="530" spans="2:2" ht="15.75" customHeight="1" x14ac:dyDescent="0.25">
      <c r="B530" s="49"/>
    </row>
    <row r="531" spans="2:2" ht="15.75" customHeight="1" x14ac:dyDescent="0.25">
      <c r="B531" s="49"/>
    </row>
    <row r="532" spans="2:2" ht="15.75" customHeight="1" x14ac:dyDescent="0.25">
      <c r="B532" s="49"/>
    </row>
    <row r="533" spans="2:2" ht="15.75" customHeight="1" x14ac:dyDescent="0.25">
      <c r="B533" s="49"/>
    </row>
    <row r="534" spans="2:2" ht="15.75" customHeight="1" x14ac:dyDescent="0.25">
      <c r="B534" s="49"/>
    </row>
    <row r="535" spans="2:2" ht="15.75" customHeight="1" x14ac:dyDescent="0.25">
      <c r="B535" s="49"/>
    </row>
    <row r="536" spans="2:2" ht="15.75" customHeight="1" x14ac:dyDescent="0.25">
      <c r="B536" s="49"/>
    </row>
    <row r="537" spans="2:2" ht="15.75" customHeight="1" x14ac:dyDescent="0.25">
      <c r="B537" s="49"/>
    </row>
    <row r="538" spans="2:2" ht="15.75" customHeight="1" x14ac:dyDescent="0.25">
      <c r="B538" s="49"/>
    </row>
    <row r="539" spans="2:2" ht="15.75" customHeight="1" x14ac:dyDescent="0.25">
      <c r="B539" s="49"/>
    </row>
    <row r="540" spans="2:2" ht="15.75" customHeight="1" x14ac:dyDescent="0.25">
      <c r="B540" s="49"/>
    </row>
    <row r="541" spans="2:2" ht="15.75" customHeight="1" x14ac:dyDescent="0.25">
      <c r="B541" s="49"/>
    </row>
    <row r="542" spans="2:2" ht="15.75" customHeight="1" x14ac:dyDescent="0.25">
      <c r="B542" s="49"/>
    </row>
    <row r="543" spans="2:2" ht="15.75" customHeight="1" x14ac:dyDescent="0.25">
      <c r="B543" s="49"/>
    </row>
    <row r="544" spans="2:2" ht="15.75" customHeight="1" x14ac:dyDescent="0.25">
      <c r="B544" s="49"/>
    </row>
    <row r="545" spans="2:2" ht="15.75" customHeight="1" x14ac:dyDescent="0.25">
      <c r="B545" s="49"/>
    </row>
    <row r="546" spans="2:2" ht="15.75" customHeight="1" x14ac:dyDescent="0.25">
      <c r="B546" s="49"/>
    </row>
    <row r="547" spans="2:2" ht="15.75" customHeight="1" x14ac:dyDescent="0.25">
      <c r="B547" s="49"/>
    </row>
    <row r="548" spans="2:2" ht="15.75" customHeight="1" x14ac:dyDescent="0.25">
      <c r="B548" s="49"/>
    </row>
    <row r="549" spans="2:2" ht="15.75" customHeight="1" x14ac:dyDescent="0.25">
      <c r="B549" s="49"/>
    </row>
    <row r="550" spans="2:2" ht="15.75" customHeight="1" x14ac:dyDescent="0.25">
      <c r="B550" s="49"/>
    </row>
    <row r="551" spans="2:2" ht="15.75" customHeight="1" x14ac:dyDescent="0.25">
      <c r="B551" s="49"/>
    </row>
    <row r="552" spans="2:2" ht="15.75" customHeight="1" x14ac:dyDescent="0.25">
      <c r="B552" s="49"/>
    </row>
    <row r="553" spans="2:2" ht="15.75" customHeight="1" x14ac:dyDescent="0.25">
      <c r="B553" s="49"/>
    </row>
    <row r="554" spans="2:2" ht="15.75" customHeight="1" x14ac:dyDescent="0.25">
      <c r="B554" s="49"/>
    </row>
    <row r="555" spans="2:2" ht="15.75" customHeight="1" x14ac:dyDescent="0.25">
      <c r="B555" s="49"/>
    </row>
    <row r="556" spans="2:2" ht="15.75" customHeight="1" x14ac:dyDescent="0.25">
      <c r="B556" s="49"/>
    </row>
    <row r="557" spans="2:2" ht="15.75" customHeight="1" x14ac:dyDescent="0.25">
      <c r="B557" s="49"/>
    </row>
    <row r="558" spans="2:2" ht="15.75" customHeight="1" x14ac:dyDescent="0.25">
      <c r="B558" s="49"/>
    </row>
    <row r="559" spans="2:2" ht="15.75" customHeight="1" x14ac:dyDescent="0.25">
      <c r="B559" s="49"/>
    </row>
    <row r="560" spans="2:2" ht="15.75" customHeight="1" x14ac:dyDescent="0.25">
      <c r="B560" s="49"/>
    </row>
    <row r="561" spans="2:2" ht="15.75" customHeight="1" x14ac:dyDescent="0.25">
      <c r="B561" s="49"/>
    </row>
    <row r="562" spans="2:2" ht="15.75" customHeight="1" x14ac:dyDescent="0.25">
      <c r="B562" s="49"/>
    </row>
    <row r="563" spans="2:2" ht="15.75" customHeight="1" x14ac:dyDescent="0.25">
      <c r="B563" s="49"/>
    </row>
    <row r="564" spans="2:2" ht="15.75" customHeight="1" x14ac:dyDescent="0.25">
      <c r="B564" s="49"/>
    </row>
    <row r="565" spans="2:2" ht="15.75" customHeight="1" x14ac:dyDescent="0.25">
      <c r="B565" s="49"/>
    </row>
    <row r="566" spans="2:2" ht="15.75" customHeight="1" x14ac:dyDescent="0.25">
      <c r="B566" s="49"/>
    </row>
    <row r="567" spans="2:2" ht="15.75" customHeight="1" x14ac:dyDescent="0.25">
      <c r="B567" s="49"/>
    </row>
    <row r="568" spans="2:2" ht="15.75" customHeight="1" x14ac:dyDescent="0.25">
      <c r="B568" s="49"/>
    </row>
    <row r="569" spans="2:2" ht="15.75" customHeight="1" x14ac:dyDescent="0.25">
      <c r="B569" s="49"/>
    </row>
    <row r="570" spans="2:2" ht="15.75" customHeight="1" x14ac:dyDescent="0.25">
      <c r="B570" s="49"/>
    </row>
    <row r="571" spans="2:2" ht="15.75" customHeight="1" x14ac:dyDescent="0.25">
      <c r="B571" s="49"/>
    </row>
    <row r="572" spans="2:2" ht="15.75" customHeight="1" x14ac:dyDescent="0.25">
      <c r="B572" s="49"/>
    </row>
    <row r="573" spans="2:2" ht="15.75" customHeight="1" x14ac:dyDescent="0.25">
      <c r="B573" s="49"/>
    </row>
    <row r="574" spans="2:2" ht="15.75" customHeight="1" x14ac:dyDescent="0.25">
      <c r="B574" s="49"/>
    </row>
    <row r="575" spans="2:2" ht="15.75" customHeight="1" x14ac:dyDescent="0.25">
      <c r="B575" s="49"/>
    </row>
    <row r="576" spans="2:2" ht="15.75" customHeight="1" x14ac:dyDescent="0.25">
      <c r="B576" s="49"/>
    </row>
    <row r="577" spans="2:2" ht="15.75" customHeight="1" x14ac:dyDescent="0.25">
      <c r="B577" s="49"/>
    </row>
    <row r="578" spans="2:2" ht="15.75" customHeight="1" x14ac:dyDescent="0.25">
      <c r="B578" s="49"/>
    </row>
    <row r="579" spans="2:2" ht="15.75" customHeight="1" x14ac:dyDescent="0.25">
      <c r="B579" s="49"/>
    </row>
    <row r="580" spans="2:2" ht="15.75" customHeight="1" x14ac:dyDescent="0.25">
      <c r="B580" s="49"/>
    </row>
    <row r="581" spans="2:2" ht="15.75" customHeight="1" x14ac:dyDescent="0.25">
      <c r="B581" s="49"/>
    </row>
    <row r="582" spans="2:2" ht="15.75" customHeight="1" x14ac:dyDescent="0.25">
      <c r="B582" s="49"/>
    </row>
    <row r="583" spans="2:2" ht="15.75" customHeight="1" x14ac:dyDescent="0.25">
      <c r="B583" s="49"/>
    </row>
    <row r="584" spans="2:2" ht="15.75" customHeight="1" x14ac:dyDescent="0.25">
      <c r="B584" s="49"/>
    </row>
    <row r="585" spans="2:2" ht="15.75" customHeight="1" x14ac:dyDescent="0.25">
      <c r="B585" s="49"/>
    </row>
    <row r="586" spans="2:2" ht="15.75" customHeight="1" x14ac:dyDescent="0.25">
      <c r="B586" s="49"/>
    </row>
    <row r="587" spans="2:2" ht="15.75" customHeight="1" x14ac:dyDescent="0.25">
      <c r="B587" s="49"/>
    </row>
    <row r="588" spans="2:2" ht="15.75" customHeight="1" x14ac:dyDescent="0.25">
      <c r="B588" s="49"/>
    </row>
    <row r="589" spans="2:2" ht="15.75" customHeight="1" x14ac:dyDescent="0.25">
      <c r="B589" s="49"/>
    </row>
    <row r="590" spans="2:2" ht="15.75" customHeight="1" x14ac:dyDescent="0.25">
      <c r="B590" s="49"/>
    </row>
    <row r="591" spans="2:2" ht="15.75" customHeight="1" x14ac:dyDescent="0.25">
      <c r="B591" s="49"/>
    </row>
    <row r="592" spans="2:2" ht="15.75" customHeight="1" x14ac:dyDescent="0.25">
      <c r="B592" s="49"/>
    </row>
    <row r="593" spans="2:2" ht="15.75" customHeight="1" x14ac:dyDescent="0.25">
      <c r="B593" s="49"/>
    </row>
    <row r="594" spans="2:2" ht="15.75" customHeight="1" x14ac:dyDescent="0.25">
      <c r="B594" s="49"/>
    </row>
    <row r="595" spans="2:2" ht="15.75" customHeight="1" x14ac:dyDescent="0.25">
      <c r="B595" s="49"/>
    </row>
    <row r="596" spans="2:2" ht="15.75" customHeight="1" x14ac:dyDescent="0.25">
      <c r="B596" s="49"/>
    </row>
    <row r="597" spans="2:2" ht="15.75" customHeight="1" x14ac:dyDescent="0.25">
      <c r="B597" s="49"/>
    </row>
    <row r="598" spans="2:2" ht="15.75" customHeight="1" x14ac:dyDescent="0.25">
      <c r="B598" s="49"/>
    </row>
    <row r="599" spans="2:2" ht="15.75" customHeight="1" x14ac:dyDescent="0.25">
      <c r="B599" s="49"/>
    </row>
    <row r="600" spans="2:2" ht="15.75" customHeight="1" x14ac:dyDescent="0.25">
      <c r="B600" s="49"/>
    </row>
    <row r="601" spans="2:2" ht="15.75" customHeight="1" x14ac:dyDescent="0.25">
      <c r="B601" s="49"/>
    </row>
    <row r="602" spans="2:2" ht="15.75" customHeight="1" x14ac:dyDescent="0.25">
      <c r="B602" s="49"/>
    </row>
    <row r="603" spans="2:2" ht="15.75" customHeight="1" x14ac:dyDescent="0.25">
      <c r="B603" s="49"/>
    </row>
    <row r="604" spans="2:2" ht="15.75" customHeight="1" x14ac:dyDescent="0.25">
      <c r="B604" s="49"/>
    </row>
    <row r="605" spans="2:2" ht="15.75" customHeight="1" x14ac:dyDescent="0.25">
      <c r="B605" s="49"/>
    </row>
    <row r="606" spans="2:2" ht="15.75" customHeight="1" x14ac:dyDescent="0.25">
      <c r="B606" s="49"/>
    </row>
    <row r="607" spans="2:2" ht="15.75" customHeight="1" x14ac:dyDescent="0.25">
      <c r="B607" s="49"/>
    </row>
    <row r="608" spans="2:2" ht="15.75" customHeight="1" x14ac:dyDescent="0.25">
      <c r="B608" s="49"/>
    </row>
    <row r="609" spans="2:2" ht="15.75" customHeight="1" x14ac:dyDescent="0.25">
      <c r="B609" s="49"/>
    </row>
    <row r="610" spans="2:2" ht="15.75" customHeight="1" x14ac:dyDescent="0.25">
      <c r="B610" s="49"/>
    </row>
    <row r="611" spans="2:2" ht="15.75" customHeight="1" x14ac:dyDescent="0.25">
      <c r="B611" s="49"/>
    </row>
    <row r="612" spans="2:2" ht="15.75" customHeight="1" x14ac:dyDescent="0.25">
      <c r="B612" s="49"/>
    </row>
    <row r="613" spans="2:2" ht="15.75" customHeight="1" x14ac:dyDescent="0.25">
      <c r="B613" s="49"/>
    </row>
    <row r="614" spans="2:2" ht="15.75" customHeight="1" x14ac:dyDescent="0.25">
      <c r="B614" s="49"/>
    </row>
    <row r="615" spans="2:2" ht="15.75" customHeight="1" x14ac:dyDescent="0.25">
      <c r="B615" s="49"/>
    </row>
    <row r="616" spans="2:2" ht="15.75" customHeight="1" x14ac:dyDescent="0.25">
      <c r="B616" s="49"/>
    </row>
    <row r="617" spans="2:2" ht="15.75" customHeight="1" x14ac:dyDescent="0.25">
      <c r="B617" s="49"/>
    </row>
    <row r="618" spans="2:2" ht="15.75" customHeight="1" x14ac:dyDescent="0.25">
      <c r="B618" s="49"/>
    </row>
    <row r="619" spans="2:2" ht="15.75" customHeight="1" x14ac:dyDescent="0.25">
      <c r="B619" s="49"/>
    </row>
    <row r="620" spans="2:2" ht="15.75" customHeight="1" x14ac:dyDescent="0.25">
      <c r="B620" s="49"/>
    </row>
    <row r="621" spans="2:2" ht="15.75" customHeight="1" x14ac:dyDescent="0.25">
      <c r="B621" s="49"/>
    </row>
    <row r="622" spans="2:2" ht="15.75" customHeight="1" x14ac:dyDescent="0.25">
      <c r="B622" s="49"/>
    </row>
    <row r="623" spans="2:2" ht="15.75" customHeight="1" x14ac:dyDescent="0.25">
      <c r="B623" s="49"/>
    </row>
    <row r="624" spans="2:2" ht="15.75" customHeight="1" x14ac:dyDescent="0.25">
      <c r="B624" s="49"/>
    </row>
    <row r="625" spans="2:2" ht="15.75" customHeight="1" x14ac:dyDescent="0.25">
      <c r="B625" s="49"/>
    </row>
    <row r="626" spans="2:2" ht="15.75" customHeight="1" x14ac:dyDescent="0.25">
      <c r="B626" s="49"/>
    </row>
    <row r="627" spans="2:2" ht="15.75" customHeight="1" x14ac:dyDescent="0.25">
      <c r="B627" s="49"/>
    </row>
    <row r="628" spans="2:2" ht="15.75" customHeight="1" x14ac:dyDescent="0.25">
      <c r="B628" s="49"/>
    </row>
    <row r="629" spans="2:2" ht="15.75" customHeight="1" x14ac:dyDescent="0.25">
      <c r="B629" s="49"/>
    </row>
    <row r="630" spans="2:2" ht="15.75" customHeight="1" x14ac:dyDescent="0.25">
      <c r="B630" s="49"/>
    </row>
    <row r="631" spans="2:2" ht="15.75" customHeight="1" x14ac:dyDescent="0.25">
      <c r="B631" s="49"/>
    </row>
    <row r="632" spans="2:2" ht="15.75" customHeight="1" x14ac:dyDescent="0.25">
      <c r="B632" s="49"/>
    </row>
    <row r="633" spans="2:2" ht="15.75" customHeight="1" x14ac:dyDescent="0.25">
      <c r="B633" s="49"/>
    </row>
    <row r="634" spans="2:2" ht="15.75" customHeight="1" x14ac:dyDescent="0.25">
      <c r="B634" s="49"/>
    </row>
    <row r="635" spans="2:2" ht="15.75" customHeight="1" x14ac:dyDescent="0.25">
      <c r="B635" s="49"/>
    </row>
    <row r="636" spans="2:2" ht="15.75" customHeight="1" x14ac:dyDescent="0.25">
      <c r="B636" s="49"/>
    </row>
    <row r="637" spans="2:2" ht="15.75" customHeight="1" x14ac:dyDescent="0.25">
      <c r="B637" s="49"/>
    </row>
    <row r="638" spans="2:2" ht="15.75" customHeight="1" x14ac:dyDescent="0.25">
      <c r="B638" s="49"/>
    </row>
    <row r="639" spans="2:2" ht="15.75" customHeight="1" x14ac:dyDescent="0.25">
      <c r="B639" s="49"/>
    </row>
    <row r="640" spans="2:2" ht="15.75" customHeight="1" x14ac:dyDescent="0.25">
      <c r="B640" s="49"/>
    </row>
    <row r="641" spans="2:2" ht="15.75" customHeight="1" x14ac:dyDescent="0.25">
      <c r="B641" s="49"/>
    </row>
    <row r="642" spans="2:2" ht="15.75" customHeight="1" x14ac:dyDescent="0.25">
      <c r="B642" s="49"/>
    </row>
    <row r="643" spans="2:2" ht="15.75" customHeight="1" x14ac:dyDescent="0.25">
      <c r="B643" s="49"/>
    </row>
    <row r="644" spans="2:2" ht="15.75" customHeight="1" x14ac:dyDescent="0.25">
      <c r="B644" s="49"/>
    </row>
    <row r="645" spans="2:2" ht="15.75" customHeight="1" x14ac:dyDescent="0.25">
      <c r="B645" s="49"/>
    </row>
    <row r="646" spans="2:2" ht="15.75" customHeight="1" x14ac:dyDescent="0.25">
      <c r="B646" s="49"/>
    </row>
    <row r="647" spans="2:2" ht="15.75" customHeight="1" x14ac:dyDescent="0.25">
      <c r="B647" s="49"/>
    </row>
    <row r="648" spans="2:2" ht="15.75" customHeight="1" x14ac:dyDescent="0.25">
      <c r="B648" s="49"/>
    </row>
    <row r="649" spans="2:2" ht="15.75" customHeight="1" x14ac:dyDescent="0.25">
      <c r="B649" s="49"/>
    </row>
    <row r="650" spans="2:2" ht="15.75" customHeight="1" x14ac:dyDescent="0.25">
      <c r="B650" s="49"/>
    </row>
    <row r="651" spans="2:2" ht="15.75" customHeight="1" x14ac:dyDescent="0.25">
      <c r="B651" s="49"/>
    </row>
    <row r="652" spans="2:2" ht="15.75" customHeight="1" x14ac:dyDescent="0.25">
      <c r="B652" s="49"/>
    </row>
    <row r="653" spans="2:2" ht="15.75" customHeight="1" x14ac:dyDescent="0.25">
      <c r="B653" s="49"/>
    </row>
    <row r="654" spans="2:2" ht="15.75" customHeight="1" x14ac:dyDescent="0.25">
      <c r="B654" s="49"/>
    </row>
    <row r="655" spans="2:2" ht="15.75" customHeight="1" x14ac:dyDescent="0.25">
      <c r="B655" s="49"/>
    </row>
    <row r="656" spans="2:2" ht="15.75" customHeight="1" x14ac:dyDescent="0.25">
      <c r="B656" s="49"/>
    </row>
    <row r="657" spans="2:2" ht="15.75" customHeight="1" x14ac:dyDescent="0.25">
      <c r="B657" s="49"/>
    </row>
    <row r="658" spans="2:2" ht="15.75" customHeight="1" x14ac:dyDescent="0.25">
      <c r="B658" s="49"/>
    </row>
    <row r="659" spans="2:2" ht="15.75" customHeight="1" x14ac:dyDescent="0.25">
      <c r="B659" s="49"/>
    </row>
    <row r="660" spans="2:2" ht="15.75" customHeight="1" x14ac:dyDescent="0.25">
      <c r="B660" s="49"/>
    </row>
    <row r="661" spans="2:2" ht="15.75" customHeight="1" x14ac:dyDescent="0.25">
      <c r="B661" s="49"/>
    </row>
    <row r="662" spans="2:2" ht="15.75" customHeight="1" x14ac:dyDescent="0.25">
      <c r="B662" s="49"/>
    </row>
    <row r="663" spans="2:2" ht="15.75" customHeight="1" x14ac:dyDescent="0.25">
      <c r="B663" s="49"/>
    </row>
    <row r="664" spans="2:2" ht="15.75" customHeight="1" x14ac:dyDescent="0.25">
      <c r="B664" s="49"/>
    </row>
    <row r="665" spans="2:2" ht="15.75" customHeight="1" x14ac:dyDescent="0.25">
      <c r="B665" s="49"/>
    </row>
    <row r="666" spans="2:2" ht="15.75" customHeight="1" x14ac:dyDescent="0.25">
      <c r="B666" s="49"/>
    </row>
    <row r="667" spans="2:2" ht="15.75" customHeight="1" x14ac:dyDescent="0.25">
      <c r="B667" s="49"/>
    </row>
    <row r="668" spans="2:2" ht="15.75" customHeight="1" x14ac:dyDescent="0.25">
      <c r="B668" s="49"/>
    </row>
    <row r="669" spans="2:2" ht="15.75" customHeight="1" x14ac:dyDescent="0.25">
      <c r="B669" s="49"/>
    </row>
    <row r="670" spans="2:2" ht="15.75" customHeight="1" x14ac:dyDescent="0.25">
      <c r="B670" s="49"/>
    </row>
    <row r="671" spans="2:2" ht="15.75" customHeight="1" x14ac:dyDescent="0.25">
      <c r="B671" s="49"/>
    </row>
    <row r="672" spans="2:2" ht="15.75" customHeight="1" x14ac:dyDescent="0.25">
      <c r="B672" s="49"/>
    </row>
    <row r="673" spans="2:2" ht="15.75" customHeight="1" x14ac:dyDescent="0.25">
      <c r="B673" s="49"/>
    </row>
    <row r="674" spans="2:2" ht="15.75" customHeight="1" x14ac:dyDescent="0.25">
      <c r="B674" s="49"/>
    </row>
    <row r="675" spans="2:2" ht="15.75" customHeight="1" x14ac:dyDescent="0.25">
      <c r="B675" s="49"/>
    </row>
    <row r="676" spans="2:2" ht="15.75" customHeight="1" x14ac:dyDescent="0.25">
      <c r="B676" s="49"/>
    </row>
    <row r="677" spans="2:2" ht="15.75" customHeight="1" x14ac:dyDescent="0.25">
      <c r="B677" s="49"/>
    </row>
    <row r="678" spans="2:2" ht="15.75" customHeight="1" x14ac:dyDescent="0.25">
      <c r="B678" s="49"/>
    </row>
    <row r="679" spans="2:2" ht="15.75" customHeight="1" x14ac:dyDescent="0.25">
      <c r="B679" s="49"/>
    </row>
    <row r="680" spans="2:2" ht="15.75" customHeight="1" x14ac:dyDescent="0.25">
      <c r="B680" s="49"/>
    </row>
    <row r="681" spans="2:2" ht="15.75" customHeight="1" x14ac:dyDescent="0.25">
      <c r="B681" s="49"/>
    </row>
    <row r="682" spans="2:2" ht="15.75" customHeight="1" x14ac:dyDescent="0.25">
      <c r="B682" s="49"/>
    </row>
    <row r="683" spans="2:2" ht="15.75" customHeight="1" x14ac:dyDescent="0.25">
      <c r="B683" s="49"/>
    </row>
    <row r="684" spans="2:2" ht="15.75" customHeight="1" x14ac:dyDescent="0.25">
      <c r="B684" s="49"/>
    </row>
    <row r="685" spans="2:2" ht="15.75" customHeight="1" x14ac:dyDescent="0.25">
      <c r="B685" s="49"/>
    </row>
    <row r="686" spans="2:2" ht="15.75" customHeight="1" x14ac:dyDescent="0.25">
      <c r="B686" s="49"/>
    </row>
    <row r="687" spans="2:2" ht="15.75" customHeight="1" x14ac:dyDescent="0.25">
      <c r="B687" s="49"/>
    </row>
    <row r="688" spans="2:2" ht="15.75" customHeight="1" x14ac:dyDescent="0.25">
      <c r="B688" s="49"/>
    </row>
    <row r="689" spans="2:2" ht="15.75" customHeight="1" x14ac:dyDescent="0.25">
      <c r="B689" s="49"/>
    </row>
    <row r="690" spans="2:2" ht="15.75" customHeight="1" x14ac:dyDescent="0.25">
      <c r="B690" s="49"/>
    </row>
    <row r="691" spans="2:2" ht="15.75" customHeight="1" x14ac:dyDescent="0.25">
      <c r="B691" s="49"/>
    </row>
    <row r="692" spans="2:2" ht="15.75" customHeight="1" x14ac:dyDescent="0.25">
      <c r="B692" s="49"/>
    </row>
    <row r="693" spans="2:2" ht="15.75" customHeight="1" x14ac:dyDescent="0.25">
      <c r="B693" s="49"/>
    </row>
    <row r="694" spans="2:2" ht="15.75" customHeight="1" x14ac:dyDescent="0.25">
      <c r="B694" s="49"/>
    </row>
    <row r="695" spans="2:2" ht="15.75" customHeight="1" x14ac:dyDescent="0.25">
      <c r="B695" s="49"/>
    </row>
    <row r="696" spans="2:2" ht="15.75" customHeight="1" x14ac:dyDescent="0.25">
      <c r="B696" s="49"/>
    </row>
    <row r="697" spans="2:2" ht="15.75" customHeight="1" x14ac:dyDescent="0.25">
      <c r="B697" s="49"/>
    </row>
    <row r="698" spans="2:2" ht="15.75" customHeight="1" x14ac:dyDescent="0.25">
      <c r="B698" s="49"/>
    </row>
    <row r="699" spans="2:2" ht="15.75" customHeight="1" x14ac:dyDescent="0.25">
      <c r="B699" s="49"/>
    </row>
    <row r="700" spans="2:2" ht="15.75" customHeight="1" x14ac:dyDescent="0.25">
      <c r="B700" s="49"/>
    </row>
    <row r="701" spans="2:2" ht="15.75" customHeight="1" x14ac:dyDescent="0.25">
      <c r="B701" s="49"/>
    </row>
    <row r="702" spans="2:2" ht="15.75" customHeight="1" x14ac:dyDescent="0.25">
      <c r="B702" s="49"/>
    </row>
    <row r="703" spans="2:2" ht="15.75" customHeight="1" x14ac:dyDescent="0.25">
      <c r="B703" s="49"/>
    </row>
    <row r="704" spans="2:2" ht="15.75" customHeight="1" x14ac:dyDescent="0.25">
      <c r="B704" s="49"/>
    </row>
    <row r="705" spans="2:2" ht="15.75" customHeight="1" x14ac:dyDescent="0.25">
      <c r="B705" s="49"/>
    </row>
    <row r="706" spans="2:2" ht="15.75" customHeight="1" x14ac:dyDescent="0.25">
      <c r="B706" s="49"/>
    </row>
    <row r="707" spans="2:2" ht="15.75" customHeight="1" x14ac:dyDescent="0.25">
      <c r="B707" s="49"/>
    </row>
    <row r="708" spans="2:2" ht="15.75" customHeight="1" x14ac:dyDescent="0.25">
      <c r="B708" s="49"/>
    </row>
    <row r="709" spans="2:2" ht="15.75" customHeight="1" x14ac:dyDescent="0.25">
      <c r="B709" s="49"/>
    </row>
    <row r="710" spans="2:2" ht="15.75" customHeight="1" x14ac:dyDescent="0.25">
      <c r="B710" s="49"/>
    </row>
    <row r="711" spans="2:2" ht="15.75" customHeight="1" x14ac:dyDescent="0.25">
      <c r="B711" s="49"/>
    </row>
    <row r="712" spans="2:2" ht="15.75" customHeight="1" x14ac:dyDescent="0.25">
      <c r="B712" s="49"/>
    </row>
    <row r="713" spans="2:2" ht="15.75" customHeight="1" x14ac:dyDescent="0.25">
      <c r="B713" s="49"/>
    </row>
    <row r="714" spans="2:2" ht="15.75" customHeight="1" x14ac:dyDescent="0.25">
      <c r="B714" s="49"/>
    </row>
    <row r="715" spans="2:2" ht="15.75" customHeight="1" x14ac:dyDescent="0.25">
      <c r="B715" s="49"/>
    </row>
    <row r="716" spans="2:2" ht="15.75" customHeight="1" x14ac:dyDescent="0.25">
      <c r="B716" s="49"/>
    </row>
    <row r="717" spans="2:2" ht="15.75" customHeight="1" x14ac:dyDescent="0.25">
      <c r="B717" s="49"/>
    </row>
    <row r="718" spans="2:2" ht="15.75" customHeight="1" x14ac:dyDescent="0.25">
      <c r="B718" s="49"/>
    </row>
    <row r="719" spans="2:2" ht="15.75" customHeight="1" x14ac:dyDescent="0.25">
      <c r="B719" s="49"/>
    </row>
    <row r="720" spans="2:2" ht="15.75" customHeight="1" x14ac:dyDescent="0.25">
      <c r="B720" s="49"/>
    </row>
    <row r="721" spans="2:2" ht="15.75" customHeight="1" x14ac:dyDescent="0.25">
      <c r="B721" s="49"/>
    </row>
    <row r="722" spans="2:2" ht="15.75" customHeight="1" x14ac:dyDescent="0.25">
      <c r="B722" s="49"/>
    </row>
    <row r="723" spans="2:2" ht="15.75" customHeight="1" x14ac:dyDescent="0.25">
      <c r="B723" s="49"/>
    </row>
    <row r="724" spans="2:2" ht="15.75" customHeight="1" x14ac:dyDescent="0.25">
      <c r="B724" s="49"/>
    </row>
    <row r="725" spans="2:2" ht="15.75" customHeight="1" x14ac:dyDescent="0.25">
      <c r="B725" s="49"/>
    </row>
    <row r="726" spans="2:2" ht="15.75" customHeight="1" x14ac:dyDescent="0.25">
      <c r="B726" s="49"/>
    </row>
    <row r="727" spans="2:2" ht="15.75" customHeight="1" x14ac:dyDescent="0.25">
      <c r="B727" s="49"/>
    </row>
    <row r="728" spans="2:2" ht="15.75" customHeight="1" x14ac:dyDescent="0.25">
      <c r="B728" s="49"/>
    </row>
    <row r="729" spans="2:2" ht="15.75" customHeight="1" x14ac:dyDescent="0.25">
      <c r="B729" s="49"/>
    </row>
    <row r="730" spans="2:2" ht="15.75" customHeight="1" x14ac:dyDescent="0.25">
      <c r="B730" s="49"/>
    </row>
    <row r="731" spans="2:2" ht="15.75" customHeight="1" x14ac:dyDescent="0.25">
      <c r="B731" s="49"/>
    </row>
    <row r="732" spans="2:2" ht="15.75" customHeight="1" x14ac:dyDescent="0.25">
      <c r="B732" s="49"/>
    </row>
    <row r="733" spans="2:2" ht="15.75" customHeight="1" x14ac:dyDescent="0.25">
      <c r="B733" s="49"/>
    </row>
    <row r="734" spans="2:2" ht="15.75" customHeight="1" x14ac:dyDescent="0.25">
      <c r="B734" s="49"/>
    </row>
    <row r="735" spans="2:2" ht="15.75" customHeight="1" x14ac:dyDescent="0.25">
      <c r="B735" s="49"/>
    </row>
    <row r="736" spans="2:2" ht="15.75" customHeight="1" x14ac:dyDescent="0.25">
      <c r="B736" s="49"/>
    </row>
    <row r="737" spans="2:2" ht="15.75" customHeight="1" x14ac:dyDescent="0.25">
      <c r="B737" s="49"/>
    </row>
    <row r="738" spans="2:2" ht="15.75" customHeight="1" x14ac:dyDescent="0.25">
      <c r="B738" s="49"/>
    </row>
    <row r="739" spans="2:2" ht="15.75" customHeight="1" x14ac:dyDescent="0.25">
      <c r="B739" s="49"/>
    </row>
    <row r="740" spans="2:2" ht="15.75" customHeight="1" x14ac:dyDescent="0.25">
      <c r="B740" s="49"/>
    </row>
    <row r="741" spans="2:2" ht="15.75" customHeight="1" x14ac:dyDescent="0.25">
      <c r="B741" s="49"/>
    </row>
    <row r="742" spans="2:2" ht="15.75" customHeight="1" x14ac:dyDescent="0.25">
      <c r="B742" s="49"/>
    </row>
    <row r="743" spans="2:2" ht="15.75" customHeight="1" x14ac:dyDescent="0.25">
      <c r="B743" s="49"/>
    </row>
    <row r="744" spans="2:2" ht="15.75" customHeight="1" x14ac:dyDescent="0.25">
      <c r="B744" s="49"/>
    </row>
    <row r="745" spans="2:2" ht="15.75" customHeight="1" x14ac:dyDescent="0.25">
      <c r="B745" s="49"/>
    </row>
    <row r="746" spans="2:2" ht="15.75" customHeight="1" x14ac:dyDescent="0.25">
      <c r="B746" s="49"/>
    </row>
    <row r="747" spans="2:2" ht="15.75" customHeight="1" x14ac:dyDescent="0.25">
      <c r="B747" s="49"/>
    </row>
    <row r="748" spans="2:2" ht="15.75" customHeight="1" x14ac:dyDescent="0.25">
      <c r="B748" s="49"/>
    </row>
    <row r="749" spans="2:2" ht="15.75" customHeight="1" x14ac:dyDescent="0.25">
      <c r="B749" s="49"/>
    </row>
    <row r="750" spans="2:2" ht="15.75" customHeight="1" x14ac:dyDescent="0.25">
      <c r="B750" s="49"/>
    </row>
    <row r="751" spans="2:2" ht="15.75" customHeight="1" x14ac:dyDescent="0.25">
      <c r="B751" s="49"/>
    </row>
    <row r="752" spans="2:2" ht="15.75" customHeight="1" x14ac:dyDescent="0.25">
      <c r="B752" s="49"/>
    </row>
    <row r="753" spans="2:2" ht="15.75" customHeight="1" x14ac:dyDescent="0.25">
      <c r="B753" s="49"/>
    </row>
    <row r="754" spans="2:2" ht="15.75" customHeight="1" x14ac:dyDescent="0.25">
      <c r="B754" s="49"/>
    </row>
    <row r="755" spans="2:2" ht="15.75" customHeight="1" x14ac:dyDescent="0.25">
      <c r="B755" s="49"/>
    </row>
    <row r="756" spans="2:2" ht="15.75" customHeight="1" x14ac:dyDescent="0.25">
      <c r="B756" s="49"/>
    </row>
    <row r="757" spans="2:2" ht="15.75" customHeight="1" x14ac:dyDescent="0.25">
      <c r="B757" s="49"/>
    </row>
    <row r="758" spans="2:2" ht="15.75" customHeight="1" x14ac:dyDescent="0.25">
      <c r="B758" s="49"/>
    </row>
    <row r="759" spans="2:2" ht="15.75" customHeight="1" x14ac:dyDescent="0.25">
      <c r="B759" s="49"/>
    </row>
    <row r="760" spans="2:2" ht="15.75" customHeight="1" x14ac:dyDescent="0.25">
      <c r="B760" s="49"/>
    </row>
    <row r="761" spans="2:2" ht="15.75" customHeight="1" x14ac:dyDescent="0.25">
      <c r="B761" s="49"/>
    </row>
    <row r="762" spans="2:2" ht="15.75" customHeight="1" x14ac:dyDescent="0.25">
      <c r="B762" s="49"/>
    </row>
    <row r="763" spans="2:2" ht="15.75" customHeight="1" x14ac:dyDescent="0.25">
      <c r="B763" s="49"/>
    </row>
    <row r="764" spans="2:2" ht="15.75" customHeight="1" x14ac:dyDescent="0.25">
      <c r="B764" s="49"/>
    </row>
    <row r="765" spans="2:2" ht="15.75" customHeight="1" x14ac:dyDescent="0.25">
      <c r="B765" s="49"/>
    </row>
    <row r="766" spans="2:2" ht="15.75" customHeight="1" x14ac:dyDescent="0.25">
      <c r="B766" s="49"/>
    </row>
    <row r="767" spans="2:2" ht="15.75" customHeight="1" x14ac:dyDescent="0.25">
      <c r="B767" s="49"/>
    </row>
    <row r="768" spans="2:2" ht="15.75" customHeight="1" x14ac:dyDescent="0.25">
      <c r="B768" s="49"/>
    </row>
    <row r="769" spans="2:2" ht="15.75" customHeight="1" x14ac:dyDescent="0.25">
      <c r="B769" s="49"/>
    </row>
    <row r="770" spans="2:2" ht="15.75" customHeight="1" x14ac:dyDescent="0.25">
      <c r="B770" s="49"/>
    </row>
    <row r="771" spans="2:2" ht="15.75" customHeight="1" x14ac:dyDescent="0.25">
      <c r="B771" s="49"/>
    </row>
    <row r="772" spans="2:2" ht="15.75" customHeight="1" x14ac:dyDescent="0.25">
      <c r="B772" s="49"/>
    </row>
    <row r="773" spans="2:2" ht="15.75" customHeight="1" x14ac:dyDescent="0.25">
      <c r="B773" s="49"/>
    </row>
    <row r="774" spans="2:2" ht="15.75" customHeight="1" x14ac:dyDescent="0.25">
      <c r="B774" s="49"/>
    </row>
    <row r="775" spans="2:2" ht="15.75" customHeight="1" x14ac:dyDescent="0.25">
      <c r="B775" s="49"/>
    </row>
    <row r="776" spans="2:2" ht="15.75" customHeight="1" x14ac:dyDescent="0.25">
      <c r="B776" s="49"/>
    </row>
    <row r="777" spans="2:2" ht="15.75" customHeight="1" x14ac:dyDescent="0.25">
      <c r="B777" s="49"/>
    </row>
    <row r="778" spans="2:2" ht="15.75" customHeight="1" x14ac:dyDescent="0.25">
      <c r="B778" s="49"/>
    </row>
    <row r="779" spans="2:2" ht="15.75" customHeight="1" x14ac:dyDescent="0.25">
      <c r="B779" s="49"/>
    </row>
    <row r="780" spans="2:2" ht="15.75" customHeight="1" x14ac:dyDescent="0.25">
      <c r="B780" s="49"/>
    </row>
    <row r="781" spans="2:2" ht="15.75" customHeight="1" x14ac:dyDescent="0.25">
      <c r="B781" s="49"/>
    </row>
    <row r="782" spans="2:2" ht="15.75" customHeight="1" x14ac:dyDescent="0.25">
      <c r="B782" s="49"/>
    </row>
    <row r="783" spans="2:2" ht="15.75" customHeight="1" x14ac:dyDescent="0.25">
      <c r="B783" s="49"/>
    </row>
    <row r="784" spans="2:2" ht="15.75" customHeight="1" x14ac:dyDescent="0.25">
      <c r="B784" s="49"/>
    </row>
    <row r="785" spans="2:2" ht="15.75" customHeight="1" x14ac:dyDescent="0.25">
      <c r="B785" s="49"/>
    </row>
    <row r="786" spans="2:2" ht="15.75" customHeight="1" x14ac:dyDescent="0.25">
      <c r="B786" s="49"/>
    </row>
    <row r="787" spans="2:2" ht="15.75" customHeight="1" x14ac:dyDescent="0.25">
      <c r="B787" s="49"/>
    </row>
    <row r="788" spans="2:2" ht="15.75" customHeight="1" x14ac:dyDescent="0.25">
      <c r="B788" s="49"/>
    </row>
    <row r="789" spans="2:2" ht="15.75" customHeight="1" x14ac:dyDescent="0.25">
      <c r="B789" s="49"/>
    </row>
    <row r="790" spans="2:2" ht="15.75" customHeight="1" x14ac:dyDescent="0.25">
      <c r="B790" s="49"/>
    </row>
    <row r="791" spans="2:2" ht="15.75" customHeight="1" x14ac:dyDescent="0.25">
      <c r="B791" s="49"/>
    </row>
    <row r="792" spans="2:2" ht="15.75" customHeight="1" x14ac:dyDescent="0.25">
      <c r="B792" s="49"/>
    </row>
    <row r="793" spans="2:2" ht="15.75" customHeight="1" x14ac:dyDescent="0.25">
      <c r="B793" s="49"/>
    </row>
    <row r="794" spans="2:2" ht="15.75" customHeight="1" x14ac:dyDescent="0.25">
      <c r="B794" s="49"/>
    </row>
    <row r="795" spans="2:2" ht="15.75" customHeight="1" x14ac:dyDescent="0.25">
      <c r="B795" s="49"/>
    </row>
    <row r="796" spans="2:2" ht="15.75" customHeight="1" x14ac:dyDescent="0.25">
      <c r="B796" s="49"/>
    </row>
    <row r="797" spans="2:2" ht="15.75" customHeight="1" x14ac:dyDescent="0.25">
      <c r="B797" s="49"/>
    </row>
    <row r="798" spans="2:2" ht="15.75" customHeight="1" x14ac:dyDescent="0.25">
      <c r="B798" s="49"/>
    </row>
    <row r="799" spans="2:2" ht="15.75" customHeight="1" x14ac:dyDescent="0.25">
      <c r="B799" s="49"/>
    </row>
    <row r="800" spans="2:2" ht="15.75" customHeight="1" x14ac:dyDescent="0.25">
      <c r="B800" s="49"/>
    </row>
    <row r="801" spans="2:2" ht="15.75" customHeight="1" x14ac:dyDescent="0.25">
      <c r="B801" s="49"/>
    </row>
    <row r="802" spans="2:2" ht="15.75" customHeight="1" x14ac:dyDescent="0.25">
      <c r="B802" s="49"/>
    </row>
    <row r="803" spans="2:2" ht="15.75" customHeight="1" x14ac:dyDescent="0.25">
      <c r="B803" s="49"/>
    </row>
    <row r="804" spans="2:2" ht="15.75" customHeight="1" x14ac:dyDescent="0.25">
      <c r="B804" s="49"/>
    </row>
    <row r="805" spans="2:2" ht="15.75" customHeight="1" x14ac:dyDescent="0.25">
      <c r="B805" s="49"/>
    </row>
    <row r="806" spans="2:2" ht="15.75" customHeight="1" x14ac:dyDescent="0.25">
      <c r="B806" s="49"/>
    </row>
    <row r="807" spans="2:2" ht="15.75" customHeight="1" x14ac:dyDescent="0.25">
      <c r="B807" s="49"/>
    </row>
    <row r="808" spans="2:2" ht="15.75" customHeight="1" x14ac:dyDescent="0.25">
      <c r="B808" s="49"/>
    </row>
    <row r="809" spans="2:2" ht="15.75" customHeight="1" x14ac:dyDescent="0.25">
      <c r="B809" s="49"/>
    </row>
    <row r="810" spans="2:2" ht="15.75" customHeight="1" x14ac:dyDescent="0.25">
      <c r="B810" s="49"/>
    </row>
    <row r="811" spans="2:2" ht="15.75" customHeight="1" x14ac:dyDescent="0.25">
      <c r="B811" s="49"/>
    </row>
    <row r="812" spans="2:2" ht="15.75" customHeight="1" x14ac:dyDescent="0.25">
      <c r="B812" s="49"/>
    </row>
    <row r="813" spans="2:2" ht="15.75" customHeight="1" x14ac:dyDescent="0.25">
      <c r="B813" s="49"/>
    </row>
    <row r="814" spans="2:2" ht="15.75" customHeight="1" x14ac:dyDescent="0.25">
      <c r="B814" s="49"/>
    </row>
    <row r="815" spans="2:2" ht="15.75" customHeight="1" x14ac:dyDescent="0.25">
      <c r="B815" s="49"/>
    </row>
    <row r="816" spans="2:2" ht="15.75" customHeight="1" x14ac:dyDescent="0.25">
      <c r="B816" s="49"/>
    </row>
    <row r="817" spans="2:2" ht="15.75" customHeight="1" x14ac:dyDescent="0.25">
      <c r="B817" s="49"/>
    </row>
    <row r="818" spans="2:2" ht="15.75" customHeight="1" x14ac:dyDescent="0.25">
      <c r="B818" s="49"/>
    </row>
    <row r="819" spans="2:2" ht="15.75" customHeight="1" x14ac:dyDescent="0.25">
      <c r="B819" s="49"/>
    </row>
    <row r="820" spans="2:2" ht="15.75" customHeight="1" x14ac:dyDescent="0.25">
      <c r="B820" s="49"/>
    </row>
    <row r="821" spans="2:2" ht="15.75" customHeight="1" x14ac:dyDescent="0.25">
      <c r="B821" s="49"/>
    </row>
    <row r="822" spans="2:2" ht="15.75" customHeight="1" x14ac:dyDescent="0.25">
      <c r="B822" s="49"/>
    </row>
    <row r="823" spans="2:2" ht="15.75" customHeight="1" x14ac:dyDescent="0.25">
      <c r="B823" s="49"/>
    </row>
    <row r="824" spans="2:2" ht="15.75" customHeight="1" x14ac:dyDescent="0.25">
      <c r="B824" s="49"/>
    </row>
    <row r="825" spans="2:2" ht="15.75" customHeight="1" x14ac:dyDescent="0.25">
      <c r="B825" s="49"/>
    </row>
    <row r="826" spans="2:2" ht="15.75" customHeight="1" x14ac:dyDescent="0.25">
      <c r="B826" s="49"/>
    </row>
    <row r="827" spans="2:2" ht="15.75" customHeight="1" x14ac:dyDescent="0.25">
      <c r="B827" s="49"/>
    </row>
    <row r="828" spans="2:2" ht="15.75" customHeight="1" x14ac:dyDescent="0.25">
      <c r="B828" s="49"/>
    </row>
    <row r="829" spans="2:2" ht="15.75" customHeight="1" x14ac:dyDescent="0.25">
      <c r="B829" s="49"/>
    </row>
    <row r="830" spans="2:2" ht="15.75" customHeight="1" x14ac:dyDescent="0.25">
      <c r="B830" s="49"/>
    </row>
    <row r="831" spans="2:2" ht="15.75" customHeight="1" x14ac:dyDescent="0.25">
      <c r="B831" s="49"/>
    </row>
    <row r="832" spans="2:2" ht="15.75" customHeight="1" x14ac:dyDescent="0.25">
      <c r="B832" s="49"/>
    </row>
    <row r="833" spans="2:2" ht="15.75" customHeight="1" x14ac:dyDescent="0.25">
      <c r="B833" s="49"/>
    </row>
    <row r="834" spans="2:2" ht="15.75" customHeight="1" x14ac:dyDescent="0.25">
      <c r="B834" s="49"/>
    </row>
    <row r="835" spans="2:2" ht="15.75" customHeight="1" x14ac:dyDescent="0.25">
      <c r="B835" s="49"/>
    </row>
    <row r="836" spans="2:2" ht="15.75" customHeight="1" x14ac:dyDescent="0.25">
      <c r="B836" s="49"/>
    </row>
    <row r="837" spans="2:2" ht="15.75" customHeight="1" x14ac:dyDescent="0.25">
      <c r="B837" s="49"/>
    </row>
    <row r="838" spans="2:2" ht="15.75" customHeight="1" x14ac:dyDescent="0.25">
      <c r="B838" s="49"/>
    </row>
    <row r="839" spans="2:2" ht="15.75" customHeight="1" x14ac:dyDescent="0.25">
      <c r="B839" s="49"/>
    </row>
    <row r="840" spans="2:2" ht="15.75" customHeight="1" x14ac:dyDescent="0.25">
      <c r="B840" s="49"/>
    </row>
    <row r="841" spans="2:2" ht="15.75" customHeight="1" x14ac:dyDescent="0.25">
      <c r="B841" s="49"/>
    </row>
    <row r="842" spans="2:2" ht="15.75" customHeight="1" x14ac:dyDescent="0.25">
      <c r="B842" s="49"/>
    </row>
    <row r="843" spans="2:2" ht="15.75" customHeight="1" x14ac:dyDescent="0.25">
      <c r="B843" s="49"/>
    </row>
    <row r="844" spans="2:2" ht="15.75" customHeight="1" x14ac:dyDescent="0.25">
      <c r="B844" s="49"/>
    </row>
    <row r="845" spans="2:2" ht="15.75" customHeight="1" x14ac:dyDescent="0.25">
      <c r="B845" s="49"/>
    </row>
    <row r="846" spans="2:2" ht="15.75" customHeight="1" x14ac:dyDescent="0.25">
      <c r="B846" s="49"/>
    </row>
    <row r="847" spans="2:2" ht="15.75" customHeight="1" x14ac:dyDescent="0.25">
      <c r="B847" s="49"/>
    </row>
    <row r="848" spans="2:2" ht="15.75" customHeight="1" x14ac:dyDescent="0.25">
      <c r="B848" s="49"/>
    </row>
    <row r="849" spans="2:2" ht="15.75" customHeight="1" x14ac:dyDescent="0.25">
      <c r="B849" s="49"/>
    </row>
    <row r="850" spans="2:2" ht="15.75" customHeight="1" x14ac:dyDescent="0.25">
      <c r="B850" s="49"/>
    </row>
    <row r="851" spans="2:2" ht="15.75" customHeight="1" x14ac:dyDescent="0.25">
      <c r="B851" s="49"/>
    </row>
    <row r="852" spans="2:2" ht="15.75" customHeight="1" x14ac:dyDescent="0.25">
      <c r="B852" s="49"/>
    </row>
    <row r="853" spans="2:2" ht="15.75" customHeight="1" x14ac:dyDescent="0.25">
      <c r="B853" s="49"/>
    </row>
    <row r="854" spans="2:2" ht="15.75" customHeight="1" x14ac:dyDescent="0.25">
      <c r="B854" s="49"/>
    </row>
    <row r="855" spans="2:2" ht="15.75" customHeight="1" x14ac:dyDescent="0.25">
      <c r="B855" s="49"/>
    </row>
    <row r="856" spans="2:2" ht="15.75" customHeight="1" x14ac:dyDescent="0.25">
      <c r="B856" s="49"/>
    </row>
    <row r="857" spans="2:2" ht="15.75" customHeight="1" x14ac:dyDescent="0.25">
      <c r="B857" s="49"/>
    </row>
    <row r="858" spans="2:2" ht="15.75" customHeight="1" x14ac:dyDescent="0.25">
      <c r="B858" s="49"/>
    </row>
    <row r="859" spans="2:2" ht="15.75" customHeight="1" x14ac:dyDescent="0.25">
      <c r="B859" s="49"/>
    </row>
    <row r="860" spans="2:2" ht="15.75" customHeight="1" x14ac:dyDescent="0.25">
      <c r="B860" s="49"/>
    </row>
    <row r="861" spans="2:2" ht="15.75" customHeight="1" x14ac:dyDescent="0.25">
      <c r="B861" s="49"/>
    </row>
    <row r="862" spans="2:2" ht="15.75" customHeight="1" x14ac:dyDescent="0.25">
      <c r="B862" s="49"/>
    </row>
    <row r="863" spans="2:2" ht="15.75" customHeight="1" x14ac:dyDescent="0.25">
      <c r="B863" s="49"/>
    </row>
    <row r="864" spans="2:2" ht="15.75" customHeight="1" x14ac:dyDescent="0.25">
      <c r="B864" s="49"/>
    </row>
    <row r="865" spans="2:2" ht="15.75" customHeight="1" x14ac:dyDescent="0.25">
      <c r="B865" s="49"/>
    </row>
    <row r="866" spans="2:2" ht="15.75" customHeight="1" x14ac:dyDescent="0.25">
      <c r="B866" s="49"/>
    </row>
    <row r="867" spans="2:2" ht="15.75" customHeight="1" x14ac:dyDescent="0.25">
      <c r="B867" s="49"/>
    </row>
    <row r="868" spans="2:2" ht="15.75" customHeight="1" x14ac:dyDescent="0.25">
      <c r="B868" s="49"/>
    </row>
    <row r="869" spans="2:2" ht="15.75" customHeight="1" x14ac:dyDescent="0.25">
      <c r="B869" s="49"/>
    </row>
    <row r="870" spans="2:2" ht="15.75" customHeight="1" x14ac:dyDescent="0.25">
      <c r="B870" s="49"/>
    </row>
    <row r="871" spans="2:2" ht="15.75" customHeight="1" x14ac:dyDescent="0.25">
      <c r="B871" s="49"/>
    </row>
    <row r="872" spans="2:2" ht="15.75" customHeight="1" x14ac:dyDescent="0.25">
      <c r="B872" s="49"/>
    </row>
    <row r="873" spans="2:2" ht="15.75" customHeight="1" x14ac:dyDescent="0.25">
      <c r="B873" s="49"/>
    </row>
    <row r="874" spans="2:2" ht="15.75" customHeight="1" x14ac:dyDescent="0.25">
      <c r="B874" s="49"/>
    </row>
    <row r="875" spans="2:2" ht="15.75" customHeight="1" x14ac:dyDescent="0.25">
      <c r="B875" s="49"/>
    </row>
    <row r="876" spans="2:2" ht="15.75" customHeight="1" x14ac:dyDescent="0.25">
      <c r="B876" s="49"/>
    </row>
    <row r="877" spans="2:2" ht="15.75" customHeight="1" x14ac:dyDescent="0.25">
      <c r="B877" s="49"/>
    </row>
    <row r="878" spans="2:2" ht="15.75" customHeight="1" x14ac:dyDescent="0.25">
      <c r="B878" s="49"/>
    </row>
    <row r="879" spans="2:2" ht="15.75" customHeight="1" x14ac:dyDescent="0.25">
      <c r="B879" s="49"/>
    </row>
    <row r="880" spans="2:2" ht="15.75" customHeight="1" x14ac:dyDescent="0.25">
      <c r="B880" s="49"/>
    </row>
    <row r="881" spans="2:2" ht="15.75" customHeight="1" x14ac:dyDescent="0.25">
      <c r="B881" s="49"/>
    </row>
    <row r="882" spans="2:2" ht="15.75" customHeight="1" x14ac:dyDescent="0.25">
      <c r="B882" s="49"/>
    </row>
    <row r="883" spans="2:2" ht="15.75" customHeight="1" x14ac:dyDescent="0.25">
      <c r="B883" s="49"/>
    </row>
    <row r="884" spans="2:2" ht="15.75" customHeight="1" x14ac:dyDescent="0.25">
      <c r="B884" s="49"/>
    </row>
    <row r="885" spans="2:2" ht="15.75" customHeight="1" x14ac:dyDescent="0.25">
      <c r="B885" s="49"/>
    </row>
    <row r="886" spans="2:2" ht="15.75" customHeight="1" x14ac:dyDescent="0.25">
      <c r="B886" s="49"/>
    </row>
    <row r="887" spans="2:2" ht="15.75" customHeight="1" x14ac:dyDescent="0.25">
      <c r="B887" s="49"/>
    </row>
    <row r="888" spans="2:2" ht="15.75" customHeight="1" x14ac:dyDescent="0.25">
      <c r="B888" s="49"/>
    </row>
    <row r="889" spans="2:2" ht="15.75" customHeight="1" x14ac:dyDescent="0.25">
      <c r="B889" s="49"/>
    </row>
    <row r="890" spans="2:2" ht="15.75" customHeight="1" x14ac:dyDescent="0.25">
      <c r="B890" s="49"/>
    </row>
    <row r="891" spans="2:2" ht="15.75" customHeight="1" x14ac:dyDescent="0.25">
      <c r="B891" s="49"/>
    </row>
    <row r="892" spans="2:2" ht="15.75" customHeight="1" x14ac:dyDescent="0.25">
      <c r="B892" s="49"/>
    </row>
    <row r="893" spans="2:2" ht="15.75" customHeight="1" x14ac:dyDescent="0.25">
      <c r="B893" s="49"/>
    </row>
    <row r="894" spans="2:2" ht="15.75" customHeight="1" x14ac:dyDescent="0.25">
      <c r="B894" s="49"/>
    </row>
    <row r="895" spans="2:2" ht="15.75" customHeight="1" x14ac:dyDescent="0.25">
      <c r="B895" s="49"/>
    </row>
    <row r="896" spans="2:2" ht="15.75" customHeight="1" x14ac:dyDescent="0.25">
      <c r="B896" s="49"/>
    </row>
    <row r="897" spans="2:2" ht="15.75" customHeight="1" x14ac:dyDescent="0.25">
      <c r="B897" s="49"/>
    </row>
    <row r="898" spans="2:2" ht="15.75" customHeight="1" x14ac:dyDescent="0.25">
      <c r="B898" s="49"/>
    </row>
    <row r="899" spans="2:2" ht="15.75" customHeight="1" x14ac:dyDescent="0.25">
      <c r="B899" s="49"/>
    </row>
    <row r="900" spans="2:2" ht="15.75" customHeight="1" x14ac:dyDescent="0.25">
      <c r="B900" s="49"/>
    </row>
    <row r="901" spans="2:2" ht="15.75" customHeight="1" x14ac:dyDescent="0.25">
      <c r="B901" s="49"/>
    </row>
    <row r="902" spans="2:2" ht="15.75" customHeight="1" x14ac:dyDescent="0.25">
      <c r="B902" s="49"/>
    </row>
    <row r="903" spans="2:2" ht="15.75" customHeight="1" x14ac:dyDescent="0.25">
      <c r="B903" s="49"/>
    </row>
    <row r="904" spans="2:2" ht="15.75" customHeight="1" x14ac:dyDescent="0.25">
      <c r="B904" s="49"/>
    </row>
    <row r="905" spans="2:2" ht="15.75" customHeight="1" x14ac:dyDescent="0.25">
      <c r="B905" s="49"/>
    </row>
    <row r="906" spans="2:2" ht="15.75" customHeight="1" x14ac:dyDescent="0.25">
      <c r="B906" s="49"/>
    </row>
    <row r="907" spans="2:2" ht="15.75" customHeight="1" x14ac:dyDescent="0.25">
      <c r="B907" s="49"/>
    </row>
    <row r="908" spans="2:2" ht="15.75" customHeight="1" x14ac:dyDescent="0.25">
      <c r="B908" s="49"/>
    </row>
    <row r="909" spans="2:2" ht="15.75" customHeight="1" x14ac:dyDescent="0.25">
      <c r="B909" s="49"/>
    </row>
    <row r="910" spans="2:2" ht="15.75" customHeight="1" x14ac:dyDescent="0.25">
      <c r="B910" s="49"/>
    </row>
    <row r="911" spans="2:2" ht="15.75" customHeight="1" x14ac:dyDescent="0.25">
      <c r="B911" s="49"/>
    </row>
    <row r="912" spans="2:2" ht="15.75" customHeight="1" x14ac:dyDescent="0.25">
      <c r="B912" s="49"/>
    </row>
    <row r="913" spans="2:2" ht="15.75" customHeight="1" x14ac:dyDescent="0.25">
      <c r="B913" s="49"/>
    </row>
    <row r="914" spans="2:2" ht="15.75" customHeight="1" x14ac:dyDescent="0.25">
      <c r="B914" s="49"/>
    </row>
    <row r="915" spans="2:2" ht="15.75" customHeight="1" x14ac:dyDescent="0.25">
      <c r="B915" s="49"/>
    </row>
    <row r="916" spans="2:2" ht="15.75" customHeight="1" x14ac:dyDescent="0.25">
      <c r="B916" s="49"/>
    </row>
    <row r="917" spans="2:2" ht="15.75" customHeight="1" x14ac:dyDescent="0.25">
      <c r="B917" s="49"/>
    </row>
    <row r="918" spans="2:2" ht="15.75" customHeight="1" x14ac:dyDescent="0.25">
      <c r="B918" s="49"/>
    </row>
    <row r="919" spans="2:2" ht="15.75" customHeight="1" x14ac:dyDescent="0.25">
      <c r="B919" s="49"/>
    </row>
    <row r="920" spans="2:2" ht="15.75" customHeight="1" x14ac:dyDescent="0.25">
      <c r="B920" s="49"/>
    </row>
    <row r="921" spans="2:2" ht="15.75" customHeight="1" x14ac:dyDescent="0.25">
      <c r="B921" s="49"/>
    </row>
    <row r="922" spans="2:2" ht="15.75" customHeight="1" x14ac:dyDescent="0.25">
      <c r="B922" s="49"/>
    </row>
    <row r="923" spans="2:2" ht="15.75" customHeight="1" x14ac:dyDescent="0.25">
      <c r="B923" s="49"/>
    </row>
    <row r="924" spans="2:2" ht="15.75" customHeight="1" x14ac:dyDescent="0.25">
      <c r="B924" s="49"/>
    </row>
    <row r="925" spans="2:2" ht="15.75" customHeight="1" x14ac:dyDescent="0.25">
      <c r="B925" s="49"/>
    </row>
    <row r="926" spans="2:2" ht="15.75" customHeight="1" x14ac:dyDescent="0.25">
      <c r="B926" s="49"/>
    </row>
    <row r="927" spans="2:2" ht="15.75" customHeight="1" x14ac:dyDescent="0.25">
      <c r="B927" s="49"/>
    </row>
    <row r="928" spans="2:2" ht="15.75" customHeight="1" x14ac:dyDescent="0.25">
      <c r="B928" s="49"/>
    </row>
    <row r="929" spans="2:2" ht="15.75" customHeight="1" x14ac:dyDescent="0.25">
      <c r="B929" s="49"/>
    </row>
    <row r="930" spans="2:2" ht="15.75" customHeight="1" x14ac:dyDescent="0.25">
      <c r="B930" s="49"/>
    </row>
    <row r="931" spans="2:2" ht="15.75" customHeight="1" x14ac:dyDescent="0.25">
      <c r="B931" s="49"/>
    </row>
    <row r="932" spans="2:2" ht="15.75" customHeight="1" x14ac:dyDescent="0.25">
      <c r="B932" s="49"/>
    </row>
    <row r="933" spans="2:2" ht="15.75" customHeight="1" x14ac:dyDescent="0.25">
      <c r="B933" s="49"/>
    </row>
    <row r="934" spans="2:2" ht="15.75" customHeight="1" x14ac:dyDescent="0.25">
      <c r="B934" s="49"/>
    </row>
    <row r="935" spans="2:2" ht="15.75" customHeight="1" x14ac:dyDescent="0.25">
      <c r="B935" s="49"/>
    </row>
    <row r="936" spans="2:2" ht="15.75" customHeight="1" x14ac:dyDescent="0.25">
      <c r="B936" s="49"/>
    </row>
    <row r="937" spans="2:2" ht="15.75" customHeight="1" x14ac:dyDescent="0.25">
      <c r="B937" s="49"/>
    </row>
    <row r="938" spans="2:2" ht="15.75" customHeight="1" x14ac:dyDescent="0.25">
      <c r="B938" s="49"/>
    </row>
    <row r="939" spans="2:2" ht="15.75" customHeight="1" x14ac:dyDescent="0.25">
      <c r="B939" s="49"/>
    </row>
    <row r="940" spans="2:2" ht="15.75" customHeight="1" x14ac:dyDescent="0.25">
      <c r="B940" s="49"/>
    </row>
    <row r="941" spans="2:2" ht="15.75" customHeight="1" x14ac:dyDescent="0.25">
      <c r="B941" s="49"/>
    </row>
    <row r="942" spans="2:2" ht="15.75" customHeight="1" x14ac:dyDescent="0.25">
      <c r="B942" s="49"/>
    </row>
    <row r="943" spans="2:2" ht="15.75" customHeight="1" x14ac:dyDescent="0.25">
      <c r="B943" s="49"/>
    </row>
    <row r="944" spans="2:2" ht="15.75" customHeight="1" x14ac:dyDescent="0.25">
      <c r="B944" s="49"/>
    </row>
    <row r="945" spans="2:2" ht="15.75" customHeight="1" x14ac:dyDescent="0.25">
      <c r="B945" s="49"/>
    </row>
    <row r="946" spans="2:2" ht="15.75" customHeight="1" x14ac:dyDescent="0.25">
      <c r="B946" s="49"/>
    </row>
    <row r="947" spans="2:2" ht="15.75" customHeight="1" x14ac:dyDescent="0.25">
      <c r="B947" s="49"/>
    </row>
    <row r="948" spans="2:2" ht="15.75" customHeight="1" x14ac:dyDescent="0.25">
      <c r="B948" s="49"/>
    </row>
    <row r="949" spans="2:2" ht="15.75" customHeight="1" x14ac:dyDescent="0.25">
      <c r="B949" s="49"/>
    </row>
    <row r="950" spans="2:2" ht="15.75" customHeight="1" x14ac:dyDescent="0.25">
      <c r="B950" s="49"/>
    </row>
    <row r="951" spans="2:2" ht="15.75" customHeight="1" x14ac:dyDescent="0.25">
      <c r="B951" s="49"/>
    </row>
    <row r="952" spans="2:2" ht="15.75" customHeight="1" x14ac:dyDescent="0.25">
      <c r="B952" s="49"/>
    </row>
    <row r="953" spans="2:2" ht="15.75" customHeight="1" x14ac:dyDescent="0.25">
      <c r="B953" s="49"/>
    </row>
    <row r="954" spans="2:2" ht="15.75" customHeight="1" x14ac:dyDescent="0.25">
      <c r="B954" s="49"/>
    </row>
    <row r="955" spans="2:2" ht="15.75" customHeight="1" x14ac:dyDescent="0.25">
      <c r="B955" s="49"/>
    </row>
    <row r="956" spans="2:2" ht="15.75" customHeight="1" x14ac:dyDescent="0.25">
      <c r="B956" s="49"/>
    </row>
    <row r="957" spans="2:2" ht="15.75" customHeight="1" x14ac:dyDescent="0.25">
      <c r="B957" s="49"/>
    </row>
    <row r="958" spans="2:2" ht="15.75" customHeight="1" x14ac:dyDescent="0.25">
      <c r="B958" s="49"/>
    </row>
    <row r="959" spans="2:2" ht="15.75" customHeight="1" x14ac:dyDescent="0.25">
      <c r="B959" s="49"/>
    </row>
    <row r="960" spans="2:2" ht="15.75" customHeight="1" x14ac:dyDescent="0.25">
      <c r="B960" s="49"/>
    </row>
    <row r="961" spans="2:2" ht="15.75" customHeight="1" x14ac:dyDescent="0.25">
      <c r="B961" s="49"/>
    </row>
    <row r="962" spans="2:2" ht="15.75" customHeight="1" x14ac:dyDescent="0.25">
      <c r="B962" s="49"/>
    </row>
    <row r="963" spans="2:2" ht="15.75" customHeight="1" x14ac:dyDescent="0.25">
      <c r="B963" s="49"/>
    </row>
    <row r="964" spans="2:2" ht="15.75" customHeight="1" x14ac:dyDescent="0.25">
      <c r="B964" s="49"/>
    </row>
    <row r="965" spans="2:2" ht="15.75" customHeight="1" x14ac:dyDescent="0.25">
      <c r="B965" s="49"/>
    </row>
    <row r="966" spans="2:2" ht="15.75" customHeight="1" x14ac:dyDescent="0.25">
      <c r="B966" s="49"/>
    </row>
    <row r="967" spans="2:2" ht="15.75" customHeight="1" x14ac:dyDescent="0.25">
      <c r="B967" s="49"/>
    </row>
    <row r="968" spans="2:2" ht="15.75" customHeight="1" x14ac:dyDescent="0.25">
      <c r="B968" s="49"/>
    </row>
    <row r="969" spans="2:2" ht="15.75" customHeight="1" x14ac:dyDescent="0.25">
      <c r="B969" s="49"/>
    </row>
    <row r="970" spans="2:2" ht="15.75" customHeight="1" x14ac:dyDescent="0.25">
      <c r="B970" s="49"/>
    </row>
    <row r="971" spans="2:2" ht="15.75" customHeight="1" x14ac:dyDescent="0.25">
      <c r="B971" s="49"/>
    </row>
    <row r="972" spans="2:2" ht="15.75" customHeight="1" x14ac:dyDescent="0.25">
      <c r="B972" s="49"/>
    </row>
    <row r="973" spans="2:2" ht="15.75" customHeight="1" x14ac:dyDescent="0.25">
      <c r="B973" s="49"/>
    </row>
    <row r="974" spans="2:2" ht="15.75" customHeight="1" x14ac:dyDescent="0.25">
      <c r="B974" s="49"/>
    </row>
    <row r="975" spans="2:2" ht="15.75" customHeight="1" x14ac:dyDescent="0.25">
      <c r="B975" s="49"/>
    </row>
    <row r="976" spans="2:2" ht="15.75" customHeight="1" x14ac:dyDescent="0.25">
      <c r="B976" s="49"/>
    </row>
    <row r="977" spans="2:2" ht="15.75" customHeight="1" x14ac:dyDescent="0.25">
      <c r="B977" s="49"/>
    </row>
    <row r="978" spans="2:2" ht="15.75" customHeight="1" x14ac:dyDescent="0.25">
      <c r="B978" s="49"/>
    </row>
    <row r="979" spans="2:2" ht="15.75" customHeight="1" x14ac:dyDescent="0.25">
      <c r="B979" s="49"/>
    </row>
    <row r="980" spans="2:2" ht="15.75" customHeight="1" x14ac:dyDescent="0.25">
      <c r="B980" s="49"/>
    </row>
    <row r="981" spans="2:2" ht="15.75" customHeight="1" x14ac:dyDescent="0.25">
      <c r="B981" s="49"/>
    </row>
    <row r="982" spans="2:2" ht="15.75" customHeight="1" x14ac:dyDescent="0.25">
      <c r="B982" s="49"/>
    </row>
    <row r="983" spans="2:2" ht="15.75" customHeight="1" x14ac:dyDescent="0.25">
      <c r="B983" s="49"/>
    </row>
    <row r="984" spans="2:2" ht="15.75" customHeight="1" x14ac:dyDescent="0.25">
      <c r="B984" s="49"/>
    </row>
    <row r="985" spans="2:2" ht="15.75" customHeight="1" x14ac:dyDescent="0.25">
      <c r="B985" s="49"/>
    </row>
    <row r="986" spans="2:2" ht="15.75" customHeight="1" x14ac:dyDescent="0.25">
      <c r="B986" s="49"/>
    </row>
    <row r="987" spans="2:2" ht="15.75" customHeight="1" x14ac:dyDescent="0.25">
      <c r="B987" s="49"/>
    </row>
    <row r="988" spans="2:2" ht="15.75" customHeight="1" x14ac:dyDescent="0.25">
      <c r="B988" s="49"/>
    </row>
    <row r="989" spans="2:2" ht="15.75" customHeight="1" x14ac:dyDescent="0.25">
      <c r="B989" s="49"/>
    </row>
    <row r="990" spans="2:2" ht="15.75" customHeight="1" x14ac:dyDescent="0.25">
      <c r="B990" s="49"/>
    </row>
    <row r="991" spans="2:2" ht="15.75" customHeight="1" x14ac:dyDescent="0.25">
      <c r="B991" s="49"/>
    </row>
    <row r="992" spans="2:2" ht="15.75" customHeight="1" x14ac:dyDescent="0.25">
      <c r="B992" s="49"/>
    </row>
    <row r="993" spans="2:2" ht="15.75" customHeight="1" x14ac:dyDescent="0.25">
      <c r="B993" s="49"/>
    </row>
    <row r="994" spans="2:2" ht="15.75" customHeight="1" x14ac:dyDescent="0.25">
      <c r="B994" s="49"/>
    </row>
    <row r="995" spans="2:2" ht="15.75" customHeight="1" x14ac:dyDescent="0.25">
      <c r="B995" s="49"/>
    </row>
    <row r="996" spans="2:2" ht="15.75" customHeight="1" x14ac:dyDescent="0.25">
      <c r="B996" s="49"/>
    </row>
    <row r="997" spans="2:2" ht="15.75" customHeight="1" x14ac:dyDescent="0.25">
      <c r="B997" s="49"/>
    </row>
    <row r="998" spans="2:2" ht="15.75" customHeight="1" x14ac:dyDescent="0.25">
      <c r="B998" s="49"/>
    </row>
    <row r="999" spans="2:2" ht="15.75" customHeight="1" x14ac:dyDescent="0.25">
      <c r="B999" s="49"/>
    </row>
    <row r="1000" spans="2:2" ht="15.75" customHeight="1" x14ac:dyDescent="0.25">
      <c r="B1000" s="4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lists!$D$2:$D2664</xm:f>
          </x14:formula1>
          <xm:sqref>B796:B1000</xm:sqref>
        </x14:dataValidation>
        <x14:dataValidation type="list" allowBlank="1" showErrorMessage="1">
          <x14:formula1>
            <xm:f>lists!$D$2:$D1005</xm:f>
          </x14:formula1>
          <xm:sqref>B2:C35 B36:B795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2.85546875" customWidth="1"/>
    <col min="3" max="3" width="30.42578125" customWidth="1"/>
    <col min="4" max="4" width="14.42578125" customWidth="1"/>
  </cols>
  <sheetData>
    <row r="1" spans="1:3" x14ac:dyDescent="0.25">
      <c r="A1" s="5" t="s">
        <v>0</v>
      </c>
      <c r="B1" s="5" t="s">
        <v>3078</v>
      </c>
      <c r="C1" s="5" t="s">
        <v>5</v>
      </c>
    </row>
    <row r="2" spans="1:3" x14ac:dyDescent="0.25">
      <c r="A2" s="50">
        <v>1</v>
      </c>
      <c r="B2" s="51" t="s">
        <v>675</v>
      </c>
      <c r="C2" s="40" t="s">
        <v>3079</v>
      </c>
    </row>
    <row r="3" spans="1:3" x14ac:dyDescent="0.25">
      <c r="A3" s="50">
        <f t="shared" ref="A3:A24" si="0">A2+1</f>
        <v>2</v>
      </c>
      <c r="B3" s="51" t="s">
        <v>678</v>
      </c>
      <c r="C3" s="40" t="s">
        <v>3080</v>
      </c>
    </row>
    <row r="4" spans="1:3" x14ac:dyDescent="0.25">
      <c r="A4" s="50">
        <f t="shared" si="0"/>
        <v>3</v>
      </c>
      <c r="B4" s="51" t="s">
        <v>843</v>
      </c>
      <c r="C4" s="40" t="s">
        <v>3081</v>
      </c>
    </row>
    <row r="5" spans="1:3" x14ac:dyDescent="0.25">
      <c r="A5" s="50">
        <f t="shared" si="0"/>
        <v>4</v>
      </c>
      <c r="B5" s="51" t="s">
        <v>3082</v>
      </c>
      <c r="C5" s="40" t="s">
        <v>3083</v>
      </c>
    </row>
    <row r="6" spans="1:3" x14ac:dyDescent="0.25">
      <c r="A6" s="50">
        <f t="shared" si="0"/>
        <v>5</v>
      </c>
      <c r="B6" s="51" t="s">
        <v>3084</v>
      </c>
      <c r="C6" s="51" t="s">
        <v>869</v>
      </c>
    </row>
    <row r="7" spans="1:3" x14ac:dyDescent="0.25">
      <c r="A7" s="50">
        <f t="shared" si="0"/>
        <v>6</v>
      </c>
      <c r="B7" s="51" t="s">
        <v>3085</v>
      </c>
      <c r="C7" s="40" t="s">
        <v>920</v>
      </c>
    </row>
    <row r="8" spans="1:3" x14ac:dyDescent="0.25">
      <c r="A8" s="50">
        <f t="shared" si="0"/>
        <v>7</v>
      </c>
      <c r="B8" s="51" t="s">
        <v>3086</v>
      </c>
      <c r="C8" s="40" t="s">
        <v>3087</v>
      </c>
    </row>
    <row r="9" spans="1:3" x14ac:dyDescent="0.25">
      <c r="A9" s="50">
        <f t="shared" si="0"/>
        <v>8</v>
      </c>
      <c r="B9" s="51" t="s">
        <v>3088</v>
      </c>
      <c r="C9" s="40" t="s">
        <v>721</v>
      </c>
    </row>
    <row r="10" spans="1:3" x14ac:dyDescent="0.25">
      <c r="A10" s="50">
        <f t="shared" si="0"/>
        <v>9</v>
      </c>
      <c r="B10" s="51" t="s">
        <v>3089</v>
      </c>
      <c r="C10" s="40" t="s">
        <v>1570</v>
      </c>
    </row>
    <row r="11" spans="1:3" x14ac:dyDescent="0.25">
      <c r="A11" s="50">
        <f t="shared" si="0"/>
        <v>10</v>
      </c>
      <c r="B11" s="51" t="s">
        <v>3090</v>
      </c>
      <c r="C11" s="40" t="s">
        <v>3091</v>
      </c>
    </row>
    <row r="12" spans="1:3" x14ac:dyDescent="0.25">
      <c r="A12" s="50">
        <f t="shared" si="0"/>
        <v>11</v>
      </c>
      <c r="B12" s="51" t="s">
        <v>3092</v>
      </c>
      <c r="C12" s="50" t="s">
        <v>3093</v>
      </c>
    </row>
    <row r="13" spans="1:3" x14ac:dyDescent="0.25">
      <c r="A13" s="50">
        <f t="shared" si="0"/>
        <v>12</v>
      </c>
      <c r="B13" s="51" t="s">
        <v>3094</v>
      </c>
      <c r="C13" s="40" t="s">
        <v>683</v>
      </c>
    </row>
    <row r="14" spans="1:3" x14ac:dyDescent="0.25">
      <c r="A14" s="50">
        <f t="shared" si="0"/>
        <v>13</v>
      </c>
      <c r="B14" s="51" t="s">
        <v>3095</v>
      </c>
      <c r="C14" s="40" t="s">
        <v>677</v>
      </c>
    </row>
    <row r="15" spans="1:3" x14ac:dyDescent="0.25">
      <c r="A15" s="50">
        <f t="shared" si="0"/>
        <v>14</v>
      </c>
      <c r="B15" s="51" t="s">
        <v>3096</v>
      </c>
      <c r="C15" s="40" t="s">
        <v>663</v>
      </c>
    </row>
    <row r="16" spans="1:3" x14ac:dyDescent="0.25">
      <c r="A16" s="50">
        <f t="shared" si="0"/>
        <v>15</v>
      </c>
      <c r="B16" s="51" t="s">
        <v>3097</v>
      </c>
      <c r="C16" s="40" t="s">
        <v>939</v>
      </c>
    </row>
    <row r="17" spans="1:3" ht="15.75" customHeight="1" x14ac:dyDescent="0.25">
      <c r="A17" s="50">
        <f t="shared" si="0"/>
        <v>16</v>
      </c>
      <c r="B17" s="51" t="s">
        <v>3098</v>
      </c>
      <c r="C17" s="40" t="s">
        <v>3099</v>
      </c>
    </row>
    <row r="18" spans="1:3" ht="15.75" customHeight="1" x14ac:dyDescent="0.25">
      <c r="A18" s="50">
        <f t="shared" si="0"/>
        <v>17</v>
      </c>
      <c r="B18" s="51" t="s">
        <v>3100</v>
      </c>
      <c r="C18" s="40" t="s">
        <v>3101</v>
      </c>
    </row>
    <row r="19" spans="1:3" ht="15.75" customHeight="1" x14ac:dyDescent="0.25">
      <c r="A19" s="50">
        <f t="shared" si="0"/>
        <v>18</v>
      </c>
      <c r="B19" s="51" t="s">
        <v>3102</v>
      </c>
      <c r="C19" s="40" t="s">
        <v>3103</v>
      </c>
    </row>
    <row r="20" spans="1:3" ht="15.75" customHeight="1" x14ac:dyDescent="0.25">
      <c r="A20" s="50">
        <f t="shared" si="0"/>
        <v>19</v>
      </c>
      <c r="B20" s="51" t="s">
        <v>3104</v>
      </c>
      <c r="C20" s="40" t="s">
        <v>965</v>
      </c>
    </row>
    <row r="21" spans="1:3" ht="15.75" customHeight="1" x14ac:dyDescent="0.25">
      <c r="A21" s="50">
        <f t="shared" si="0"/>
        <v>20</v>
      </c>
      <c r="B21" s="51" t="s">
        <v>3105</v>
      </c>
      <c r="C21" s="51" t="s">
        <v>3106</v>
      </c>
    </row>
    <row r="22" spans="1:3" ht="15.75" customHeight="1" x14ac:dyDescent="0.25">
      <c r="A22" s="50">
        <f t="shared" si="0"/>
        <v>21</v>
      </c>
      <c r="B22" s="51" t="s">
        <v>3107</v>
      </c>
      <c r="C22" s="51" t="s">
        <v>3108</v>
      </c>
    </row>
    <row r="23" spans="1:3" ht="15.75" customHeight="1" x14ac:dyDescent="0.25">
      <c r="A23" s="50">
        <f t="shared" si="0"/>
        <v>22</v>
      </c>
      <c r="B23" s="51" t="s">
        <v>3109</v>
      </c>
      <c r="C23" s="51" t="s">
        <v>3110</v>
      </c>
    </row>
    <row r="24" spans="1:3" ht="15.75" customHeight="1" x14ac:dyDescent="0.25">
      <c r="A24" s="50">
        <f t="shared" si="0"/>
        <v>23</v>
      </c>
      <c r="B24" s="51" t="s">
        <v>3111</v>
      </c>
      <c r="C24" s="51" t="s">
        <v>3112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C2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lists!$F$2:$F100</xm:f>
          </x14:formula1>
          <xm:sqref>B2:B6</xm:sqref>
        </x14:dataValidation>
        <x14:dataValidation type="list" allowBlank="1" showErrorMessage="1">
          <x14:formula1>
            <xm:f>lists!$F$2:$F115</xm:f>
          </x14:formula1>
          <xm:sqref>B13:B16</xm:sqref>
        </x14:dataValidation>
        <x14:dataValidation type="list" allowBlank="1" showErrorMessage="1">
          <x14:formula1>
            <xm:f>lists!$F$2:$F125</xm:f>
          </x14:formula1>
          <xm:sqref>B20:B22</xm:sqref>
        </x14:dataValidation>
        <x14:dataValidation type="list" allowBlank="1" showErrorMessage="1">
          <x14:formula1>
            <xm:f>lists!$F$2:$F107</xm:f>
          </x14:formula1>
          <xm:sqref>B7:B12</xm:sqref>
        </x14:dataValidation>
        <x14:dataValidation type="list" allowBlank="1" showErrorMessage="1">
          <x14:formula1>
            <xm:f>lists!$F$2:$F114</xm:f>
          </x14:formula1>
          <xm:sqref>B23:B24</xm:sqref>
        </x14:dataValidation>
        <x14:dataValidation type="list" allowBlank="1" showErrorMessage="1">
          <x14:formula1>
            <xm:f>lists!$F$2:$F120</xm:f>
          </x14:formula1>
          <xm:sqref>B17:B19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42.85546875" customWidth="1"/>
    <col min="3" max="3" width="40.42578125" customWidth="1"/>
  </cols>
  <sheetData>
    <row r="1" spans="1:3" x14ac:dyDescent="0.25">
      <c r="A1" s="5" t="s">
        <v>0</v>
      </c>
      <c r="B1" s="39" t="s">
        <v>3113</v>
      </c>
      <c r="C1" s="5" t="s">
        <v>5</v>
      </c>
    </row>
    <row r="2" spans="1:3" x14ac:dyDescent="0.25">
      <c r="A2" s="50">
        <v>1</v>
      </c>
      <c r="B2" s="52" t="s">
        <v>3114</v>
      </c>
      <c r="C2" s="50" t="s">
        <v>721</v>
      </c>
    </row>
    <row r="3" spans="1:3" x14ac:dyDescent="0.25">
      <c r="A3" s="50">
        <f t="shared" ref="A3:A9" si="0">A2+1</f>
        <v>2</v>
      </c>
      <c r="B3" s="52" t="s">
        <v>3115</v>
      </c>
      <c r="C3" s="51" t="s">
        <v>2561</v>
      </c>
    </row>
    <row r="4" spans="1:3" x14ac:dyDescent="0.25">
      <c r="A4" s="50">
        <f t="shared" si="0"/>
        <v>3</v>
      </c>
      <c r="B4" s="52" t="s">
        <v>3116</v>
      </c>
      <c r="C4" s="51" t="s">
        <v>3117</v>
      </c>
    </row>
    <row r="5" spans="1:3" x14ac:dyDescent="0.25">
      <c r="A5" s="50">
        <f t="shared" si="0"/>
        <v>4</v>
      </c>
      <c r="B5" s="52" t="s">
        <v>3118</v>
      </c>
      <c r="C5" s="51" t="s">
        <v>3119</v>
      </c>
    </row>
    <row r="6" spans="1:3" x14ac:dyDescent="0.25">
      <c r="A6" s="50">
        <f t="shared" si="0"/>
        <v>5</v>
      </c>
      <c r="B6" s="52" t="s">
        <v>3120</v>
      </c>
      <c r="C6" s="51" t="s">
        <v>3121</v>
      </c>
    </row>
    <row r="7" spans="1:3" x14ac:dyDescent="0.25">
      <c r="A7" s="50">
        <f t="shared" si="0"/>
        <v>6</v>
      </c>
      <c r="B7" s="52" t="s">
        <v>3122</v>
      </c>
      <c r="C7" s="51" t="s">
        <v>3123</v>
      </c>
    </row>
    <row r="8" spans="1:3" x14ac:dyDescent="0.25">
      <c r="A8" s="50">
        <f t="shared" si="0"/>
        <v>7</v>
      </c>
      <c r="B8" s="52" t="s">
        <v>3124</v>
      </c>
      <c r="C8" s="51" t="s">
        <v>3125</v>
      </c>
    </row>
    <row r="9" spans="1:3" x14ac:dyDescent="0.25">
      <c r="A9" s="50">
        <f t="shared" si="0"/>
        <v>8</v>
      </c>
      <c r="B9" s="52" t="s">
        <v>3126</v>
      </c>
      <c r="C9" s="51" t="s">
        <v>3127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7.28515625" customWidth="1"/>
    <col min="2" max="2" width="18.140625" customWidth="1"/>
    <col min="3" max="3" width="30.42578125" customWidth="1"/>
    <col min="4" max="6" width="14.42578125" customWidth="1"/>
  </cols>
  <sheetData>
    <row r="1" spans="1:3" x14ac:dyDescent="0.25">
      <c r="A1" s="5" t="s">
        <v>0</v>
      </c>
      <c r="B1" s="5" t="s">
        <v>3128</v>
      </c>
      <c r="C1" s="5" t="s">
        <v>5</v>
      </c>
    </row>
    <row r="2" spans="1:3" x14ac:dyDescent="0.25">
      <c r="A2" s="13">
        <v>1</v>
      </c>
      <c r="B2" s="53" t="str">
        <f ca="1">IFERROR(__xludf.DUMMYFUNCTION("IMPORTRANGE(""https://docs.google.com/spreadsheets/d/1oeWxcz1yed_nCGta09LgijTBQym3rCxV5wTQ6AHIsZ8"",""asset_types!B2:B"")"),"n/a")</f>
        <v>n/a</v>
      </c>
    </row>
    <row r="3" spans="1:3" x14ac:dyDescent="0.25">
      <c r="A3" s="13">
        <v>2</v>
      </c>
      <c r="B3" s="13" t="str">
        <f ca="1">IFERROR(__xludf.DUMMYFUNCTION("""COMPUTED_VALUE"""),"transformer")</f>
        <v>transformer</v>
      </c>
      <c r="C3" s="13" t="s">
        <v>3129</v>
      </c>
    </row>
    <row r="4" spans="1:3" x14ac:dyDescent="0.25">
      <c r="A4" s="13">
        <v>3</v>
      </c>
      <c r="B4" s="13" t="str">
        <f ca="1">IFERROR(__xludf.DUMMYFUNCTION("""COMPUTED_VALUE"""),"bush")</f>
        <v>bush</v>
      </c>
      <c r="C4" s="13" t="s">
        <v>3130</v>
      </c>
    </row>
    <row r="5" spans="1:3" x14ac:dyDescent="0.25">
      <c r="A5" s="13">
        <v>4</v>
      </c>
      <c r="B5" s="13" t="str">
        <f ca="1">IFERROR(__xludf.DUMMYFUNCTION("""COMPUTED_VALUE"""),"gis")</f>
        <v>gis</v>
      </c>
      <c r="C5" s="13" t="s">
        <v>1242</v>
      </c>
    </row>
    <row r="6" spans="1:3" x14ac:dyDescent="0.25">
      <c r="A6" s="13">
        <v>5</v>
      </c>
      <c r="B6" s="13" t="str">
        <f ca="1">IFERROR(__xludf.DUMMYFUNCTION("""COMPUTED_VALUE"""),"breaker")</f>
        <v>breaker</v>
      </c>
      <c r="C6" s="13" t="s">
        <v>3131</v>
      </c>
    </row>
    <row r="7" spans="1:3" x14ac:dyDescent="0.25">
      <c r="A7" s="13">
        <v>6</v>
      </c>
      <c r="B7" s="13" t="str">
        <f ca="1">IFERROR(__xludf.DUMMYFUNCTION("""COMPUTED_VALUE"""),"gil")</f>
        <v>gil</v>
      </c>
      <c r="C7" s="13" t="s">
        <v>3132</v>
      </c>
    </row>
    <row r="8" spans="1:3" x14ac:dyDescent="0.25">
      <c r="A8" s="13">
        <v>7</v>
      </c>
      <c r="B8" s="13" t="str">
        <f ca="1">IFERROR(__xludf.DUMMYFUNCTION("""COMPUTED_VALUE"""),"gen_turbo")</f>
        <v>gen_turbo</v>
      </c>
    </row>
    <row r="9" spans="1:3" x14ac:dyDescent="0.25">
      <c r="A9" s="13">
        <v>8</v>
      </c>
      <c r="B9" s="13" t="str">
        <f ca="1">IFERROR(__xludf.DUMMYFUNCTION("""COMPUTED_VALUE"""),"gen_hydro")</f>
        <v>gen_hydro</v>
      </c>
    </row>
    <row r="10" spans="1:3" x14ac:dyDescent="0.25">
      <c r="A10" s="13">
        <v>9</v>
      </c>
      <c r="B10" s="13" t="str">
        <f ca="1">IFERROR(__xludf.DUMMYFUNCTION("""COMPUTED_VALUE"""),"motor")</f>
        <v>motor</v>
      </c>
      <c r="C10" s="13" t="s">
        <v>3133</v>
      </c>
    </row>
    <row r="11" spans="1:3" x14ac:dyDescent="0.25">
      <c r="A11" s="13">
        <v>10</v>
      </c>
      <c r="B11" s="13" t="str">
        <f ca="1">IFERROR(__xludf.DUMMYFUNCTION("""COMPUTED_VALUE"""),"ct")</f>
        <v>ct</v>
      </c>
    </row>
    <row r="12" spans="1:3" x14ac:dyDescent="0.25">
      <c r="A12" s="13">
        <v>11</v>
      </c>
      <c r="B12" s="13" t="str">
        <f ca="1">IFERROR(__xludf.DUMMYFUNCTION("""COMPUTED_VALUE"""),"vt")</f>
        <v>vt</v>
      </c>
    </row>
    <row r="13" spans="1:3" x14ac:dyDescent="0.25">
      <c r="A13" s="13">
        <v>12</v>
      </c>
      <c r="B13" s="13" t="str">
        <f ca="1">IFERROR(__xludf.DUMMYFUNCTION("""COMPUTED_VALUE"""),"cap_comm")</f>
        <v>cap_comm</v>
      </c>
    </row>
    <row r="14" spans="1:3" x14ac:dyDescent="0.25">
      <c r="A14" s="13">
        <v>13</v>
      </c>
      <c r="B14" s="13" t="str">
        <f ca="1">IFERROR(__xludf.DUMMYFUNCTION("""COMPUTED_VALUE"""),"cap_bank")</f>
        <v>cap_bank</v>
      </c>
    </row>
    <row r="15" spans="1:3" x14ac:dyDescent="0.25">
      <c r="A15" s="13">
        <v>14</v>
      </c>
      <c r="B15" s="13" t="str">
        <f ca="1">IFERROR(__xludf.DUMMYFUNCTION("""COMPUTED_VALUE"""),"surge_arrester")</f>
        <v>surge_arrester</v>
      </c>
      <c r="C15" s="13" t="s">
        <v>3134</v>
      </c>
    </row>
    <row r="16" spans="1:3" x14ac:dyDescent="0.25">
      <c r="A16" s="13">
        <v>15</v>
      </c>
      <c r="B16" s="13" t="str">
        <f ca="1">IFERROR(__xludf.DUMMYFUNCTION("""COMPUTED_VALUE"""),"shunt_reactor")</f>
        <v>shunt_reactor</v>
      </c>
      <c r="C16" s="13" t="s">
        <v>3135</v>
      </c>
    </row>
    <row r="17" spans="1:3" x14ac:dyDescent="0.25">
      <c r="A17" s="13">
        <v>16</v>
      </c>
      <c r="B17" s="13" t="str">
        <f ca="1">IFERROR(__xludf.DUMMYFUNCTION("""COMPUTED_VALUE"""),"switchgear")</f>
        <v>switchgear</v>
      </c>
      <c r="C17" s="13" t="s">
        <v>1472</v>
      </c>
    </row>
    <row r="18" spans="1:3" x14ac:dyDescent="0.25">
      <c r="A18" s="13">
        <v>17</v>
      </c>
      <c r="B18" s="13" t="str">
        <f ca="1">IFERROR(__xludf.DUMMYFUNCTION("""COMPUTED_VALUE"""),"disconnector")</f>
        <v>disconnector</v>
      </c>
      <c r="C18" s="13" t="s">
        <v>3136</v>
      </c>
    </row>
    <row r="19" spans="1:3" x14ac:dyDescent="0.25">
      <c r="A19" s="13">
        <v>18</v>
      </c>
      <c r="B19" s="13" t="str">
        <f ca="1">IFERROR(__xludf.DUMMYFUNCTION("""COMPUTED_VALUE"""),"support_insulator")</f>
        <v>support_insulator</v>
      </c>
      <c r="C19" s="13" t="s">
        <v>3137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C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Langs</vt:lpstr>
      <vt:lpstr>DiagMsgTranslts</vt:lpstr>
      <vt:lpstr>APILabelsTranslts</vt:lpstr>
      <vt:lpstr>InterfaceTranslts</vt:lpstr>
      <vt:lpstr>SignalsTranslts</vt:lpstr>
      <vt:lpstr>UnitsTranslts</vt:lpstr>
      <vt:lpstr>SignalCategoryTranslts</vt:lpstr>
      <vt:lpstr>PdataCategoryTranslts</vt:lpstr>
      <vt:lpstr>AssetTypeTranslts</vt:lpstr>
      <vt:lpstr>DiagMsgLevelTranslts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Skiff</cp:lastModifiedBy>
  <dcterms:modified xsi:type="dcterms:W3CDTF">2025-03-28T07:39:59Z</dcterms:modified>
</cp:coreProperties>
</file>