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Лист2" sheetId="2" r:id="rId1"/>
    <sheet name="антенна" sheetId="3" r:id="rId2"/>
    <sheet name="Мост" sheetId="4" r:id="rId3"/>
    <sheet name="z-z" sheetId="5" r:id="rId4"/>
    <sheet name="RFC" sheetId="6" r:id="rId5"/>
    <sheet name="LC tank" sheetId="7" r:id="rId6"/>
    <sheet name="RC LPF" sheetId="8" r:id="rId7"/>
    <sheet name="ОУ ФВЧ" sheetId="9" r:id="rId8"/>
    <sheet name="Power" sheetId="10" r:id="rId9"/>
    <sheet name="Резонансная частота" sheetId="11" r:id="rId10"/>
  </sheets>
  <calcPr calcId="144525"/>
</workbook>
</file>

<file path=xl/calcChain.xml><?xml version="1.0" encoding="utf-8"?>
<calcChain xmlns="http://schemas.openxmlformats.org/spreadsheetml/2006/main">
  <c r="D9" i="11" l="1"/>
  <c r="C17" i="7"/>
  <c r="C6" i="10" l="1"/>
  <c r="C7" i="6" l="1"/>
  <c r="I9" i="5" l="1"/>
  <c r="C14" i="9" l="1"/>
  <c r="C11" i="8"/>
  <c r="C24" i="8" l="1"/>
  <c r="C12" i="7" l="1"/>
  <c r="C20" i="4" l="1"/>
  <c r="F6" i="7" l="1"/>
  <c r="F7" i="7"/>
  <c r="I6" i="7" l="1"/>
  <c r="C16" i="3"/>
  <c r="C23" i="2" l="1"/>
  <c r="C24" i="2" s="1"/>
  <c r="K11" i="2" l="1"/>
  <c r="J14" i="2" s="1"/>
  <c r="K12" i="2" l="1"/>
  <c r="F11" i="2" l="1"/>
  <c r="C17" i="2" s="1"/>
  <c r="C20" i="2" s="1"/>
</calcChain>
</file>

<file path=xl/sharedStrings.xml><?xml version="1.0" encoding="utf-8"?>
<sst xmlns="http://schemas.openxmlformats.org/spreadsheetml/2006/main" count="94" uniqueCount="61">
  <si>
    <t>Z=</t>
  </si>
  <si>
    <t>Power =</t>
  </si>
  <si>
    <t>Volt =</t>
  </si>
  <si>
    <t>Turns Ratio</t>
  </si>
  <si>
    <t>Primary =</t>
  </si>
  <si>
    <t>Secondary =</t>
  </si>
  <si>
    <t>Zpri</t>
  </si>
  <si>
    <t>Zsec</t>
  </si>
  <si>
    <t>L =</t>
  </si>
  <si>
    <t xml:space="preserve">C = </t>
  </si>
  <si>
    <r>
      <t>496.9 пикофарад = 4.969 x 10</t>
    </r>
    <r>
      <rPr>
        <b/>
        <vertAlign val="superscript"/>
        <sz val="11"/>
        <color rgb="FF335555"/>
        <rFont val="Consolas"/>
        <family val="3"/>
        <charset val="204"/>
      </rPr>
      <t>-10</t>
    </r>
    <r>
      <rPr>
        <b/>
        <sz val="11"/>
        <color rgb="FF335555"/>
        <rFont val="Consolas"/>
        <family val="3"/>
        <charset val="204"/>
      </rPr>
      <t> фарад</t>
    </r>
  </si>
  <si>
    <t>3 микрогенри = 0.000003 генри</t>
  </si>
  <si>
    <t xml:space="preserve">C(пФ) = </t>
  </si>
  <si>
    <t>C=</t>
  </si>
  <si>
    <t>http://www.radio-electronics.com/info/antennas/dipole/short-dipole-antenna.php</t>
  </si>
  <si>
    <t>R =</t>
  </si>
  <si>
    <t>Конденсатор в первичке нужен , просто забыл о нем.</t>
  </si>
  <si>
    <t>Фазировку можно делать и по одной трубке на полевик (или два если они впаралель).</t>
  </si>
  <si>
    <t>Мои трубки 28х27х12 , если сделать виток на 4х последовательно дадут 16мкгн . что достаточно , но это надо проверять .</t>
  </si>
  <si>
    <t>А если будет мало , то сделать еще виток . Это даст 64мкгн по первичке.</t>
  </si>
  <si>
    <t>Формула минимальной индуктивности  Lmin= 4 Z / (2 x3.14x Fmin)</t>
  </si>
  <si>
    <t>Lmin</t>
  </si>
  <si>
    <t>The turns ratio is the square root of the impedance ratio,</t>
  </si>
  <si>
    <r>
      <t>or</t>
    </r>
    <r>
      <rPr>
        <sz val="13.5"/>
        <color rgb="FF000000"/>
        <rFont val="Times New Roman"/>
        <family val="1"/>
        <charset val="204"/>
      </rPr>
      <t>  Z</t>
    </r>
    <r>
      <rPr>
        <vertAlign val="subscript"/>
        <sz val="13.5"/>
        <color rgb="FF000000"/>
        <rFont val="Times New Roman"/>
        <family val="1"/>
        <charset val="204"/>
      </rPr>
      <t>pri</t>
    </r>
    <r>
      <rPr>
        <sz val="13.5"/>
        <color rgb="FF000000"/>
        <rFont val="Times New Roman"/>
        <family val="1"/>
        <charset val="204"/>
      </rPr>
      <t>/Z</t>
    </r>
    <r>
      <rPr>
        <vertAlign val="subscript"/>
        <sz val="13.5"/>
        <color rgb="FF000000"/>
        <rFont val="Times New Roman"/>
        <family val="1"/>
        <charset val="204"/>
      </rPr>
      <t>sec</t>
    </r>
    <r>
      <rPr>
        <sz val="13.5"/>
        <color rgb="FF000000"/>
        <rFont val="Times New Roman"/>
        <family val="1"/>
        <charset val="204"/>
      </rPr>
      <t> = (N</t>
    </r>
    <r>
      <rPr>
        <vertAlign val="subscript"/>
        <sz val="13.5"/>
        <color rgb="FF000000"/>
        <rFont val="Times New Roman"/>
        <family val="1"/>
        <charset val="204"/>
      </rPr>
      <t>pri</t>
    </r>
    <r>
      <rPr>
        <sz val="13.5"/>
        <color rgb="FF000000"/>
        <rFont val="Times New Roman"/>
        <family val="1"/>
        <charset val="204"/>
      </rPr>
      <t>/N</t>
    </r>
    <r>
      <rPr>
        <vertAlign val="subscript"/>
        <sz val="13.5"/>
        <color rgb="FF000000"/>
        <rFont val="Times New Roman"/>
        <family val="1"/>
        <charset val="204"/>
      </rPr>
      <t>sec</t>
    </r>
    <r>
      <rPr>
        <sz val="13.5"/>
        <color rgb="FF000000"/>
        <rFont val="Times New Roman"/>
        <family val="1"/>
        <charset val="204"/>
      </rPr>
      <t>)</t>
    </r>
    <r>
      <rPr>
        <vertAlign val="superscript"/>
        <sz val="13.5"/>
        <color rgb="FF000000"/>
        <rFont val="Times New Roman"/>
        <family val="1"/>
        <charset val="204"/>
      </rPr>
      <t>2</t>
    </r>
  </si>
  <si>
    <r>
      <rPr>
        <sz val="13.5"/>
        <color rgb="FF000000"/>
        <rFont val="Times New Roman"/>
        <family val="1"/>
        <charset val="204"/>
      </rPr>
      <t>N</t>
    </r>
    <r>
      <rPr>
        <vertAlign val="subscript"/>
        <sz val="13.5"/>
        <color rgb="FF000000"/>
        <rFont val="Times New Roman"/>
        <family val="1"/>
        <charset val="204"/>
      </rPr>
      <t>pri</t>
    </r>
    <r>
      <rPr>
        <sz val="13.5"/>
        <color rgb="FF000000"/>
        <rFont val="Times New Roman"/>
        <family val="1"/>
        <charset val="204"/>
      </rPr>
      <t>/N</t>
    </r>
    <r>
      <rPr>
        <vertAlign val="subscript"/>
        <sz val="13.5"/>
        <color rgb="FF000000"/>
        <rFont val="Times New Roman"/>
        <family val="1"/>
        <charset val="204"/>
      </rPr>
      <t>sec</t>
    </r>
    <r>
      <rPr>
        <sz val="13.5"/>
        <color rgb="FF000000"/>
        <rFont val="Times New Roman"/>
        <family val="1"/>
        <charset val="204"/>
      </rPr>
      <t> = √Z</t>
    </r>
    <r>
      <rPr>
        <vertAlign val="subscript"/>
        <sz val="13.5"/>
        <color rgb="FF000000"/>
        <rFont val="Times New Roman"/>
        <family val="1"/>
        <charset val="204"/>
      </rPr>
      <t>pri</t>
    </r>
    <r>
      <rPr>
        <sz val="13.5"/>
        <color rgb="FF000000"/>
        <rFont val="Times New Roman"/>
        <family val="1"/>
        <charset val="204"/>
      </rPr>
      <t>/Z</t>
    </r>
    <r>
      <rPr>
        <vertAlign val="subscript"/>
        <sz val="13.5"/>
        <color rgb="FF000000"/>
        <rFont val="Times New Roman"/>
        <family val="1"/>
        <charset val="204"/>
      </rPr>
      <t>sec</t>
    </r>
  </si>
  <si>
    <t>Zsec=</t>
  </si>
  <si>
    <t>Radio frequency chokes (RFC)</t>
  </si>
  <si>
    <r>
      <t>X</t>
    </r>
    <r>
      <rPr>
        <b/>
        <vertAlign val="subscript"/>
        <sz val="11"/>
        <color rgb="FF222222"/>
        <rFont val="Arial"/>
        <family val="2"/>
        <charset val="204"/>
      </rPr>
      <t>L</t>
    </r>
    <r>
      <rPr>
        <b/>
        <sz val="11"/>
        <color rgb="FF222222"/>
        <rFont val="Arial"/>
        <family val="2"/>
        <charset val="204"/>
      </rPr>
      <t> = 2πƒL</t>
    </r>
  </si>
  <si>
    <t>F=</t>
  </si>
  <si>
    <t>L=</t>
  </si>
  <si>
    <t>pF</t>
  </si>
  <si>
    <t>mHz</t>
  </si>
  <si>
    <t>XL=</t>
  </si>
  <si>
    <t>uH</t>
  </si>
  <si>
    <t>XC=</t>
  </si>
  <si>
    <t>Fc=</t>
  </si>
  <si>
    <t>R=</t>
  </si>
  <si>
    <t>kOm</t>
  </si>
  <si>
    <t>uF(10-6)</t>
  </si>
  <si>
    <t>Xc=</t>
  </si>
  <si>
    <t>kHz</t>
  </si>
  <si>
    <t>nF</t>
  </si>
  <si>
    <t>Hz</t>
  </si>
  <si>
    <t>Zpri=</t>
  </si>
  <si>
    <t>Npri=</t>
  </si>
  <si>
    <t>Nsec=</t>
  </si>
  <si>
    <t>Zl =</t>
  </si>
  <si>
    <t>Zc =</t>
  </si>
  <si>
    <t>Ом</t>
  </si>
  <si>
    <t>Zcomplex =</t>
  </si>
  <si>
    <t xml:space="preserve"> </t>
  </si>
  <si>
    <t>Параллельный контур</t>
  </si>
  <si>
    <r>
      <t>Prms = (Vpp/2.828)</t>
    </r>
    <r>
      <rPr>
        <vertAlign val="superscript"/>
        <sz val="11"/>
        <color rgb="FF000000"/>
        <rFont val="Times New Roman"/>
        <family val="1"/>
        <charset val="204"/>
      </rPr>
      <t>2</t>
    </r>
    <r>
      <rPr>
        <sz val="18"/>
        <color rgb="FF000000"/>
        <rFont val="Times New Roman"/>
        <family val="1"/>
        <charset val="204"/>
      </rPr>
      <t>/R</t>
    </r>
  </si>
  <si>
    <t>Vpp</t>
  </si>
  <si>
    <t>R</t>
  </si>
  <si>
    <t>Prms</t>
  </si>
  <si>
    <t>F</t>
  </si>
  <si>
    <t>L</t>
  </si>
  <si>
    <t>C</t>
  </si>
  <si>
    <t>Полуволновый повторитель расчитываеться достаточно просто.1/2лямбды умножить на коэффициент укорочения кабеля(Ку).На 40-ка метровый любительский диапазон ,если брать усредненный Ку-0,66 будет 14м 04см. это на частоту 7.050. Но если нужно точно подобрать , то это надо делать инструментально,т.е. с помощью приборов. Подключаете кусок кабеля ,заранее несколько длинее(на 20-30см),например , к анализатору антенн MFJ-259 или MFJ-269 и подобным. На другом конце кабеля центральная жила и оплетка НЕ ДОЛЖНЫ БЫТЬ ЗАМКНУТЫ МЕЖДУ СОБОЙ. На приборе начинаете изменять частоту генератора от самой низкой частоты( 1,5МГц) вверх. Как только сопротивление нагрузки станет минимальным (2-5 ом) смотрите на шкалу частоты.Это и будет та частота ,на которой ваш кусок будет равным полволны.Если слишком низко, то смело отрезайте с десяток см. И повторяйте процедуру. Как только частота минимального сопротивления будет равна нужной вам-стоп. Если этот кусок кабеля слишком короткий ,для подключентя антенны, то возьмите полторы волны,т.е. 14,04 умножить на 3 = 42,12м, или на 5 = 70,20м. Из собственного опыта добавлю, что повторитель имеет неболшьшую широкополосность (30-50Кгц). Т.е. правильно он будет трансформировать сопротивление только на частоте своего резонанса! И чем дальше от этой частоты , тем больше погрешность. Кабель для повторителя можно брать любого волнового сопротивления ,75ом или 50ом.</t>
  </si>
  <si>
    <t>В книжке Рэда есть формулы для определения индуктивности колец (биноклей) и прочего. Требование - индуктивное сопротивление обмотки должно быть в 4, а лучше в 10 раз больше сопротивления цепи. Если у Вас бинокль работает в смесителе, где согласуемые сопротивления 50 ом, отсюда и пляшите. На частоте 2 мгц (160 м) сопротивление (индуктивное) обмотки должно быть 200-500 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</si>
</sst>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1"/>
      <color rgb="FF335555"/>
      <name val="Consolas"/>
      <family val="3"/>
      <charset val="204"/>
    </font>
    <font>
      <b/>
      <vertAlign val="superscript"/>
      <sz val="11"/>
      <color rgb="FF335555"/>
      <name val="Consolas"/>
      <family val="3"/>
      <charset val="204"/>
    </font>
    <font>
      <sz val="8"/>
      <color rgb="FF9F9F9F"/>
      <name val="Verdana"/>
      <family val="2"/>
      <charset val="204"/>
    </font>
    <font>
      <sz val="14"/>
      <color rgb="FF000000"/>
      <name val="Times New Roman"/>
      <family val="1"/>
      <charset val="204"/>
    </font>
    <font>
      <sz val="13.5"/>
      <color rgb="FF000000"/>
      <name val="Times New Roman"/>
      <family val="1"/>
      <charset val="204"/>
    </font>
    <font>
      <vertAlign val="subscript"/>
      <sz val="13.5"/>
      <color rgb="FF000000"/>
      <name val="Times New Roman"/>
      <family val="1"/>
      <charset val="204"/>
    </font>
    <font>
      <vertAlign val="superscript"/>
      <sz val="13.5"/>
      <color rgb="FF000000"/>
      <name val="Times New Roman"/>
      <family val="1"/>
      <charset val="204"/>
    </font>
    <font>
      <sz val="11"/>
      <color rgb="FF222222"/>
      <name val="Arial"/>
      <family val="2"/>
      <charset val="204"/>
    </font>
    <font>
      <b/>
      <sz val="11"/>
      <color rgb="FF222222"/>
      <name val="Arial"/>
      <family val="2"/>
      <charset val="204"/>
    </font>
    <font>
      <b/>
      <vertAlign val="subscript"/>
      <sz val="11"/>
      <color rgb="FF222222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8"/>
      <color rgb="FF000000"/>
      <name val="Times New Roman"/>
      <family val="1"/>
      <charset val="204"/>
    </font>
    <font>
      <vertAlign val="superscript"/>
      <sz val="11"/>
      <color rgb="FF000000"/>
      <name val="Times New Roman"/>
      <family val="1"/>
      <charset val="204"/>
    </font>
    <font>
      <sz val="10"/>
      <color rgb="FF333333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2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3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7" xfId="0" applyFont="1" applyBorder="1" applyAlignment="1">
      <alignment vertical="center" wrapText="1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4" xfId="0" applyBorder="1"/>
    <xf numFmtId="1" fontId="4" fillId="2" borderId="6" xfId="0" applyNumberFormat="1" applyFont="1" applyFill="1" applyBorder="1"/>
    <xf numFmtId="2" fontId="0" fillId="0" borderId="0" xfId="0" applyNumberFormat="1"/>
    <xf numFmtId="11" fontId="0" fillId="0" borderId="0" xfId="0" applyNumberFormat="1"/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0" fontId="15" fillId="0" borderId="7" xfId="0" applyFont="1" applyBorder="1"/>
    <xf numFmtId="2" fontId="0" fillId="0" borderId="0" xfId="0" applyNumberFormat="1" applyBorder="1"/>
    <xf numFmtId="1" fontId="0" fillId="0" borderId="0" xfId="0" applyNumberFormat="1" applyBorder="1"/>
    <xf numFmtId="1" fontId="0" fillId="0" borderId="5" xfId="0" applyNumberFormat="1" applyBorder="1"/>
    <xf numFmtId="0" fontId="16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8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http://radiorubka.at.ua/_fr/1/7254002.jp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gi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gif"/><Relationship Id="rId1" Type="http://schemas.openxmlformats.org/officeDocument/2006/relationships/image" Target="../media/image1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57150</xdr:colOff>
      <xdr:row>8</xdr:row>
      <xdr:rowOff>9525</xdr:rowOff>
    </xdr:to>
    <xdr:pic>
      <xdr:nvPicPr>
        <xdr:cNvPr id="2" name="Рисунок 1" descr="http://www.maxmcarter.com/classexmtr/simplebeacon/mpm_class_e_files/cle_equ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48768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</xdr:col>
      <xdr:colOff>495300</xdr:colOff>
      <xdr:row>8</xdr:row>
      <xdr:rowOff>38100</xdr:rowOff>
    </xdr:to>
    <xdr:pic>
      <xdr:nvPicPr>
        <xdr:cNvPr id="2" name="Рисунок 1" descr="radiation resistance of a short dipole is equal to 20 times the square of pi times the length of the antenna divided by the wavelength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19050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9</xdr:col>
      <xdr:colOff>171450</xdr:colOff>
      <xdr:row>14</xdr:row>
      <xdr:rowOff>104775</xdr:rowOff>
    </xdr:to>
    <xdr:pic>
      <xdr:nvPicPr>
        <xdr:cNvPr id="3" name="Рисунок 2" descr="Diagram illustrating the basic outline of a short dipole antenna showing the main feature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"/>
          <a:ext cx="2609850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12</xdr:col>
      <xdr:colOff>342900</xdr:colOff>
      <xdr:row>9</xdr:row>
      <xdr:rowOff>38100</xdr:rowOff>
    </xdr:to>
    <xdr:pic>
      <xdr:nvPicPr>
        <xdr:cNvPr id="4" name="Рисунок 3" descr="The length for a short dipole is typically less than a tenth of an electrical wavelength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2500"/>
          <a:ext cx="15621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6</xdr:col>
      <xdr:colOff>152400</xdr:colOff>
      <xdr:row>17</xdr:row>
      <xdr:rowOff>142875</xdr:rowOff>
    </xdr:to>
    <xdr:pic>
      <xdr:nvPicPr>
        <xdr:cNvPr id="2" name="Рисунок 1" descr="http://radiorubka.at.ua/_fr/1/s7254002.jpg">
          <a:hlinkClick xmlns:r="http://schemas.openxmlformats.org/officeDocument/2006/relationships" r:id="rId1" tgtFrame="_blank" tooltip="Нажмите для просмотра в полном размере...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"/>
          <a:ext cx="381000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0</xdr:colOff>
      <xdr:row>4</xdr:row>
      <xdr:rowOff>285750</xdr:rowOff>
    </xdr:to>
    <xdr:pic>
      <xdr:nvPicPr>
        <xdr:cNvPr id="2" name="Рисунок 1" descr="http://www.maxmcarter.com/classecalcs/xfm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304800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695325</xdr:colOff>
      <xdr:row>11</xdr:row>
      <xdr:rowOff>19050</xdr:rowOff>
    </xdr:from>
    <xdr:to>
      <xdr:col>9</xdr:col>
      <xdr:colOff>381000</xdr:colOff>
      <xdr:row>38</xdr:row>
      <xdr:rowOff>66675</xdr:rowOff>
    </xdr:to>
    <xdr:pic>
      <xdr:nvPicPr>
        <xdr:cNvPr id="2" name="Рисунок 1" descr="https://sub.allaboutcircuits.com/images/12088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2162175"/>
          <a:ext cx="309562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409575</xdr:colOff>
      <xdr:row>7</xdr:row>
      <xdr:rowOff>180975</xdr:rowOff>
    </xdr:from>
    <xdr:to>
      <xdr:col>17</xdr:col>
      <xdr:colOff>542925</xdr:colOff>
      <xdr:row>24</xdr:row>
      <xdr:rowOff>152400</xdr:rowOff>
    </xdr:to>
    <xdr:pic>
      <xdr:nvPicPr>
        <xdr:cNvPr id="3" name="Рисунок 2" descr="https://sub.allaboutcircuits.com/images/12090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562100"/>
          <a:ext cx="3790950" cy="3209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495300</xdr:colOff>
      <xdr:row>7</xdr:row>
      <xdr:rowOff>76200</xdr:rowOff>
    </xdr:to>
    <xdr:pic>
      <xdr:nvPicPr>
        <xdr:cNvPr id="2" name="Рисунок 1" descr="low pass filter cut-off frequenc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41529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8</xdr:col>
      <xdr:colOff>495300</xdr:colOff>
      <xdr:row>21</xdr:row>
      <xdr:rowOff>95250</xdr:rowOff>
    </xdr:to>
    <xdr:pic>
      <xdr:nvPicPr>
        <xdr:cNvPr id="3" name="Рисунок 2" descr="fo-0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0"/>
          <a:ext cx="47625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447675</xdr:colOff>
      <xdr:row>11</xdr:row>
      <xdr:rowOff>9525</xdr:rowOff>
    </xdr:to>
    <xdr:pic>
      <xdr:nvPicPr>
        <xdr:cNvPr id="2" name="Рисунок 1" descr="ФВЧ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886075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3</xdr:row>
      <xdr:rowOff>0</xdr:rowOff>
    </xdr:from>
    <xdr:to>
      <xdr:col>8</xdr:col>
      <xdr:colOff>228600</xdr:colOff>
      <xdr:row>5</xdr:row>
      <xdr:rowOff>66675</xdr:rowOff>
    </xdr:to>
    <xdr:pic>
      <xdr:nvPicPr>
        <xdr:cNvPr id="3" name="Рисунок 2" descr="Формула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571500"/>
          <a:ext cx="81915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419100</xdr:colOff>
      <xdr:row>1</xdr:row>
      <xdr:rowOff>0</xdr:rowOff>
    </xdr:from>
    <xdr:to>
      <xdr:col>12</xdr:col>
      <xdr:colOff>266700</xdr:colOff>
      <xdr:row>16</xdr:row>
      <xdr:rowOff>0</xdr:rowOff>
    </xdr:to>
    <xdr:pic>
      <xdr:nvPicPr>
        <xdr:cNvPr id="2" name="Рисунок 1" descr="http://www.maxmcarter.com/classecalcs/pktopk3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190500"/>
          <a:ext cx="2286000" cy="2962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7</xdr:row>
      <xdr:rowOff>49125</xdr:rowOff>
    </xdr:from>
    <xdr:to>
      <xdr:col>11</xdr:col>
      <xdr:colOff>142875</xdr:colOff>
      <xdr:row>12</xdr:row>
      <xdr:rowOff>176625</xdr:rowOff>
    </xdr:to>
    <xdr:pic>
      <xdr:nvPicPr>
        <xdr:cNvPr id="2" name="Рисунок 1" descr="https://sub.allaboutcircuits.com/images/12088.png"/>
        <xdr:cNvPicPr preferRelativeResize="0">
          <a:picLocks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85534" b="-6339"/>
        <a:stretch/>
      </xdr:blipFill>
      <xdr:spPr bwMode="auto">
        <a:xfrm>
          <a:off x="3752850" y="1382625"/>
          <a:ext cx="3095625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L24"/>
  <sheetViews>
    <sheetView topLeftCell="A10" workbookViewId="0">
      <selection activeCell="F34" sqref="F34"/>
    </sheetView>
  </sheetViews>
  <sheetFormatPr defaultRowHeight="15" x14ac:dyDescent="0.25"/>
  <cols>
    <col min="2" max="2" width="14.5703125" customWidth="1"/>
    <col min="3" max="3" width="12" bestFit="1" customWidth="1"/>
    <col min="10" max="10" width="15.42578125" customWidth="1"/>
    <col min="11" max="11" width="21.42578125" customWidth="1"/>
    <col min="12" max="12" width="42" customWidth="1"/>
  </cols>
  <sheetData>
    <row r="11" spans="2:12" ht="15.75" x14ac:dyDescent="0.25">
      <c r="B11" s="1" t="s">
        <v>1</v>
      </c>
      <c r="C11" s="2">
        <v>60</v>
      </c>
      <c r="D11" s="2"/>
      <c r="E11" s="3" t="s">
        <v>0</v>
      </c>
      <c r="F11" s="4">
        <f>(C12*C12)*1.2638/C11</f>
        <v>75.828000000000003</v>
      </c>
      <c r="I11" t="s">
        <v>8</v>
      </c>
      <c r="K11" s="17">
        <f>0.0000034</f>
        <v>3.4000000000000001E-6</v>
      </c>
      <c r="L11" s="18" t="s">
        <v>11</v>
      </c>
    </row>
    <row r="12" spans="2:12" ht="16.5" x14ac:dyDescent="0.25">
      <c r="B12" s="5" t="s">
        <v>2</v>
      </c>
      <c r="C12" s="6">
        <v>60</v>
      </c>
      <c r="D12" s="6"/>
      <c r="E12" s="6"/>
      <c r="F12" s="7"/>
      <c r="I12" t="s">
        <v>9</v>
      </c>
      <c r="J12">
        <v>4</v>
      </c>
      <c r="K12" s="17">
        <f>J12*0.0000000001</f>
        <v>4.0000000000000001E-10</v>
      </c>
      <c r="L12" s="18" t="s">
        <v>10</v>
      </c>
    </row>
    <row r="14" spans="2:12" x14ac:dyDescent="0.25">
      <c r="I14" t="s">
        <v>12</v>
      </c>
      <c r="J14">
        <f>(1/((POWER((2*PI()*1.2915*3100000),2))*K11))*1000000000000</f>
        <v>464.78182569741244</v>
      </c>
    </row>
    <row r="15" spans="2:12" ht="15.75" x14ac:dyDescent="0.25">
      <c r="B15" s="8" t="s">
        <v>3</v>
      </c>
      <c r="C15" s="9"/>
      <c r="D15" s="11"/>
    </row>
    <row r="16" spans="2:12" ht="15.75" x14ac:dyDescent="0.25">
      <c r="B16" s="10"/>
      <c r="C16" s="12"/>
      <c r="D16" s="11"/>
    </row>
    <row r="17" spans="2:4" ht="15.75" x14ac:dyDescent="0.25">
      <c r="B17" s="10" t="s">
        <v>6</v>
      </c>
      <c r="C17" s="12">
        <f>F11</f>
        <v>75.828000000000003</v>
      </c>
      <c r="D17" s="11"/>
    </row>
    <row r="18" spans="2:4" x14ac:dyDescent="0.25">
      <c r="B18" s="13" t="s">
        <v>7</v>
      </c>
      <c r="C18" s="12">
        <v>1500</v>
      </c>
      <c r="D18" s="11"/>
    </row>
    <row r="19" spans="2:4" x14ac:dyDescent="0.25">
      <c r="B19" s="13" t="s">
        <v>4</v>
      </c>
      <c r="C19" s="12">
        <v>10</v>
      </c>
      <c r="D19" s="11"/>
    </row>
    <row r="20" spans="2:4" ht="15.75" x14ac:dyDescent="0.25">
      <c r="B20" s="14" t="s">
        <v>5</v>
      </c>
      <c r="C20" s="15">
        <f>SQRT(C18/C17)*C19</f>
        <v>44.476523036767404</v>
      </c>
      <c r="D20" s="11"/>
    </row>
    <row r="23" spans="2:4" x14ac:dyDescent="0.25">
      <c r="B23" t="s">
        <v>8</v>
      </c>
      <c r="C23">
        <f xml:space="preserve"> (0.2085*(C12*C12))/(C11*3100000)</f>
        <v>4.0354838709677418E-6</v>
      </c>
    </row>
    <row r="24" spans="2:4" x14ac:dyDescent="0.25">
      <c r="B24" t="s">
        <v>13</v>
      </c>
      <c r="C24" s="16">
        <f>(1/((POWER((2*PI()*1.2915*3100000),2))*C23))*1000000000000</f>
        <v>391.59076281780398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K26"/>
  <sheetViews>
    <sheetView topLeftCell="A7" workbookViewId="0">
      <selection activeCell="N16" sqref="N16"/>
    </sheetView>
  </sheetViews>
  <sheetFormatPr defaultRowHeight="15" x14ac:dyDescent="0.25"/>
  <sheetData>
    <row r="9" spans="2:11" x14ac:dyDescent="0.25">
      <c r="C9" t="s">
        <v>56</v>
      </c>
      <c r="D9" s="30">
        <f>1/(2*PI()*SQRT((D11*0.000001)*(D12*0.000000000001)))</f>
        <v>355881.27170858858</v>
      </c>
      <c r="E9" t="s">
        <v>42</v>
      </c>
    </row>
    <row r="11" spans="2:11" x14ac:dyDescent="0.25">
      <c r="C11" t="s">
        <v>57</v>
      </c>
      <c r="D11">
        <v>100</v>
      </c>
      <c r="E11" t="s">
        <v>33</v>
      </c>
    </row>
    <row r="12" spans="2:11" x14ac:dyDescent="0.25">
      <c r="C12" t="s">
        <v>58</v>
      </c>
      <c r="D12">
        <v>2000</v>
      </c>
      <c r="E12" t="s">
        <v>30</v>
      </c>
    </row>
    <row r="14" spans="2:11" x14ac:dyDescent="0.25">
      <c r="B14" s="39" t="s">
        <v>59</v>
      </c>
      <c r="C14" s="39"/>
      <c r="D14" s="39"/>
      <c r="E14" s="39"/>
      <c r="F14" s="39"/>
      <c r="G14" s="39"/>
      <c r="H14" s="39"/>
      <c r="I14" s="39"/>
      <c r="J14" s="39"/>
      <c r="K14" s="39"/>
    </row>
    <row r="15" spans="2:11" x14ac:dyDescent="0.25">
      <c r="B15" s="39"/>
      <c r="C15" s="39"/>
      <c r="D15" s="39"/>
      <c r="E15" s="39"/>
      <c r="F15" s="39"/>
      <c r="G15" s="39"/>
      <c r="H15" s="39"/>
      <c r="I15" s="39"/>
      <c r="J15" s="39"/>
      <c r="K15" s="39"/>
    </row>
    <row r="16" spans="2:11" x14ac:dyDescent="0.25"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2:11" x14ac:dyDescent="0.25">
      <c r="B17" s="39"/>
      <c r="C17" s="39"/>
      <c r="D17" s="39"/>
      <c r="E17" s="39"/>
      <c r="F17" s="39"/>
      <c r="G17" s="39"/>
      <c r="H17" s="39"/>
      <c r="I17" s="39"/>
      <c r="J17" s="39"/>
      <c r="K17" s="39"/>
    </row>
    <row r="18" spans="2:11" x14ac:dyDescent="0.25">
      <c r="B18" s="39"/>
      <c r="C18" s="39"/>
      <c r="D18" s="39"/>
      <c r="E18" s="39"/>
      <c r="F18" s="39"/>
      <c r="G18" s="39"/>
      <c r="H18" s="39"/>
      <c r="I18" s="39"/>
      <c r="J18" s="39"/>
      <c r="K18" s="39"/>
    </row>
    <row r="19" spans="2:1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0" spans="2:11" x14ac:dyDescent="0.25"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2:11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2" spans="2:11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</row>
    <row r="23" spans="2:11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2:11" x14ac:dyDescent="0.25"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2:11" x14ac:dyDescent="0.25"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2:11" ht="63.75" customHeight="1" x14ac:dyDescent="0.25">
      <c r="B26" s="39"/>
      <c r="C26" s="39"/>
      <c r="D26" s="39"/>
      <c r="E26" s="39"/>
      <c r="F26" s="39"/>
      <c r="G26" s="39"/>
      <c r="H26" s="39"/>
      <c r="I26" s="39"/>
      <c r="J26" s="39"/>
      <c r="K26" s="39"/>
    </row>
  </sheetData>
  <mergeCells count="1">
    <mergeCell ref="B14:K2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C26" sqref="C26"/>
    </sheetView>
  </sheetViews>
  <sheetFormatPr defaultRowHeight="15" x14ac:dyDescent="0.25"/>
  <cols>
    <col min="3" max="3" width="12" bestFit="1" customWidth="1"/>
  </cols>
  <sheetData>
    <row r="2" spans="2:3" x14ac:dyDescent="0.25">
      <c r="B2" t="s">
        <v>14</v>
      </c>
    </row>
    <row r="15" spans="2:3" x14ac:dyDescent="0.25">
      <c r="B15" t="s">
        <v>8</v>
      </c>
      <c r="C15">
        <v>28</v>
      </c>
    </row>
    <row r="16" spans="2:3" x14ac:dyDescent="0.25">
      <c r="B16" t="s">
        <v>15</v>
      </c>
      <c r="C16">
        <f>20*(((PI()*C15)/98)^2)</f>
        <v>16.113639838513237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0"/>
  <sheetViews>
    <sheetView topLeftCell="A4" workbookViewId="0">
      <selection activeCell="B31" sqref="B31"/>
    </sheetView>
  </sheetViews>
  <sheetFormatPr defaultRowHeight="15" x14ac:dyDescent="0.25"/>
  <cols>
    <col min="3" max="3" width="18.28515625" customWidth="1"/>
  </cols>
  <sheetData>
    <row r="3" spans="2:2" x14ac:dyDescent="0.25">
      <c r="B3" s="19" t="s">
        <v>16</v>
      </c>
    </row>
    <row r="4" spans="2:2" x14ac:dyDescent="0.25">
      <c r="B4" s="19" t="s">
        <v>17</v>
      </c>
    </row>
    <row r="5" spans="2:2" x14ac:dyDescent="0.25">
      <c r="B5" s="19" t="s">
        <v>18</v>
      </c>
    </row>
    <row r="6" spans="2:2" x14ac:dyDescent="0.25">
      <c r="B6" s="19" t="s">
        <v>19</v>
      </c>
    </row>
    <row r="7" spans="2:2" x14ac:dyDescent="0.25">
      <c r="B7" s="19" t="s">
        <v>20</v>
      </c>
    </row>
    <row r="20" spans="2:12" x14ac:dyDescent="0.25">
      <c r="B20" t="s">
        <v>21</v>
      </c>
      <c r="C20" s="16">
        <f>4*C22/(2*PI()*C23)</f>
        <v>28.086166427981532</v>
      </c>
      <c r="D20" t="s">
        <v>33</v>
      </c>
    </row>
    <row r="22" spans="2:12" x14ac:dyDescent="0.25">
      <c r="B22" t="s">
        <v>0</v>
      </c>
      <c r="C22">
        <v>75</v>
      </c>
    </row>
    <row r="23" spans="2:12" x14ac:dyDescent="0.25">
      <c r="B23" t="s">
        <v>28</v>
      </c>
      <c r="C23" s="16">
        <v>1.7</v>
      </c>
      <c r="D23" t="s">
        <v>31</v>
      </c>
    </row>
    <row r="25" spans="2:12" x14ac:dyDescent="0.25">
      <c r="B25" s="32" t="s">
        <v>60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spans="2:12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2:12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spans="2:12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spans="2:12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spans="2:12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</row>
  </sheetData>
  <mergeCells count="1">
    <mergeCell ref="B25:L3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"/>
  <sheetViews>
    <sheetView topLeftCell="A7" workbookViewId="0">
      <selection activeCell="I11" sqref="I11"/>
    </sheetView>
  </sheetViews>
  <sheetFormatPr defaultRowHeight="15" x14ac:dyDescent="0.25"/>
  <sheetData>
    <row r="3" spans="2:10" ht="18.75" x14ac:dyDescent="0.25">
      <c r="B3" s="20"/>
    </row>
    <row r="5" spans="2:10" ht="82.5" customHeight="1" x14ac:dyDescent="0.25">
      <c r="B5" s="34" t="s">
        <v>22</v>
      </c>
      <c r="C5" s="34"/>
      <c r="D5" s="34"/>
      <c r="E5" s="34"/>
      <c r="F5" s="34"/>
    </row>
    <row r="6" spans="2:10" x14ac:dyDescent="0.25">
      <c r="B6" s="21"/>
    </row>
    <row r="7" spans="2:10" ht="99.75" customHeight="1" x14ac:dyDescent="0.25">
      <c r="B7" s="35" t="s">
        <v>24</v>
      </c>
      <c r="C7" s="34"/>
      <c r="D7" s="34"/>
      <c r="E7" s="34"/>
      <c r="F7" s="34"/>
    </row>
    <row r="8" spans="2:10" x14ac:dyDescent="0.25">
      <c r="B8" s="21"/>
    </row>
    <row r="9" spans="2:10" ht="83.25" customHeight="1" x14ac:dyDescent="0.25">
      <c r="B9" s="34" t="s">
        <v>23</v>
      </c>
      <c r="C9" s="34"/>
      <c r="D9" s="34"/>
      <c r="E9" s="34"/>
      <c r="F9" s="34"/>
      <c r="H9" s="22" t="s">
        <v>25</v>
      </c>
      <c r="I9" s="22">
        <f>I10/(I11/I12)^2</f>
        <v>74.861111111111114</v>
      </c>
      <c r="J9" s="22"/>
    </row>
    <row r="10" spans="2:10" x14ac:dyDescent="0.25">
      <c r="H10" t="s">
        <v>43</v>
      </c>
      <c r="I10">
        <v>55</v>
      </c>
    </row>
    <row r="11" spans="2:10" x14ac:dyDescent="0.25">
      <c r="H11" t="s">
        <v>44</v>
      </c>
      <c r="I11">
        <v>3</v>
      </c>
    </row>
    <row r="12" spans="2:10" x14ac:dyDescent="0.25">
      <c r="H12" t="s">
        <v>45</v>
      </c>
      <c r="I12" s="31">
        <v>3.5</v>
      </c>
    </row>
  </sheetData>
  <mergeCells count="3">
    <mergeCell ref="B5:F5"/>
    <mergeCell ref="B7:F7"/>
    <mergeCell ref="B9:F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tabSelected="1" workbookViewId="0">
      <selection activeCell="C11" sqref="C11"/>
    </sheetView>
  </sheetViews>
  <sheetFormatPr defaultRowHeight="15" x14ac:dyDescent="0.25"/>
  <cols>
    <col min="2" max="2" width="14" customWidth="1"/>
    <col min="3" max="3" width="13" customWidth="1"/>
  </cols>
  <sheetData>
    <row r="2" spans="2:4" x14ac:dyDescent="0.25">
      <c r="B2" s="23" t="s">
        <v>26</v>
      </c>
    </row>
    <row r="5" spans="2:4" ht="16.5" x14ac:dyDescent="0.3">
      <c r="B5" s="24" t="s">
        <v>27</v>
      </c>
    </row>
    <row r="7" spans="2:4" x14ac:dyDescent="0.25">
      <c r="B7" t="s">
        <v>0</v>
      </c>
      <c r="C7">
        <f>2*PI()*(C9*1000000)*(C11*0.000001)</f>
        <v>2629.5130510546569</v>
      </c>
    </row>
    <row r="9" spans="2:4" x14ac:dyDescent="0.25">
      <c r="B9" t="s">
        <v>28</v>
      </c>
      <c r="C9">
        <v>3.1</v>
      </c>
    </row>
    <row r="11" spans="2:4" x14ac:dyDescent="0.25">
      <c r="B11" t="s">
        <v>29</v>
      </c>
      <c r="C11">
        <v>135</v>
      </c>
      <c r="D11" t="s">
        <v>33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0"/>
  <sheetViews>
    <sheetView topLeftCell="A7" workbookViewId="0">
      <selection activeCell="C16" sqref="C16"/>
    </sheetView>
  </sheetViews>
  <sheetFormatPr defaultRowHeight="15" x14ac:dyDescent="0.25"/>
  <cols>
    <col min="3" max="3" width="19" customWidth="1"/>
    <col min="6" max="6" width="11.85546875" customWidth="1"/>
    <col min="8" max="8" width="12.85546875" customWidth="1"/>
    <col min="9" max="9" width="17.28515625" customWidth="1"/>
  </cols>
  <sheetData>
    <row r="3" spans="2:11" x14ac:dyDescent="0.25">
      <c r="B3" s="36" t="s">
        <v>51</v>
      </c>
      <c r="C3" s="37"/>
      <c r="D3" s="37"/>
      <c r="E3" s="37"/>
      <c r="F3" s="37"/>
      <c r="G3" s="37"/>
      <c r="H3" s="37"/>
      <c r="I3" s="37"/>
      <c r="J3" s="38"/>
      <c r="K3" t="s">
        <v>50</v>
      </c>
    </row>
    <row r="4" spans="2:11" ht="18.75" x14ac:dyDescent="0.3">
      <c r="B4" s="25" t="s">
        <v>28</v>
      </c>
      <c r="C4" s="26">
        <v>3.1</v>
      </c>
      <c r="D4" s="11" t="s">
        <v>31</v>
      </c>
      <c r="E4" s="11"/>
      <c r="F4" s="11"/>
      <c r="G4" s="11"/>
      <c r="H4" s="11"/>
      <c r="I4" s="11"/>
      <c r="J4" s="12"/>
    </row>
    <row r="5" spans="2:11" x14ac:dyDescent="0.25">
      <c r="B5" s="13"/>
      <c r="C5" s="11"/>
      <c r="D5" s="11"/>
      <c r="E5" s="11"/>
      <c r="F5" s="11"/>
      <c r="G5" s="11"/>
      <c r="H5" s="11"/>
      <c r="I5" s="11"/>
      <c r="J5" s="12"/>
    </row>
    <row r="6" spans="2:11" x14ac:dyDescent="0.25">
      <c r="B6" s="13" t="s">
        <v>29</v>
      </c>
      <c r="C6" s="26">
        <v>100</v>
      </c>
      <c r="D6" s="11" t="s">
        <v>33</v>
      </c>
      <c r="E6" s="11" t="s">
        <v>46</v>
      </c>
      <c r="F6" s="27">
        <f>2*PI()* (C4*1000000)*(C6*0.000001)</f>
        <v>1947.7874452256715</v>
      </c>
      <c r="G6" s="11" t="s">
        <v>48</v>
      </c>
      <c r="H6" s="11" t="s">
        <v>49</v>
      </c>
      <c r="I6" s="27">
        <f>1/( (1/F6) + (1/F7) )</f>
        <v>25.336242373519262</v>
      </c>
      <c r="J6" s="12" t="s">
        <v>48</v>
      </c>
    </row>
    <row r="7" spans="2:11" x14ac:dyDescent="0.25">
      <c r="B7" s="14" t="s">
        <v>13</v>
      </c>
      <c r="C7" s="6">
        <v>2000</v>
      </c>
      <c r="D7" s="6" t="s">
        <v>30</v>
      </c>
      <c r="E7" s="6" t="s">
        <v>47</v>
      </c>
      <c r="F7" s="28">
        <f>1/(2*PI()* (C4*1000000)*(C7*0.000000000001))</f>
        <v>25.670152111596021</v>
      </c>
      <c r="G7" s="6" t="s">
        <v>48</v>
      </c>
      <c r="H7" s="6"/>
      <c r="I7" s="6"/>
      <c r="J7" s="7"/>
    </row>
    <row r="12" spans="2:11" x14ac:dyDescent="0.25">
      <c r="B12" t="s">
        <v>32</v>
      </c>
      <c r="C12">
        <f>2*PI()* (C14*1000000)*(C15*0.000001)</f>
        <v>311.64599123610748</v>
      </c>
    </row>
    <row r="14" spans="2:11" x14ac:dyDescent="0.25">
      <c r="B14" t="s">
        <v>28</v>
      </c>
      <c r="C14" s="16">
        <v>3.1</v>
      </c>
      <c r="D14" t="s">
        <v>31</v>
      </c>
    </row>
    <row r="15" spans="2:11" x14ac:dyDescent="0.25">
      <c r="B15" t="s">
        <v>29</v>
      </c>
      <c r="C15">
        <v>16</v>
      </c>
      <c r="D15" t="s">
        <v>33</v>
      </c>
    </row>
    <row r="17" spans="2:4" x14ac:dyDescent="0.25">
      <c r="B17" t="s">
        <v>34</v>
      </c>
      <c r="C17">
        <f>1/(2*PI()* (C19*1000000)*(C20*0.000000000001))</f>
        <v>879.30907785577529</v>
      </c>
    </row>
    <row r="19" spans="2:4" x14ac:dyDescent="0.25">
      <c r="B19" t="s">
        <v>28</v>
      </c>
      <c r="C19" s="16">
        <v>3.62</v>
      </c>
      <c r="D19" t="s">
        <v>31</v>
      </c>
    </row>
    <row r="20" spans="2:4" x14ac:dyDescent="0.25">
      <c r="B20" t="s">
        <v>13</v>
      </c>
      <c r="C20">
        <v>50</v>
      </c>
      <c r="D20" t="s">
        <v>30</v>
      </c>
    </row>
  </sheetData>
  <mergeCells count="1">
    <mergeCell ref="B3:J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D28"/>
  <sheetViews>
    <sheetView topLeftCell="A10" workbookViewId="0">
      <selection activeCell="C26" sqref="C26"/>
    </sheetView>
  </sheetViews>
  <sheetFormatPr defaultRowHeight="15" x14ac:dyDescent="0.25"/>
  <sheetData>
    <row r="11" spans="2:4" x14ac:dyDescent="0.25">
      <c r="B11" t="s">
        <v>35</v>
      </c>
      <c r="C11">
        <f>(1/(2*PI()*C13*C15*0.000001))/1000</f>
        <v>1591.5494309189535</v>
      </c>
      <c r="D11" t="s">
        <v>40</v>
      </c>
    </row>
    <row r="13" spans="2:4" x14ac:dyDescent="0.25">
      <c r="B13" t="s">
        <v>36</v>
      </c>
      <c r="C13">
        <v>10</v>
      </c>
      <c r="D13" t="s">
        <v>37</v>
      </c>
    </row>
    <row r="15" spans="2:4" x14ac:dyDescent="0.25">
      <c r="B15" t="s">
        <v>13</v>
      </c>
      <c r="C15">
        <v>0.01</v>
      </c>
      <c r="D15" t="s">
        <v>38</v>
      </c>
    </row>
    <row r="24" spans="2:4" x14ac:dyDescent="0.25">
      <c r="B24" t="s">
        <v>39</v>
      </c>
      <c r="C24">
        <f>(1/(2*PI()*C26*C28*0.000000001))/1000</f>
        <v>15.915494309189533</v>
      </c>
      <c r="D24" t="s">
        <v>37</v>
      </c>
    </row>
    <row r="26" spans="2:4" x14ac:dyDescent="0.25">
      <c r="B26" t="s">
        <v>28</v>
      </c>
      <c r="C26">
        <v>10000</v>
      </c>
      <c r="D26" t="s">
        <v>42</v>
      </c>
    </row>
    <row r="28" spans="2:4" x14ac:dyDescent="0.25">
      <c r="B28" t="s">
        <v>13</v>
      </c>
      <c r="C28">
        <v>1</v>
      </c>
      <c r="D28" t="s">
        <v>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D18"/>
  <sheetViews>
    <sheetView workbookViewId="0">
      <selection activeCell="C18" sqref="C18"/>
    </sheetView>
  </sheetViews>
  <sheetFormatPr defaultRowHeight="15" x14ac:dyDescent="0.25"/>
  <sheetData>
    <row r="14" spans="2:3" x14ac:dyDescent="0.25">
      <c r="B14" t="s">
        <v>28</v>
      </c>
      <c r="C14">
        <f>(SQRT(2)/(4*PI()*(C17*1000)*(C18*0.000000001)*2))</f>
        <v>254.72960506934871</v>
      </c>
    </row>
    <row r="17" spans="2:4" x14ac:dyDescent="0.25">
      <c r="B17" t="s">
        <v>36</v>
      </c>
      <c r="C17" s="16">
        <v>4.7</v>
      </c>
      <c r="D17" t="s">
        <v>37</v>
      </c>
    </row>
    <row r="18" spans="2:4" x14ac:dyDescent="0.25">
      <c r="B18" t="s">
        <v>13</v>
      </c>
      <c r="C18">
        <v>47</v>
      </c>
      <c r="D18" t="s">
        <v>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9" sqref="C9"/>
    </sheetView>
  </sheetViews>
  <sheetFormatPr defaultRowHeight="15" x14ac:dyDescent="0.25"/>
  <sheetData>
    <row r="2" spans="2:3" ht="23.25" x14ac:dyDescent="0.35">
      <c r="B2" s="29" t="s">
        <v>52</v>
      </c>
    </row>
    <row r="6" spans="2:3" x14ac:dyDescent="0.25">
      <c r="B6" t="s">
        <v>55</v>
      </c>
      <c r="C6" s="30">
        <f>(POWER(C9/2.828,2))/C10</f>
        <v>266.74722432841389</v>
      </c>
    </row>
    <row r="9" spans="2:3" x14ac:dyDescent="0.25">
      <c r="B9" t="s">
        <v>53</v>
      </c>
      <c r="C9">
        <v>400</v>
      </c>
    </row>
    <row r="10" spans="2:3" x14ac:dyDescent="0.25">
      <c r="B10" t="s">
        <v>54</v>
      </c>
      <c r="C10">
        <v>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Лист2</vt:lpstr>
      <vt:lpstr>антенна</vt:lpstr>
      <vt:lpstr>Мост</vt:lpstr>
      <vt:lpstr>z-z</vt:lpstr>
      <vt:lpstr>RFC</vt:lpstr>
      <vt:lpstr>LC tank</vt:lpstr>
      <vt:lpstr>RC LPF</vt:lpstr>
      <vt:lpstr>ОУ ФВЧ</vt:lpstr>
      <vt:lpstr>Power</vt:lpstr>
      <vt:lpstr>Резонансная частота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2019-03-08T16:29:40Z</dcterms:modified>
</cp:coreProperties>
</file>